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marina.sockovic\Desktop\"/>
    </mc:Choice>
  </mc:AlternateContent>
  <bookViews>
    <workbookView xWindow="0" yWindow="0" windowWidth="28800" windowHeight="11685" firstSheet="2" activeTab="5"/>
  </bookViews>
  <sheets>
    <sheet name="Opći dio" sheetId="1" r:id="rId1"/>
    <sheet name="Plan prihoda za unos u SAP" sheetId="2" r:id="rId2"/>
    <sheet name="Plan rashoda za unos u SAP" sheetId="3" r:id="rId3"/>
    <sheet name="ANALITIKA EU PROJEKATA" sheetId="4" r:id="rId4"/>
    <sheet name="PLAN PRIHODA I PRIMITAKA " sheetId="5" r:id="rId5"/>
    <sheet name="PLAN RASHODA I IZDATAKA" sheetId="6" r:id="rId6"/>
    <sheet name="PLAN IZDATAKA" sheetId="7" r:id="rId7"/>
    <sheet name="AKT" sheetId="8" r:id="rId8"/>
    <sheet name="List1" sheetId="9" r:id="rId9"/>
    <sheet name="p4" sheetId="10" r:id="rId10"/>
    <sheet name="prihodi" sheetId="11" r:id="rId11"/>
  </sheets>
  <externalReferences>
    <externalReference r:id="rId12"/>
    <externalReference r:id="rId13"/>
  </externalReferences>
  <definedNames>
    <definedName name="_FiltarBaze" localSheetId="5">#REF!</definedName>
    <definedName name="_xlnm._FilterDatabase" localSheetId="7" hidden="1">AKT!$A$1:$B$310</definedName>
    <definedName name="_xlnm._FilterDatabase" localSheetId="9" hidden="1">'p4'!$A$1:$B$1042</definedName>
    <definedName name="_xlnm._FilterDatabase" localSheetId="1" hidden="1">'Plan prihoda za unos u SAP'!$Q$5:$U$108</definedName>
    <definedName name="_xlnm._FilterDatabase" localSheetId="5" hidden="1">'PLAN RASHODA I IZDATAKA'!$B$70:$W$85</definedName>
  </definedNames>
  <calcPr calcId="162913"/>
</workbook>
</file>

<file path=xl/calcChain.xml><?xml version="1.0" encoding="utf-8"?>
<calcChain xmlns="http://schemas.openxmlformats.org/spreadsheetml/2006/main">
  <c r="T92" i="5" l="1"/>
  <c r="E20" i="4" l="1"/>
  <c r="E19" i="4"/>
  <c r="E18" i="4"/>
  <c r="F17" i="4"/>
  <c r="F16" i="4"/>
  <c r="E17" i="4"/>
  <c r="E16" i="4"/>
  <c r="F13" i="4"/>
  <c r="E13" i="4"/>
  <c r="B8" i="2" l="1"/>
  <c r="A8" i="2"/>
  <c r="C8" i="2"/>
  <c r="D8" i="2"/>
  <c r="F8" i="2"/>
  <c r="K8" i="2"/>
  <c r="L8" i="2"/>
  <c r="F117" i="3"/>
  <c r="F128" i="3" s="1"/>
  <c r="F118" i="3"/>
  <c r="F140" i="3" s="1"/>
  <c r="F119" i="3"/>
  <c r="F120" i="3"/>
  <c r="F121" i="3"/>
  <c r="F89" i="3"/>
  <c r="F90" i="3"/>
  <c r="F91" i="3"/>
  <c r="F92" i="3"/>
  <c r="F93" i="3"/>
  <c r="F94" i="3"/>
  <c r="F52" i="3"/>
  <c r="F53" i="3"/>
  <c r="F54" i="3"/>
  <c r="F50" i="3"/>
  <c r="F51" i="3"/>
  <c r="A143" i="3"/>
  <c r="B143" i="3"/>
  <c r="D143" i="3"/>
  <c r="F143" i="3"/>
  <c r="H143" i="3"/>
  <c r="M143" i="3"/>
  <c r="N143" i="3"/>
  <c r="A144" i="3"/>
  <c r="B144" i="3"/>
  <c r="D144" i="3"/>
  <c r="F144" i="3"/>
  <c r="H144" i="3"/>
  <c r="M144" i="3"/>
  <c r="N144" i="3"/>
  <c r="A145" i="3"/>
  <c r="B145" i="3"/>
  <c r="D145" i="3"/>
  <c r="F145" i="3"/>
  <c r="H145" i="3"/>
  <c r="M145" i="3"/>
  <c r="N145" i="3"/>
  <c r="A146" i="3"/>
  <c r="B146" i="3"/>
  <c r="D146" i="3"/>
  <c r="F146" i="3"/>
  <c r="H146" i="3"/>
  <c r="M146" i="3"/>
  <c r="N146" i="3"/>
  <c r="A147" i="3"/>
  <c r="B147" i="3"/>
  <c r="D147" i="3"/>
  <c r="F147" i="3"/>
  <c r="H147" i="3"/>
  <c r="M147" i="3"/>
  <c r="N147" i="3"/>
  <c r="A148" i="3"/>
  <c r="B148" i="3"/>
  <c r="D148" i="3"/>
  <c r="F148" i="3"/>
  <c r="H148" i="3"/>
  <c r="M148" i="3"/>
  <c r="N148" i="3"/>
  <c r="A149" i="3"/>
  <c r="B149" i="3"/>
  <c r="D149" i="3"/>
  <c r="F149" i="3"/>
  <c r="H149" i="3"/>
  <c r="M149" i="3"/>
  <c r="N149" i="3"/>
  <c r="H140" i="3"/>
  <c r="D140" i="3"/>
  <c r="B140" i="3"/>
  <c r="A140" i="3"/>
  <c r="H139" i="3"/>
  <c r="F139" i="3"/>
  <c r="D139" i="3"/>
  <c r="B139" i="3"/>
  <c r="A139" i="3"/>
  <c r="H138" i="3"/>
  <c r="F138" i="3"/>
  <c r="D138" i="3"/>
  <c r="B138" i="3"/>
  <c r="A138" i="3"/>
  <c r="H137" i="3"/>
  <c r="F137" i="3"/>
  <c r="D137" i="3"/>
  <c r="B137" i="3"/>
  <c r="A137" i="3"/>
  <c r="H136" i="3"/>
  <c r="F136" i="3"/>
  <c r="D136" i="3"/>
  <c r="B136" i="3"/>
  <c r="A136" i="3"/>
  <c r="H135" i="3"/>
  <c r="F135" i="3"/>
  <c r="D135" i="3"/>
  <c r="B135" i="3"/>
  <c r="A135" i="3"/>
  <c r="H134" i="3"/>
  <c r="F134" i="3"/>
  <c r="D134" i="3"/>
  <c r="B134" i="3"/>
  <c r="A134" i="3"/>
  <c r="H133" i="3"/>
  <c r="F133" i="3"/>
  <c r="D133" i="3"/>
  <c r="B133" i="3"/>
  <c r="A133" i="3"/>
  <c r="H132" i="3"/>
  <c r="F132" i="3"/>
  <c r="D132" i="3"/>
  <c r="B132" i="3"/>
  <c r="A132" i="3"/>
  <c r="H131" i="3"/>
  <c r="F131" i="3"/>
  <c r="D131" i="3"/>
  <c r="B131" i="3"/>
  <c r="A131" i="3"/>
  <c r="H130" i="3"/>
  <c r="F130" i="3"/>
  <c r="D130" i="3"/>
  <c r="B130" i="3"/>
  <c r="A130" i="3"/>
  <c r="H128" i="3"/>
  <c r="D128" i="3"/>
  <c r="B128" i="3"/>
  <c r="A128" i="3"/>
  <c r="H127" i="3"/>
  <c r="F127" i="3"/>
  <c r="D127" i="3"/>
  <c r="B127" i="3"/>
  <c r="A127" i="3"/>
  <c r="H126" i="3"/>
  <c r="F126" i="3"/>
  <c r="D126" i="3"/>
  <c r="B126" i="3"/>
  <c r="A126" i="3"/>
  <c r="H125" i="3"/>
  <c r="F125" i="3"/>
  <c r="D125" i="3"/>
  <c r="B125" i="3"/>
  <c r="A125" i="3"/>
  <c r="H124" i="3"/>
  <c r="D124" i="3"/>
  <c r="B124" i="3"/>
  <c r="A124" i="3"/>
  <c r="H123" i="3"/>
  <c r="F123" i="3"/>
  <c r="D123" i="3"/>
  <c r="B123" i="3"/>
  <c r="A123" i="3"/>
  <c r="H121" i="3"/>
  <c r="D121" i="3"/>
  <c r="B121" i="3"/>
  <c r="A121" i="3"/>
  <c r="H120" i="3"/>
  <c r="D120" i="3"/>
  <c r="B120" i="3"/>
  <c r="A120" i="3"/>
  <c r="H119" i="3"/>
  <c r="D119" i="3"/>
  <c r="B119" i="3"/>
  <c r="A119" i="3"/>
  <c r="H118" i="3"/>
  <c r="D118" i="3"/>
  <c r="B118" i="3"/>
  <c r="A118" i="3"/>
  <c r="H117" i="3"/>
  <c r="D117" i="3"/>
  <c r="B117" i="3"/>
  <c r="A117" i="3"/>
  <c r="H116" i="3"/>
  <c r="F116" i="3"/>
  <c r="D116" i="3"/>
  <c r="B116" i="3"/>
  <c r="A116" i="3"/>
  <c r="H115" i="3"/>
  <c r="F115" i="3"/>
  <c r="D115" i="3"/>
  <c r="B115" i="3"/>
  <c r="A115" i="3"/>
  <c r="H114" i="3"/>
  <c r="F114" i="3"/>
  <c r="D114" i="3"/>
  <c r="B114" i="3"/>
  <c r="A114" i="3"/>
  <c r="H113" i="3"/>
  <c r="F113" i="3"/>
  <c r="D113" i="3"/>
  <c r="B113" i="3"/>
  <c r="A113" i="3"/>
  <c r="H112" i="3"/>
  <c r="F112" i="3"/>
  <c r="D112" i="3"/>
  <c r="B112" i="3"/>
  <c r="A112" i="3"/>
  <c r="H111" i="3"/>
  <c r="F111" i="3"/>
  <c r="D111" i="3"/>
  <c r="B111" i="3"/>
  <c r="A111" i="3"/>
  <c r="H110" i="3"/>
  <c r="F110" i="3"/>
  <c r="D110" i="3"/>
  <c r="B110" i="3"/>
  <c r="A110" i="3"/>
  <c r="H109" i="3"/>
  <c r="F109" i="3"/>
  <c r="D109" i="3"/>
  <c r="B109" i="3"/>
  <c r="A109" i="3"/>
  <c r="H108" i="3"/>
  <c r="F108" i="3"/>
  <c r="D108" i="3"/>
  <c r="B108" i="3"/>
  <c r="A108" i="3"/>
  <c r="H107" i="3"/>
  <c r="F107" i="3"/>
  <c r="D107" i="3"/>
  <c r="B107" i="3"/>
  <c r="A107" i="3"/>
  <c r="H106" i="3"/>
  <c r="F106" i="3"/>
  <c r="D106" i="3"/>
  <c r="B106" i="3"/>
  <c r="A106" i="3"/>
  <c r="H105" i="3"/>
  <c r="F105" i="3"/>
  <c r="D105" i="3"/>
  <c r="B105" i="3"/>
  <c r="A105" i="3"/>
  <c r="H104" i="3"/>
  <c r="F104" i="3"/>
  <c r="D104" i="3"/>
  <c r="B104" i="3"/>
  <c r="A104" i="3"/>
  <c r="H103" i="3"/>
  <c r="F103" i="3"/>
  <c r="D103" i="3"/>
  <c r="B103" i="3"/>
  <c r="A103" i="3"/>
  <c r="H102" i="3"/>
  <c r="F102" i="3"/>
  <c r="D102" i="3"/>
  <c r="B102" i="3"/>
  <c r="A102" i="3"/>
  <c r="H101" i="3"/>
  <c r="F101" i="3"/>
  <c r="D101" i="3"/>
  <c r="B101" i="3"/>
  <c r="A101" i="3"/>
  <c r="H100" i="3"/>
  <c r="F100" i="3"/>
  <c r="D100" i="3"/>
  <c r="B100" i="3"/>
  <c r="A100" i="3"/>
  <c r="H99" i="3"/>
  <c r="F99" i="3"/>
  <c r="D99" i="3"/>
  <c r="B99" i="3"/>
  <c r="A99" i="3"/>
  <c r="H98" i="3"/>
  <c r="F98" i="3"/>
  <c r="D98" i="3"/>
  <c r="B98" i="3"/>
  <c r="A98" i="3"/>
  <c r="H97" i="3"/>
  <c r="F97" i="3"/>
  <c r="D97" i="3"/>
  <c r="B97" i="3"/>
  <c r="A97" i="3"/>
  <c r="H96" i="3"/>
  <c r="F96" i="3"/>
  <c r="D96" i="3"/>
  <c r="B96" i="3"/>
  <c r="A96" i="3"/>
  <c r="F124" i="3" l="1"/>
  <c r="W108" i="6" l="1"/>
  <c r="V108" i="6"/>
  <c r="U108" i="6"/>
  <c r="Q108" i="6"/>
  <c r="P108" i="6"/>
  <c r="N108" i="6"/>
  <c r="M108" i="6"/>
  <c r="L108" i="6"/>
  <c r="H108" i="6"/>
  <c r="W107" i="6"/>
  <c r="W106" i="6" s="1"/>
  <c r="V107" i="6"/>
  <c r="U107" i="6"/>
  <c r="Q107" i="6"/>
  <c r="P107" i="6"/>
  <c r="P106" i="6" s="1"/>
  <c r="N107" i="6"/>
  <c r="M107" i="6"/>
  <c r="L107" i="6"/>
  <c r="H107" i="6"/>
  <c r="H106" i="6" s="1"/>
  <c r="W105" i="6"/>
  <c r="V105" i="6"/>
  <c r="U105" i="6"/>
  <c r="Q105" i="6"/>
  <c r="P105" i="6"/>
  <c r="N105" i="6"/>
  <c r="M105" i="6"/>
  <c r="L105" i="6"/>
  <c r="H105" i="6"/>
  <c r="W104" i="6"/>
  <c r="V104" i="6"/>
  <c r="U104" i="6"/>
  <c r="Q104" i="6"/>
  <c r="P104" i="6"/>
  <c r="N104" i="6"/>
  <c r="M104" i="6"/>
  <c r="L104" i="6"/>
  <c r="H104" i="6"/>
  <c r="W103" i="6"/>
  <c r="V103" i="6"/>
  <c r="U103" i="6"/>
  <c r="Q103" i="6"/>
  <c r="P103" i="6"/>
  <c r="N103" i="6"/>
  <c r="M103" i="6"/>
  <c r="L103" i="6"/>
  <c r="H103" i="6"/>
  <c r="W102" i="6"/>
  <c r="V102" i="6"/>
  <c r="U102" i="6"/>
  <c r="Q102" i="6"/>
  <c r="P102" i="6"/>
  <c r="N102" i="6"/>
  <c r="M102" i="6"/>
  <c r="L102" i="6"/>
  <c r="H102" i="6"/>
  <c r="W101" i="6"/>
  <c r="V101" i="6"/>
  <c r="U101" i="6"/>
  <c r="Q101" i="6"/>
  <c r="P101" i="6"/>
  <c r="N101" i="6"/>
  <c r="M101" i="6"/>
  <c r="L101" i="6"/>
  <c r="H101" i="6"/>
  <c r="W99" i="6"/>
  <c r="V99" i="6"/>
  <c r="U99" i="6"/>
  <c r="Q99" i="6"/>
  <c r="P99" i="6"/>
  <c r="N99" i="6"/>
  <c r="M99" i="6"/>
  <c r="L99" i="6"/>
  <c r="H99" i="6"/>
  <c r="W98" i="6"/>
  <c r="V98" i="6"/>
  <c r="U98" i="6"/>
  <c r="Q98" i="6"/>
  <c r="P98" i="6"/>
  <c r="N98" i="6"/>
  <c r="M98" i="6"/>
  <c r="L98" i="6"/>
  <c r="H98" i="6"/>
  <c r="W97" i="6"/>
  <c r="V97" i="6"/>
  <c r="U97" i="6"/>
  <c r="Q97" i="6"/>
  <c r="P97" i="6"/>
  <c r="N97" i="6"/>
  <c r="M97" i="6"/>
  <c r="L97" i="6"/>
  <c r="H97" i="6"/>
  <c r="W96" i="6"/>
  <c r="V96" i="6"/>
  <c r="U96" i="6"/>
  <c r="Q96" i="6"/>
  <c r="P96" i="6"/>
  <c r="N96" i="6"/>
  <c r="M96" i="6"/>
  <c r="L96" i="6"/>
  <c r="H96" i="6"/>
  <c r="W95" i="6"/>
  <c r="V95" i="6"/>
  <c r="U95" i="6"/>
  <c r="Q95" i="6"/>
  <c r="P95" i="6"/>
  <c r="N95" i="6"/>
  <c r="M95" i="6"/>
  <c r="L95" i="6"/>
  <c r="H95" i="6"/>
  <c r="W94" i="6"/>
  <c r="V94" i="6"/>
  <c r="U94" i="6"/>
  <c r="Q94" i="6"/>
  <c r="P94" i="6"/>
  <c r="N94" i="6"/>
  <c r="M94" i="6"/>
  <c r="L94" i="6"/>
  <c r="H94" i="6"/>
  <c r="W93" i="6"/>
  <c r="V93" i="6"/>
  <c r="U93" i="6"/>
  <c r="Q93" i="6"/>
  <c r="P93" i="6"/>
  <c r="N93" i="6"/>
  <c r="M93" i="6"/>
  <c r="L93" i="6"/>
  <c r="H93" i="6"/>
  <c r="W88" i="6"/>
  <c r="V88" i="6"/>
  <c r="U88" i="6"/>
  <c r="Q88" i="6"/>
  <c r="P88" i="6"/>
  <c r="N88" i="6"/>
  <c r="M88" i="6"/>
  <c r="L88" i="6"/>
  <c r="H88" i="6"/>
  <c r="W87" i="6"/>
  <c r="V87" i="6"/>
  <c r="U87" i="6"/>
  <c r="Q87" i="6"/>
  <c r="P87" i="6"/>
  <c r="N87" i="6"/>
  <c r="M87" i="6"/>
  <c r="L87" i="6"/>
  <c r="H87" i="6"/>
  <c r="W85" i="6"/>
  <c r="V85" i="6"/>
  <c r="U85" i="6"/>
  <c r="Q85" i="6"/>
  <c r="P85" i="6"/>
  <c r="N85" i="6"/>
  <c r="M85" i="6"/>
  <c r="L85" i="6"/>
  <c r="H85" i="6"/>
  <c r="W84" i="6"/>
  <c r="V84" i="6"/>
  <c r="U84" i="6"/>
  <c r="Q84" i="6"/>
  <c r="P84" i="6"/>
  <c r="N84" i="6"/>
  <c r="M84" i="6"/>
  <c r="L84" i="6"/>
  <c r="H84" i="6"/>
  <c r="W83" i="6"/>
  <c r="V83" i="6"/>
  <c r="U83" i="6"/>
  <c r="Q83" i="6"/>
  <c r="P83" i="6"/>
  <c r="N83" i="6"/>
  <c r="M83" i="6"/>
  <c r="L83" i="6"/>
  <c r="H83" i="6"/>
  <c r="W82" i="6"/>
  <c r="V82" i="6"/>
  <c r="U82" i="6"/>
  <c r="Q82" i="6"/>
  <c r="P82" i="6"/>
  <c r="N82" i="6"/>
  <c r="M82" i="6"/>
  <c r="L82" i="6"/>
  <c r="H82" i="6"/>
  <c r="W81" i="6"/>
  <c r="V81" i="6"/>
  <c r="U81" i="6"/>
  <c r="Q81" i="6"/>
  <c r="P81" i="6"/>
  <c r="N81" i="6"/>
  <c r="M81" i="6"/>
  <c r="L81" i="6"/>
  <c r="H81" i="6"/>
  <c r="W79" i="6"/>
  <c r="V79" i="6"/>
  <c r="U79" i="6"/>
  <c r="Q79" i="6"/>
  <c r="P79" i="6"/>
  <c r="N79" i="6"/>
  <c r="M79" i="6"/>
  <c r="L79" i="6"/>
  <c r="H79" i="6"/>
  <c r="W78" i="6"/>
  <c r="V78" i="6"/>
  <c r="U78" i="6"/>
  <c r="Q78" i="6"/>
  <c r="P78" i="6"/>
  <c r="N78" i="6"/>
  <c r="M78" i="6"/>
  <c r="L78" i="6"/>
  <c r="H78" i="6"/>
  <c r="W77" i="6"/>
  <c r="V77" i="6"/>
  <c r="U77" i="6"/>
  <c r="Q77" i="6"/>
  <c r="P77" i="6"/>
  <c r="N77" i="6"/>
  <c r="M77" i="6"/>
  <c r="L77" i="6"/>
  <c r="H77" i="6"/>
  <c r="W76" i="6"/>
  <c r="V76" i="6"/>
  <c r="U76" i="6"/>
  <c r="Q76" i="6"/>
  <c r="P76" i="6"/>
  <c r="N76" i="6"/>
  <c r="M76" i="6"/>
  <c r="L76" i="6"/>
  <c r="H76" i="6"/>
  <c r="W75" i="6"/>
  <c r="V75" i="6"/>
  <c r="U75" i="6"/>
  <c r="Q75" i="6"/>
  <c r="P75" i="6"/>
  <c r="N75" i="6"/>
  <c r="M75" i="6"/>
  <c r="L75" i="6"/>
  <c r="H75" i="6"/>
  <c r="W74" i="6"/>
  <c r="V74" i="6"/>
  <c r="U74" i="6"/>
  <c r="Q74" i="6"/>
  <c r="P74" i="6"/>
  <c r="N74" i="6"/>
  <c r="M74" i="6"/>
  <c r="L74" i="6"/>
  <c r="H74" i="6"/>
  <c r="W73" i="6"/>
  <c r="V73" i="6"/>
  <c r="U73" i="6"/>
  <c r="Q73" i="6"/>
  <c r="P73" i="6"/>
  <c r="N73" i="6"/>
  <c r="M73" i="6"/>
  <c r="L73" i="6"/>
  <c r="H73" i="6"/>
  <c r="W68" i="6"/>
  <c r="V68" i="6"/>
  <c r="U68" i="6"/>
  <c r="Q68" i="6"/>
  <c r="P68" i="6"/>
  <c r="N68" i="6"/>
  <c r="M68" i="6"/>
  <c r="L68" i="6"/>
  <c r="H68" i="6"/>
  <c r="W67" i="6"/>
  <c r="V67" i="6"/>
  <c r="U67" i="6"/>
  <c r="Q67" i="6"/>
  <c r="P67" i="6"/>
  <c r="N67" i="6"/>
  <c r="M67" i="6"/>
  <c r="L67" i="6"/>
  <c r="H67" i="6"/>
  <c r="W66" i="6"/>
  <c r="V66" i="6"/>
  <c r="U66" i="6"/>
  <c r="Q66" i="6"/>
  <c r="P66" i="6"/>
  <c r="N66" i="6"/>
  <c r="M66" i="6"/>
  <c r="L66" i="6"/>
  <c r="H66" i="6"/>
  <c r="W65" i="6"/>
  <c r="V65" i="6"/>
  <c r="U65" i="6"/>
  <c r="Q65" i="6"/>
  <c r="P65" i="6"/>
  <c r="N65" i="6"/>
  <c r="M65" i="6"/>
  <c r="L65" i="6"/>
  <c r="H65" i="6"/>
  <c r="W64" i="6"/>
  <c r="V64" i="6"/>
  <c r="U64" i="6"/>
  <c r="Q64" i="6"/>
  <c r="P64" i="6"/>
  <c r="N64" i="6"/>
  <c r="M64" i="6"/>
  <c r="L64" i="6"/>
  <c r="H64" i="6"/>
  <c r="W62" i="6"/>
  <c r="V62" i="6"/>
  <c r="U62" i="6"/>
  <c r="Q62" i="6"/>
  <c r="P62" i="6"/>
  <c r="N62" i="6"/>
  <c r="M62" i="6"/>
  <c r="L62" i="6"/>
  <c r="H62" i="6"/>
  <c r="W61" i="6"/>
  <c r="V61" i="6"/>
  <c r="U61" i="6"/>
  <c r="Q61" i="6"/>
  <c r="P61" i="6"/>
  <c r="N61" i="6"/>
  <c r="M61" i="6"/>
  <c r="L61" i="6"/>
  <c r="H61" i="6"/>
  <c r="W60" i="6"/>
  <c r="V60" i="6"/>
  <c r="U60" i="6"/>
  <c r="Q60" i="6"/>
  <c r="P60" i="6"/>
  <c r="N60" i="6"/>
  <c r="M60" i="6"/>
  <c r="L60" i="6"/>
  <c r="H60" i="6"/>
  <c r="W57" i="6"/>
  <c r="V57" i="6"/>
  <c r="U57" i="6"/>
  <c r="Q57" i="6"/>
  <c r="P57" i="6"/>
  <c r="N57" i="6"/>
  <c r="M57" i="6"/>
  <c r="L57" i="6"/>
  <c r="H57" i="6"/>
  <c r="W56" i="6"/>
  <c r="V56" i="6"/>
  <c r="U56" i="6"/>
  <c r="Q56" i="6"/>
  <c r="P56" i="6"/>
  <c r="N56" i="6"/>
  <c r="M56" i="6"/>
  <c r="L56" i="6"/>
  <c r="H56" i="6"/>
  <c r="W55" i="6"/>
  <c r="V55" i="6"/>
  <c r="U55" i="6"/>
  <c r="Q55" i="6"/>
  <c r="P55" i="6"/>
  <c r="N55" i="6"/>
  <c r="M55" i="6"/>
  <c r="L55" i="6"/>
  <c r="H55" i="6"/>
  <c r="W54" i="6"/>
  <c r="V54" i="6"/>
  <c r="U54" i="6"/>
  <c r="Q54" i="6"/>
  <c r="P54" i="6"/>
  <c r="N54" i="6"/>
  <c r="M54" i="6"/>
  <c r="L54" i="6"/>
  <c r="H54" i="6"/>
  <c r="W52" i="6"/>
  <c r="W51" i="6" s="1"/>
  <c r="V52" i="6"/>
  <c r="V51" i="6" s="1"/>
  <c r="U52" i="6"/>
  <c r="U51" i="6" s="1"/>
  <c r="Q52" i="6"/>
  <c r="Q51" i="6" s="1"/>
  <c r="P52" i="6"/>
  <c r="P51" i="6" s="1"/>
  <c r="N52" i="6"/>
  <c r="N51" i="6" s="1"/>
  <c r="M52" i="6"/>
  <c r="M51" i="6" s="1"/>
  <c r="L52" i="6"/>
  <c r="L51" i="6" s="1"/>
  <c r="H52" i="6"/>
  <c r="H51" i="6" s="1"/>
  <c r="W50" i="6"/>
  <c r="W49" i="6" s="1"/>
  <c r="V50" i="6"/>
  <c r="V49" i="6" s="1"/>
  <c r="U50" i="6"/>
  <c r="U49" i="6" s="1"/>
  <c r="Q50" i="6"/>
  <c r="Q49" i="6" s="1"/>
  <c r="P50" i="6"/>
  <c r="P49" i="6" s="1"/>
  <c r="N50" i="6"/>
  <c r="N49" i="6" s="1"/>
  <c r="M50" i="6"/>
  <c r="M49" i="6" s="1"/>
  <c r="L50" i="6"/>
  <c r="L49" i="6" s="1"/>
  <c r="H50" i="6"/>
  <c r="H49" i="6" s="1"/>
  <c r="W48" i="6"/>
  <c r="V48" i="6"/>
  <c r="U48" i="6"/>
  <c r="Q48" i="6"/>
  <c r="P48" i="6"/>
  <c r="N48" i="6"/>
  <c r="M48" i="6"/>
  <c r="L48" i="6"/>
  <c r="H48" i="6"/>
  <c r="W47" i="6"/>
  <c r="V47" i="6"/>
  <c r="U47" i="6"/>
  <c r="Q47" i="6"/>
  <c r="P47" i="6"/>
  <c r="N47" i="6"/>
  <c r="M47" i="6"/>
  <c r="L47" i="6"/>
  <c r="H47" i="6"/>
  <c r="W46" i="6"/>
  <c r="V46" i="6"/>
  <c r="U46" i="6"/>
  <c r="Q46" i="6"/>
  <c r="P46" i="6"/>
  <c r="N46" i="6"/>
  <c r="M46" i="6"/>
  <c r="L46" i="6"/>
  <c r="H46" i="6"/>
  <c r="W45" i="6"/>
  <c r="V45" i="6"/>
  <c r="U45" i="6"/>
  <c r="Q45" i="6"/>
  <c r="P45" i="6"/>
  <c r="N45" i="6"/>
  <c r="M45" i="6"/>
  <c r="L45" i="6"/>
  <c r="H45" i="6"/>
  <c r="W44" i="6"/>
  <c r="V44" i="6"/>
  <c r="U44" i="6"/>
  <c r="Q44" i="6"/>
  <c r="P44" i="6"/>
  <c r="N44" i="6"/>
  <c r="M44" i="6"/>
  <c r="L44" i="6"/>
  <c r="H44" i="6"/>
  <c r="W43" i="6"/>
  <c r="V43" i="6"/>
  <c r="U43" i="6"/>
  <c r="Q43" i="6"/>
  <c r="P43" i="6"/>
  <c r="N43" i="6"/>
  <c r="M43" i="6"/>
  <c r="L43" i="6"/>
  <c r="H43" i="6"/>
  <c r="W41" i="6"/>
  <c r="V41" i="6"/>
  <c r="U41" i="6"/>
  <c r="Q41" i="6"/>
  <c r="P41" i="6"/>
  <c r="N41" i="6"/>
  <c r="M41" i="6"/>
  <c r="L41" i="6"/>
  <c r="H41" i="6"/>
  <c r="W40" i="6"/>
  <c r="V40" i="6"/>
  <c r="U40" i="6"/>
  <c r="Q40" i="6"/>
  <c r="P40" i="6"/>
  <c r="N40" i="6"/>
  <c r="M40" i="6"/>
  <c r="L40" i="6"/>
  <c r="H40" i="6"/>
  <c r="W37" i="6"/>
  <c r="V37" i="6"/>
  <c r="U37" i="6"/>
  <c r="Q37" i="6"/>
  <c r="P37" i="6"/>
  <c r="N37" i="6"/>
  <c r="M37" i="6"/>
  <c r="L37" i="6"/>
  <c r="H37" i="6"/>
  <c r="W36" i="6"/>
  <c r="V36" i="6"/>
  <c r="U36" i="6"/>
  <c r="Q36" i="6"/>
  <c r="P36" i="6"/>
  <c r="N36" i="6"/>
  <c r="M36" i="6"/>
  <c r="L36" i="6"/>
  <c r="H36" i="6"/>
  <c r="W35" i="6"/>
  <c r="V35" i="6"/>
  <c r="U35" i="6"/>
  <c r="Q35" i="6"/>
  <c r="P35" i="6"/>
  <c r="N35" i="6"/>
  <c r="M35" i="6"/>
  <c r="L35" i="6"/>
  <c r="H35" i="6"/>
  <c r="W34" i="6"/>
  <c r="V34" i="6"/>
  <c r="U34" i="6"/>
  <c r="Q34" i="6"/>
  <c r="P34" i="6"/>
  <c r="N34" i="6"/>
  <c r="M34" i="6"/>
  <c r="L34" i="6"/>
  <c r="H34" i="6"/>
  <c r="W32" i="6"/>
  <c r="V32" i="6"/>
  <c r="U32" i="6"/>
  <c r="Q32" i="6"/>
  <c r="P32" i="6"/>
  <c r="N32" i="6"/>
  <c r="M32" i="6"/>
  <c r="L32" i="6"/>
  <c r="H32" i="6"/>
  <c r="W31" i="6"/>
  <c r="V31" i="6"/>
  <c r="U31" i="6"/>
  <c r="Q31" i="6"/>
  <c r="P31" i="6"/>
  <c r="N31" i="6"/>
  <c r="M31" i="6"/>
  <c r="L31" i="6"/>
  <c r="H31" i="6"/>
  <c r="W29" i="6"/>
  <c r="V29" i="6"/>
  <c r="U29" i="6"/>
  <c r="Q29" i="6"/>
  <c r="P29" i="6"/>
  <c r="N29" i="6"/>
  <c r="M29" i="6"/>
  <c r="L29" i="6"/>
  <c r="H29" i="6"/>
  <c r="W28" i="6"/>
  <c r="V28" i="6"/>
  <c r="U28" i="6"/>
  <c r="Q28" i="6"/>
  <c r="P28" i="6"/>
  <c r="N28" i="6"/>
  <c r="M28" i="6"/>
  <c r="L28" i="6"/>
  <c r="H28" i="6"/>
  <c r="W27" i="6"/>
  <c r="V27" i="6"/>
  <c r="U27" i="6"/>
  <c r="Q27" i="6"/>
  <c r="P27" i="6"/>
  <c r="N27" i="6"/>
  <c r="M27" i="6"/>
  <c r="L27" i="6"/>
  <c r="H27" i="6"/>
  <c r="W26" i="6"/>
  <c r="V26" i="6"/>
  <c r="U26" i="6"/>
  <c r="Q26" i="6"/>
  <c r="P26" i="6"/>
  <c r="N26" i="6"/>
  <c r="M26" i="6"/>
  <c r="L26" i="6"/>
  <c r="H26" i="6"/>
  <c r="W25" i="6"/>
  <c r="V25" i="6"/>
  <c r="U25" i="6"/>
  <c r="Q25" i="6"/>
  <c r="P25" i="6"/>
  <c r="N25" i="6"/>
  <c r="M25" i="6"/>
  <c r="L25" i="6"/>
  <c r="H25" i="6"/>
  <c r="W24" i="6"/>
  <c r="V24" i="6"/>
  <c r="U24" i="6"/>
  <c r="Q24" i="6"/>
  <c r="P24" i="6"/>
  <c r="N24" i="6"/>
  <c r="M24" i="6"/>
  <c r="L24" i="6"/>
  <c r="H24" i="6"/>
  <c r="W22" i="6"/>
  <c r="V22" i="6"/>
  <c r="U22" i="6"/>
  <c r="Q22" i="6"/>
  <c r="P22" i="6"/>
  <c r="N22" i="6"/>
  <c r="M22" i="6"/>
  <c r="L22" i="6"/>
  <c r="H22" i="6"/>
  <c r="W21" i="6"/>
  <c r="V21" i="6"/>
  <c r="U21" i="6"/>
  <c r="Q21" i="6"/>
  <c r="P21" i="6"/>
  <c r="N21" i="6"/>
  <c r="M21" i="6"/>
  <c r="L21" i="6"/>
  <c r="H21" i="6"/>
  <c r="W20" i="6"/>
  <c r="V20" i="6"/>
  <c r="U20" i="6"/>
  <c r="Q20" i="6"/>
  <c r="P20" i="6"/>
  <c r="N20" i="6"/>
  <c r="M20" i="6"/>
  <c r="L20" i="6"/>
  <c r="H20" i="6"/>
  <c r="W18" i="6"/>
  <c r="V18" i="6"/>
  <c r="U18" i="6"/>
  <c r="Q18" i="6"/>
  <c r="P18" i="6"/>
  <c r="N18" i="6"/>
  <c r="M18" i="6"/>
  <c r="L18" i="6"/>
  <c r="H18" i="6"/>
  <c r="W17" i="6"/>
  <c r="V17" i="6"/>
  <c r="U17" i="6"/>
  <c r="Q17" i="6"/>
  <c r="P17" i="6"/>
  <c r="N17" i="6"/>
  <c r="M17" i="6"/>
  <c r="L17" i="6"/>
  <c r="H17" i="6"/>
  <c r="W16" i="6"/>
  <c r="V16" i="6"/>
  <c r="U16" i="6"/>
  <c r="Q16" i="6"/>
  <c r="P16" i="6"/>
  <c r="N16" i="6"/>
  <c r="M16" i="6"/>
  <c r="L16" i="6"/>
  <c r="H16" i="6"/>
  <c r="W14" i="6"/>
  <c r="V14" i="6"/>
  <c r="U14" i="6"/>
  <c r="Q14" i="6"/>
  <c r="P14" i="6"/>
  <c r="N14" i="6"/>
  <c r="M14" i="6"/>
  <c r="L14" i="6"/>
  <c r="H14" i="6"/>
  <c r="W13" i="6"/>
  <c r="V13" i="6"/>
  <c r="U13" i="6"/>
  <c r="Q13" i="6"/>
  <c r="P13" i="6"/>
  <c r="N13" i="6"/>
  <c r="M13" i="6"/>
  <c r="L13" i="6"/>
  <c r="H13" i="6"/>
  <c r="W12" i="6"/>
  <c r="V12" i="6"/>
  <c r="U12" i="6"/>
  <c r="Q12" i="6"/>
  <c r="P12" i="6"/>
  <c r="N12" i="6"/>
  <c r="M12" i="6"/>
  <c r="L12" i="6"/>
  <c r="H12" i="6"/>
  <c r="W11" i="6"/>
  <c r="V11" i="6"/>
  <c r="U11" i="6"/>
  <c r="Q11" i="6"/>
  <c r="P11" i="6"/>
  <c r="N11" i="6"/>
  <c r="M11" i="6"/>
  <c r="L11" i="6"/>
  <c r="H11" i="6"/>
  <c r="W10" i="6"/>
  <c r="V10" i="6"/>
  <c r="U10" i="6"/>
  <c r="Q10" i="6"/>
  <c r="P10" i="6"/>
  <c r="N10" i="6"/>
  <c r="M10" i="6"/>
  <c r="L10" i="6"/>
  <c r="H10" i="6"/>
  <c r="W8" i="6"/>
  <c r="V8" i="6"/>
  <c r="U8" i="6"/>
  <c r="Q8" i="6"/>
  <c r="P8" i="6"/>
  <c r="N8" i="6"/>
  <c r="M8" i="6"/>
  <c r="L8" i="6"/>
  <c r="H8" i="6"/>
  <c r="W7" i="6"/>
  <c r="V7" i="6"/>
  <c r="U7" i="6"/>
  <c r="Q7" i="6"/>
  <c r="P7" i="6"/>
  <c r="N7" i="6"/>
  <c r="M7" i="6"/>
  <c r="L7" i="6"/>
  <c r="H7" i="6"/>
  <c r="W6" i="6"/>
  <c r="V6" i="6"/>
  <c r="U6" i="6"/>
  <c r="Q6" i="6"/>
  <c r="P6" i="6"/>
  <c r="N6" i="6"/>
  <c r="M6" i="6"/>
  <c r="L6" i="6"/>
  <c r="H6" i="6"/>
  <c r="D87" i="5"/>
  <c r="E24" i="1" s="1"/>
  <c r="W85" i="5"/>
  <c r="V85" i="5"/>
  <c r="U85" i="5"/>
  <c r="T85" i="5"/>
  <c r="S85" i="5"/>
  <c r="R85" i="5"/>
  <c r="Q85" i="5"/>
  <c r="P85" i="5"/>
  <c r="O85" i="5"/>
  <c r="N85" i="5"/>
  <c r="M85" i="5"/>
  <c r="L85" i="5"/>
  <c r="K85" i="5"/>
  <c r="J85" i="5"/>
  <c r="I85" i="5"/>
  <c r="H85" i="5"/>
  <c r="G85" i="5"/>
  <c r="F85" i="5"/>
  <c r="E85" i="5"/>
  <c r="D47" i="5"/>
  <c r="D24" i="1" s="1"/>
  <c r="W45" i="5"/>
  <c r="V45" i="5"/>
  <c r="U45" i="5"/>
  <c r="T45" i="5"/>
  <c r="S45" i="5"/>
  <c r="R45" i="5"/>
  <c r="Q45" i="5"/>
  <c r="P45" i="5"/>
  <c r="O45" i="5"/>
  <c r="N45" i="5"/>
  <c r="M45" i="5"/>
  <c r="L45" i="5"/>
  <c r="K45" i="5"/>
  <c r="J45" i="5"/>
  <c r="I45" i="5"/>
  <c r="H45" i="5"/>
  <c r="G45" i="5"/>
  <c r="F45" i="5"/>
  <c r="E45" i="5"/>
  <c r="D7" i="5"/>
  <c r="C24" i="1" s="1"/>
  <c r="D5" i="5"/>
  <c r="C23" i="1" s="1"/>
  <c r="Q499" i="4"/>
  <c r="P499" i="4"/>
  <c r="F499" i="4"/>
  <c r="D499" i="4"/>
  <c r="B499" i="4"/>
  <c r="Q498" i="4"/>
  <c r="P498" i="4"/>
  <c r="F498" i="4"/>
  <c r="D498" i="4"/>
  <c r="B498" i="4"/>
  <c r="Q497" i="4"/>
  <c r="P497" i="4"/>
  <c r="F497" i="4"/>
  <c r="D497" i="4"/>
  <c r="B497" i="4"/>
  <c r="Q496" i="4"/>
  <c r="P496" i="4"/>
  <c r="F496" i="4"/>
  <c r="D496" i="4"/>
  <c r="B496" i="4"/>
  <c r="Q495" i="4"/>
  <c r="P495" i="4"/>
  <c r="F495" i="4"/>
  <c r="D495" i="4"/>
  <c r="B495" i="4"/>
  <c r="Q494" i="4"/>
  <c r="P494" i="4"/>
  <c r="F494" i="4"/>
  <c r="D494" i="4"/>
  <c r="B494" i="4"/>
  <c r="Q493" i="4"/>
  <c r="P493" i="4"/>
  <c r="F493" i="4"/>
  <c r="D493" i="4"/>
  <c r="B493" i="4"/>
  <c r="Q492" i="4"/>
  <c r="P492" i="4"/>
  <c r="F492" i="4"/>
  <c r="D492" i="4"/>
  <c r="B492" i="4"/>
  <c r="Q491" i="4"/>
  <c r="P491" i="4"/>
  <c r="F491" i="4"/>
  <c r="D491" i="4"/>
  <c r="B491" i="4"/>
  <c r="Q490" i="4"/>
  <c r="P490" i="4"/>
  <c r="F490" i="4"/>
  <c r="D490" i="4"/>
  <c r="B490" i="4"/>
  <c r="Q489" i="4"/>
  <c r="P489" i="4"/>
  <c r="F489" i="4"/>
  <c r="D489" i="4"/>
  <c r="B489" i="4"/>
  <c r="Q488" i="4"/>
  <c r="P488" i="4"/>
  <c r="F488" i="4"/>
  <c r="D488" i="4"/>
  <c r="B488" i="4"/>
  <c r="Q487" i="4"/>
  <c r="P487" i="4"/>
  <c r="F487" i="4"/>
  <c r="D487" i="4"/>
  <c r="B487" i="4"/>
  <c r="Q486" i="4"/>
  <c r="P486" i="4"/>
  <c r="F486" i="4"/>
  <c r="D486" i="4"/>
  <c r="B486" i="4"/>
  <c r="Q485" i="4"/>
  <c r="P485" i="4"/>
  <c r="F485" i="4"/>
  <c r="D485" i="4"/>
  <c r="B485" i="4"/>
  <c r="Q484" i="4"/>
  <c r="P484" i="4"/>
  <c r="F484" i="4"/>
  <c r="D484" i="4"/>
  <c r="B484" i="4"/>
  <c r="Q483" i="4"/>
  <c r="P483" i="4"/>
  <c r="F483" i="4"/>
  <c r="D483" i="4"/>
  <c r="B483" i="4"/>
  <c r="Q482" i="4"/>
  <c r="P482" i="4"/>
  <c r="F482" i="4"/>
  <c r="D482" i="4"/>
  <c r="B482" i="4"/>
  <c r="Q481" i="4"/>
  <c r="P481" i="4"/>
  <c r="F481" i="4"/>
  <c r="D481" i="4"/>
  <c r="B481" i="4"/>
  <c r="Q480" i="4"/>
  <c r="P480" i="4"/>
  <c r="F480" i="4"/>
  <c r="D480" i="4"/>
  <c r="B480" i="4"/>
  <c r="Q479" i="4"/>
  <c r="P479" i="4"/>
  <c r="F479" i="4"/>
  <c r="D479" i="4"/>
  <c r="B479" i="4"/>
  <c r="Q478" i="4"/>
  <c r="P478" i="4"/>
  <c r="F478" i="4"/>
  <c r="D478" i="4"/>
  <c r="B478" i="4"/>
  <c r="Q477" i="4"/>
  <c r="P477" i="4"/>
  <c r="F477" i="4"/>
  <c r="D477" i="4"/>
  <c r="B477" i="4"/>
  <c r="Q476" i="4"/>
  <c r="P476" i="4"/>
  <c r="F476" i="4"/>
  <c r="D476" i="4"/>
  <c r="B476" i="4"/>
  <c r="Q475" i="4"/>
  <c r="P475" i="4"/>
  <c r="F475" i="4"/>
  <c r="D475" i="4"/>
  <c r="B475" i="4"/>
  <c r="Q474" i="4"/>
  <c r="P474" i="4"/>
  <c r="F474" i="4"/>
  <c r="D474" i="4"/>
  <c r="B474" i="4"/>
  <c r="Q473" i="4"/>
  <c r="P473" i="4"/>
  <c r="F473" i="4"/>
  <c r="D473" i="4"/>
  <c r="B473" i="4"/>
  <c r="Q472" i="4"/>
  <c r="P472" i="4"/>
  <c r="F472" i="4"/>
  <c r="D472" i="4"/>
  <c r="B472" i="4"/>
  <c r="Q471" i="4"/>
  <c r="P471" i="4"/>
  <c r="F471" i="4"/>
  <c r="D471" i="4"/>
  <c r="B471" i="4"/>
  <c r="Q470" i="4"/>
  <c r="P470" i="4"/>
  <c r="F470" i="4"/>
  <c r="D470" i="4"/>
  <c r="B470" i="4"/>
  <c r="Q469" i="4"/>
  <c r="P469" i="4"/>
  <c r="F469" i="4"/>
  <c r="D469" i="4"/>
  <c r="B469" i="4"/>
  <c r="Q468" i="4"/>
  <c r="P468" i="4"/>
  <c r="F468" i="4"/>
  <c r="D468" i="4"/>
  <c r="B468" i="4"/>
  <c r="Q467" i="4"/>
  <c r="P467" i="4"/>
  <c r="F467" i="4"/>
  <c r="D467" i="4"/>
  <c r="B467" i="4"/>
  <c r="Q466" i="4"/>
  <c r="P466" i="4"/>
  <c r="F466" i="4"/>
  <c r="D466" i="4"/>
  <c r="B466" i="4"/>
  <c r="Q465" i="4"/>
  <c r="P465" i="4"/>
  <c r="F465" i="4"/>
  <c r="D465" i="4"/>
  <c r="B465" i="4"/>
  <c r="Q464" i="4"/>
  <c r="P464" i="4"/>
  <c r="F464" i="4"/>
  <c r="D464" i="4"/>
  <c r="B464" i="4"/>
  <c r="Q463" i="4"/>
  <c r="P463" i="4"/>
  <c r="F463" i="4"/>
  <c r="D463" i="4"/>
  <c r="B463" i="4"/>
  <c r="Q462" i="4"/>
  <c r="P462" i="4"/>
  <c r="F462" i="4"/>
  <c r="D462" i="4"/>
  <c r="B462" i="4"/>
  <c r="Q461" i="4"/>
  <c r="P461" i="4"/>
  <c r="F461" i="4"/>
  <c r="D461" i="4"/>
  <c r="B461" i="4"/>
  <c r="Q460" i="4"/>
  <c r="P460" i="4"/>
  <c r="F460" i="4"/>
  <c r="D460" i="4"/>
  <c r="B460" i="4"/>
  <c r="Q459" i="4"/>
  <c r="P459" i="4"/>
  <c r="F459" i="4"/>
  <c r="D459" i="4"/>
  <c r="B459" i="4"/>
  <c r="Q458" i="4"/>
  <c r="P458" i="4"/>
  <c r="F458" i="4"/>
  <c r="D458" i="4"/>
  <c r="B458" i="4"/>
  <c r="Q457" i="4"/>
  <c r="P457" i="4"/>
  <c r="F457" i="4"/>
  <c r="D457" i="4"/>
  <c r="B457" i="4"/>
  <c r="Q456" i="4"/>
  <c r="P456" i="4"/>
  <c r="F456" i="4"/>
  <c r="D456" i="4"/>
  <c r="B456" i="4"/>
  <c r="Q455" i="4"/>
  <c r="P455" i="4"/>
  <c r="F455" i="4"/>
  <c r="D455" i="4"/>
  <c r="B455" i="4"/>
  <c r="Q454" i="4"/>
  <c r="P454" i="4"/>
  <c r="F454" i="4"/>
  <c r="D454" i="4"/>
  <c r="B454" i="4"/>
  <c r="Q453" i="4"/>
  <c r="P453" i="4"/>
  <c r="F453" i="4"/>
  <c r="D453" i="4"/>
  <c r="B453" i="4"/>
  <c r="Q452" i="4"/>
  <c r="P452" i="4"/>
  <c r="F452" i="4"/>
  <c r="D452" i="4"/>
  <c r="B452" i="4"/>
  <c r="Q451" i="4"/>
  <c r="P451" i="4"/>
  <c r="F451" i="4"/>
  <c r="D451" i="4"/>
  <c r="B451" i="4"/>
  <c r="Q450" i="4"/>
  <c r="P450" i="4"/>
  <c r="F450" i="4"/>
  <c r="D450" i="4"/>
  <c r="B450" i="4"/>
  <c r="Q449" i="4"/>
  <c r="P449" i="4"/>
  <c r="F449" i="4"/>
  <c r="D449" i="4"/>
  <c r="B449" i="4"/>
  <c r="Q448" i="4"/>
  <c r="P448" i="4"/>
  <c r="F448" i="4"/>
  <c r="D448" i="4"/>
  <c r="B448" i="4"/>
  <c r="Q447" i="4"/>
  <c r="P447" i="4"/>
  <c r="F447" i="4"/>
  <c r="D447" i="4"/>
  <c r="B447" i="4"/>
  <c r="Q446" i="4"/>
  <c r="P446" i="4"/>
  <c r="F446" i="4"/>
  <c r="D446" i="4"/>
  <c r="B446" i="4"/>
  <c r="Q445" i="4"/>
  <c r="P445" i="4"/>
  <c r="F445" i="4"/>
  <c r="D445" i="4"/>
  <c r="B445" i="4"/>
  <c r="Q444" i="4"/>
  <c r="P444" i="4"/>
  <c r="F444" i="4"/>
  <c r="D444" i="4"/>
  <c r="B444" i="4"/>
  <c r="Q443" i="4"/>
  <c r="P443" i="4"/>
  <c r="F443" i="4"/>
  <c r="D443" i="4"/>
  <c r="B443" i="4"/>
  <c r="Q442" i="4"/>
  <c r="P442" i="4"/>
  <c r="F442" i="4"/>
  <c r="D442" i="4"/>
  <c r="B442" i="4"/>
  <c r="Q441" i="4"/>
  <c r="P441" i="4"/>
  <c r="F441" i="4"/>
  <c r="D441" i="4"/>
  <c r="B441" i="4"/>
  <c r="Q440" i="4"/>
  <c r="P440" i="4"/>
  <c r="F440" i="4"/>
  <c r="D440" i="4"/>
  <c r="B440" i="4"/>
  <c r="Q439" i="4"/>
  <c r="P439" i="4"/>
  <c r="F439" i="4"/>
  <c r="D439" i="4"/>
  <c r="B439" i="4"/>
  <c r="Q438" i="4"/>
  <c r="P438" i="4"/>
  <c r="F438" i="4"/>
  <c r="D438" i="4"/>
  <c r="B438" i="4"/>
  <c r="Q437" i="4"/>
  <c r="P437" i="4"/>
  <c r="F437" i="4"/>
  <c r="D437" i="4"/>
  <c r="B437" i="4"/>
  <c r="Q436" i="4"/>
  <c r="P436" i="4"/>
  <c r="F436" i="4"/>
  <c r="D436" i="4"/>
  <c r="B436" i="4"/>
  <c r="Q435" i="4"/>
  <c r="P435" i="4"/>
  <c r="F435" i="4"/>
  <c r="D435" i="4"/>
  <c r="B435" i="4"/>
  <c r="Q434" i="4"/>
  <c r="P434" i="4"/>
  <c r="F434" i="4"/>
  <c r="D434" i="4"/>
  <c r="B434" i="4"/>
  <c r="Q433" i="4"/>
  <c r="P433" i="4"/>
  <c r="F433" i="4"/>
  <c r="D433" i="4"/>
  <c r="B433" i="4"/>
  <c r="Q432" i="4"/>
  <c r="P432" i="4"/>
  <c r="F432" i="4"/>
  <c r="D432" i="4"/>
  <c r="B432" i="4"/>
  <c r="Q431" i="4"/>
  <c r="P431" i="4"/>
  <c r="F431" i="4"/>
  <c r="D431" i="4"/>
  <c r="B431" i="4"/>
  <c r="Q430" i="4"/>
  <c r="P430" i="4"/>
  <c r="F430" i="4"/>
  <c r="D430" i="4"/>
  <c r="B430" i="4"/>
  <c r="Q429" i="4"/>
  <c r="P429" i="4"/>
  <c r="F429" i="4"/>
  <c r="D429" i="4"/>
  <c r="B429" i="4"/>
  <c r="Q428" i="4"/>
  <c r="P428" i="4"/>
  <c r="F428" i="4"/>
  <c r="D428" i="4"/>
  <c r="B428" i="4"/>
  <c r="Q427" i="4"/>
  <c r="P427" i="4"/>
  <c r="F427" i="4"/>
  <c r="D427" i="4"/>
  <c r="B427" i="4"/>
  <c r="Q426" i="4"/>
  <c r="P426" i="4"/>
  <c r="F426" i="4"/>
  <c r="D426" i="4"/>
  <c r="B426" i="4"/>
  <c r="Q425" i="4"/>
  <c r="P425" i="4"/>
  <c r="F425" i="4"/>
  <c r="D425" i="4"/>
  <c r="B425" i="4"/>
  <c r="Q424" i="4"/>
  <c r="P424" i="4"/>
  <c r="F424" i="4"/>
  <c r="D424" i="4"/>
  <c r="B424" i="4"/>
  <c r="Q423" i="4"/>
  <c r="P423" i="4"/>
  <c r="F423" i="4"/>
  <c r="D423" i="4"/>
  <c r="B423" i="4"/>
  <c r="Q422" i="4"/>
  <c r="P422" i="4"/>
  <c r="F422" i="4"/>
  <c r="D422" i="4"/>
  <c r="B422" i="4"/>
  <c r="Q421" i="4"/>
  <c r="P421" i="4"/>
  <c r="F421" i="4"/>
  <c r="D421" i="4"/>
  <c r="B421" i="4"/>
  <c r="Q420" i="4"/>
  <c r="P420" i="4"/>
  <c r="F420" i="4"/>
  <c r="D420" i="4"/>
  <c r="B420" i="4"/>
  <c r="Q419" i="4"/>
  <c r="P419" i="4"/>
  <c r="F419" i="4"/>
  <c r="D419" i="4"/>
  <c r="B419" i="4"/>
  <c r="Q418" i="4"/>
  <c r="P418" i="4"/>
  <c r="F418" i="4"/>
  <c r="D418" i="4"/>
  <c r="B418" i="4"/>
  <c r="Q417" i="4"/>
  <c r="P417" i="4"/>
  <c r="F417" i="4"/>
  <c r="D417" i="4"/>
  <c r="B417" i="4"/>
  <c r="Q416" i="4"/>
  <c r="P416" i="4"/>
  <c r="F416" i="4"/>
  <c r="D416" i="4"/>
  <c r="B416" i="4"/>
  <c r="Q415" i="4"/>
  <c r="P415" i="4"/>
  <c r="F415" i="4"/>
  <c r="D415" i="4"/>
  <c r="B415" i="4"/>
  <c r="Q414" i="4"/>
  <c r="P414" i="4"/>
  <c r="F414" i="4"/>
  <c r="D414" i="4"/>
  <c r="B414" i="4"/>
  <c r="Q413" i="4"/>
  <c r="P413" i="4"/>
  <c r="F413" i="4"/>
  <c r="D413" i="4"/>
  <c r="B413" i="4"/>
  <c r="Q412" i="4"/>
  <c r="P412" i="4"/>
  <c r="F412" i="4"/>
  <c r="D412" i="4"/>
  <c r="B412" i="4"/>
  <c r="Q411" i="4"/>
  <c r="P411" i="4"/>
  <c r="F411" i="4"/>
  <c r="D411" i="4"/>
  <c r="B411" i="4"/>
  <c r="Q410" i="4"/>
  <c r="P410" i="4"/>
  <c r="F410" i="4"/>
  <c r="D410" i="4"/>
  <c r="B410" i="4"/>
  <c r="Q409" i="4"/>
  <c r="P409" i="4"/>
  <c r="F409" i="4"/>
  <c r="D409" i="4"/>
  <c r="B409" i="4"/>
  <c r="Q408" i="4"/>
  <c r="P408" i="4"/>
  <c r="F408" i="4"/>
  <c r="D408" i="4"/>
  <c r="B408" i="4"/>
  <c r="Q407" i="4"/>
  <c r="P407" i="4"/>
  <c r="F407" i="4"/>
  <c r="D407" i="4"/>
  <c r="B407" i="4"/>
  <c r="Q406" i="4"/>
  <c r="P406" i="4"/>
  <c r="F406" i="4"/>
  <c r="D406" i="4"/>
  <c r="B406" i="4"/>
  <c r="Q405" i="4"/>
  <c r="P405" i="4"/>
  <c r="F405" i="4"/>
  <c r="D405" i="4"/>
  <c r="B405" i="4"/>
  <c r="Q404" i="4"/>
  <c r="P404" i="4"/>
  <c r="F404" i="4"/>
  <c r="D404" i="4"/>
  <c r="B404" i="4"/>
  <c r="Q403" i="4"/>
  <c r="P403" i="4"/>
  <c r="F403" i="4"/>
  <c r="D403" i="4"/>
  <c r="B403" i="4"/>
  <c r="Q402" i="4"/>
  <c r="P402" i="4"/>
  <c r="F402" i="4"/>
  <c r="D402" i="4"/>
  <c r="B402" i="4"/>
  <c r="Q401" i="4"/>
  <c r="P401" i="4"/>
  <c r="F401" i="4"/>
  <c r="D401" i="4"/>
  <c r="B401" i="4"/>
  <c r="Q400" i="4"/>
  <c r="P400" i="4"/>
  <c r="F400" i="4"/>
  <c r="D400" i="4"/>
  <c r="B400" i="4"/>
  <c r="Q399" i="4"/>
  <c r="P399" i="4"/>
  <c r="F399" i="4"/>
  <c r="D399" i="4"/>
  <c r="B399" i="4"/>
  <c r="Q398" i="4"/>
  <c r="P398" i="4"/>
  <c r="F398" i="4"/>
  <c r="D398" i="4"/>
  <c r="B398" i="4"/>
  <c r="Q397" i="4"/>
  <c r="P397" i="4"/>
  <c r="F397" i="4"/>
  <c r="D397" i="4"/>
  <c r="B397" i="4"/>
  <c r="Q396" i="4"/>
  <c r="P396" i="4"/>
  <c r="F396" i="4"/>
  <c r="D396" i="4"/>
  <c r="B396" i="4"/>
  <c r="Q395" i="4"/>
  <c r="P395" i="4"/>
  <c r="F395" i="4"/>
  <c r="D395" i="4"/>
  <c r="B395" i="4"/>
  <c r="Q394" i="4"/>
  <c r="P394" i="4"/>
  <c r="F394" i="4"/>
  <c r="D394" i="4"/>
  <c r="B394" i="4"/>
  <c r="Q393" i="4"/>
  <c r="P393" i="4"/>
  <c r="F393" i="4"/>
  <c r="D393" i="4"/>
  <c r="B393" i="4"/>
  <c r="Q392" i="4"/>
  <c r="P392" i="4"/>
  <c r="F392" i="4"/>
  <c r="D392" i="4"/>
  <c r="B392" i="4"/>
  <c r="Q391" i="4"/>
  <c r="P391" i="4"/>
  <c r="F391" i="4"/>
  <c r="D391" i="4"/>
  <c r="B391" i="4"/>
  <c r="Q390" i="4"/>
  <c r="P390" i="4"/>
  <c r="F390" i="4"/>
  <c r="D390" i="4"/>
  <c r="B390" i="4"/>
  <c r="Q389" i="4"/>
  <c r="P389" i="4"/>
  <c r="F389" i="4"/>
  <c r="D389" i="4"/>
  <c r="B389" i="4"/>
  <c r="Q388" i="4"/>
  <c r="P388" i="4"/>
  <c r="F388" i="4"/>
  <c r="D388" i="4"/>
  <c r="B388" i="4"/>
  <c r="Q387" i="4"/>
  <c r="P387" i="4"/>
  <c r="F387" i="4"/>
  <c r="D387" i="4"/>
  <c r="B387" i="4"/>
  <c r="Q386" i="4"/>
  <c r="P386" i="4"/>
  <c r="F386" i="4"/>
  <c r="D386" i="4"/>
  <c r="B386" i="4"/>
  <c r="Q385" i="4"/>
  <c r="P385" i="4"/>
  <c r="F385" i="4"/>
  <c r="D385" i="4"/>
  <c r="B385" i="4"/>
  <c r="Q384" i="4"/>
  <c r="P384" i="4"/>
  <c r="F384" i="4"/>
  <c r="D384" i="4"/>
  <c r="B384" i="4"/>
  <c r="Q383" i="4"/>
  <c r="P383" i="4"/>
  <c r="F383" i="4"/>
  <c r="D383" i="4"/>
  <c r="B383" i="4"/>
  <c r="Q382" i="4"/>
  <c r="P382" i="4"/>
  <c r="F382" i="4"/>
  <c r="D382" i="4"/>
  <c r="B382" i="4"/>
  <c r="Q381" i="4"/>
  <c r="P381" i="4"/>
  <c r="F381" i="4"/>
  <c r="D381" i="4"/>
  <c r="B381" i="4"/>
  <c r="Q380" i="4"/>
  <c r="P380" i="4"/>
  <c r="F380" i="4"/>
  <c r="D380" i="4"/>
  <c r="B380" i="4"/>
  <c r="Q379" i="4"/>
  <c r="P379" i="4"/>
  <c r="F379" i="4"/>
  <c r="D379" i="4"/>
  <c r="B379" i="4"/>
  <c r="Q378" i="4"/>
  <c r="P378" i="4"/>
  <c r="F378" i="4"/>
  <c r="D378" i="4"/>
  <c r="B378" i="4"/>
  <c r="Q377" i="4"/>
  <c r="P377" i="4"/>
  <c r="F377" i="4"/>
  <c r="D377" i="4"/>
  <c r="B377" i="4"/>
  <c r="Q376" i="4"/>
  <c r="P376" i="4"/>
  <c r="F376" i="4"/>
  <c r="D376" i="4"/>
  <c r="B376" i="4"/>
  <c r="Q375" i="4"/>
  <c r="P375" i="4"/>
  <c r="F375" i="4"/>
  <c r="D375" i="4"/>
  <c r="B375" i="4"/>
  <c r="Q374" i="4"/>
  <c r="P374" i="4"/>
  <c r="F374" i="4"/>
  <c r="D374" i="4"/>
  <c r="B374" i="4"/>
  <c r="Q373" i="4"/>
  <c r="P373" i="4"/>
  <c r="F373" i="4"/>
  <c r="D373" i="4"/>
  <c r="B373" i="4"/>
  <c r="Q372" i="4"/>
  <c r="P372" i="4"/>
  <c r="F372" i="4"/>
  <c r="D372" i="4"/>
  <c r="B372" i="4"/>
  <c r="Q371" i="4"/>
  <c r="P371" i="4"/>
  <c r="F371" i="4"/>
  <c r="D371" i="4"/>
  <c r="B371" i="4"/>
  <c r="Q370" i="4"/>
  <c r="P370" i="4"/>
  <c r="F370" i="4"/>
  <c r="D370" i="4"/>
  <c r="B370" i="4"/>
  <c r="Q369" i="4"/>
  <c r="P369" i="4"/>
  <c r="F369" i="4"/>
  <c r="D369" i="4"/>
  <c r="B369" i="4"/>
  <c r="Q368" i="4"/>
  <c r="P368" i="4"/>
  <c r="F368" i="4"/>
  <c r="D368" i="4"/>
  <c r="B368" i="4"/>
  <c r="Q367" i="4"/>
  <c r="P367" i="4"/>
  <c r="F367" i="4"/>
  <c r="D367" i="4"/>
  <c r="B367" i="4"/>
  <c r="Q366" i="4"/>
  <c r="P366" i="4"/>
  <c r="F366" i="4"/>
  <c r="D366" i="4"/>
  <c r="B366" i="4"/>
  <c r="Q365" i="4"/>
  <c r="P365" i="4"/>
  <c r="F365" i="4"/>
  <c r="D365" i="4"/>
  <c r="B365" i="4"/>
  <c r="Q364" i="4"/>
  <c r="P364" i="4"/>
  <c r="F364" i="4"/>
  <c r="D364" i="4"/>
  <c r="B364" i="4"/>
  <c r="Q363" i="4"/>
  <c r="P363" i="4"/>
  <c r="F363" i="4"/>
  <c r="D363" i="4"/>
  <c r="B363" i="4"/>
  <c r="Q362" i="4"/>
  <c r="P362" i="4"/>
  <c r="F362" i="4"/>
  <c r="D362" i="4"/>
  <c r="B362" i="4"/>
  <c r="Q361" i="4"/>
  <c r="P361" i="4"/>
  <c r="F361" i="4"/>
  <c r="D361" i="4"/>
  <c r="B361" i="4"/>
  <c r="Q360" i="4"/>
  <c r="P360" i="4"/>
  <c r="F360" i="4"/>
  <c r="D360" i="4"/>
  <c r="B360" i="4"/>
  <c r="Q359" i="4"/>
  <c r="P359" i="4"/>
  <c r="F359" i="4"/>
  <c r="D359" i="4"/>
  <c r="B359" i="4"/>
  <c r="Q358" i="4"/>
  <c r="P358" i="4"/>
  <c r="F358" i="4"/>
  <c r="D358" i="4"/>
  <c r="B358" i="4"/>
  <c r="Q357" i="4"/>
  <c r="P357" i="4"/>
  <c r="F357" i="4"/>
  <c r="D357" i="4"/>
  <c r="B357" i="4"/>
  <c r="Q356" i="4"/>
  <c r="P356" i="4"/>
  <c r="F356" i="4"/>
  <c r="D356" i="4"/>
  <c r="B356" i="4"/>
  <c r="Q355" i="4"/>
  <c r="P355" i="4"/>
  <c r="F355" i="4"/>
  <c r="D355" i="4"/>
  <c r="B355" i="4"/>
  <c r="Q354" i="4"/>
  <c r="P354" i="4"/>
  <c r="F354" i="4"/>
  <c r="D354" i="4"/>
  <c r="B354" i="4"/>
  <c r="Q353" i="4"/>
  <c r="P353" i="4"/>
  <c r="F353" i="4"/>
  <c r="D353" i="4"/>
  <c r="B353" i="4"/>
  <c r="Q352" i="4"/>
  <c r="P352" i="4"/>
  <c r="F352" i="4"/>
  <c r="D352" i="4"/>
  <c r="B352" i="4"/>
  <c r="Q351" i="4"/>
  <c r="P351" i="4"/>
  <c r="F351" i="4"/>
  <c r="D351" i="4"/>
  <c r="B351" i="4"/>
  <c r="Q350" i="4"/>
  <c r="P350" i="4"/>
  <c r="F350" i="4"/>
  <c r="D350" i="4"/>
  <c r="B350" i="4"/>
  <c r="Q349" i="4"/>
  <c r="P349" i="4"/>
  <c r="F349" i="4"/>
  <c r="D349" i="4"/>
  <c r="B349" i="4"/>
  <c r="Q348" i="4"/>
  <c r="P348" i="4"/>
  <c r="F348" i="4"/>
  <c r="D348" i="4"/>
  <c r="B348" i="4"/>
  <c r="Q347" i="4"/>
  <c r="P347" i="4"/>
  <c r="F347" i="4"/>
  <c r="D347" i="4"/>
  <c r="B347" i="4"/>
  <c r="Q346" i="4"/>
  <c r="P346" i="4"/>
  <c r="F346" i="4"/>
  <c r="D346" i="4"/>
  <c r="B346" i="4"/>
  <c r="Q345" i="4"/>
  <c r="P345" i="4"/>
  <c r="F345" i="4"/>
  <c r="D345" i="4"/>
  <c r="B345" i="4"/>
  <c r="Q344" i="4"/>
  <c r="P344" i="4"/>
  <c r="F344" i="4"/>
  <c r="D344" i="4"/>
  <c r="B344" i="4"/>
  <c r="Q343" i="4"/>
  <c r="P343" i="4"/>
  <c r="F343" i="4"/>
  <c r="D343" i="4"/>
  <c r="B343" i="4"/>
  <c r="Q342" i="4"/>
  <c r="P342" i="4"/>
  <c r="F342" i="4"/>
  <c r="D342" i="4"/>
  <c r="B342" i="4"/>
  <c r="Q341" i="4"/>
  <c r="P341" i="4"/>
  <c r="F341" i="4"/>
  <c r="D341" i="4"/>
  <c r="B341" i="4"/>
  <c r="Q340" i="4"/>
  <c r="P340" i="4"/>
  <c r="F340" i="4"/>
  <c r="D340" i="4"/>
  <c r="B340" i="4"/>
  <c r="Q339" i="4"/>
  <c r="P339" i="4"/>
  <c r="F339" i="4"/>
  <c r="D339" i="4"/>
  <c r="B339" i="4"/>
  <c r="Q338" i="4"/>
  <c r="P338" i="4"/>
  <c r="F338" i="4"/>
  <c r="D338" i="4"/>
  <c r="B338" i="4"/>
  <c r="Q337" i="4"/>
  <c r="P337" i="4"/>
  <c r="F337" i="4"/>
  <c r="D337" i="4"/>
  <c r="B337" i="4"/>
  <c r="Q336" i="4"/>
  <c r="P336" i="4"/>
  <c r="F336" i="4"/>
  <c r="D336" i="4"/>
  <c r="B336" i="4"/>
  <c r="Q335" i="4"/>
  <c r="P335" i="4"/>
  <c r="F335" i="4"/>
  <c r="D335" i="4"/>
  <c r="B335" i="4"/>
  <c r="Q334" i="4"/>
  <c r="P334" i="4"/>
  <c r="F334" i="4"/>
  <c r="D334" i="4"/>
  <c r="B334" i="4"/>
  <c r="Q333" i="4"/>
  <c r="P333" i="4"/>
  <c r="F333" i="4"/>
  <c r="D333" i="4"/>
  <c r="B333" i="4"/>
  <c r="Q332" i="4"/>
  <c r="P332" i="4"/>
  <c r="F332" i="4"/>
  <c r="D332" i="4"/>
  <c r="B332" i="4"/>
  <c r="Q331" i="4"/>
  <c r="P331" i="4"/>
  <c r="F331" i="4"/>
  <c r="D331" i="4"/>
  <c r="B331" i="4"/>
  <c r="Q330" i="4"/>
  <c r="P330" i="4"/>
  <c r="F330" i="4"/>
  <c r="D330" i="4"/>
  <c r="B330" i="4"/>
  <c r="Q329" i="4"/>
  <c r="P329" i="4"/>
  <c r="F329" i="4"/>
  <c r="D329" i="4"/>
  <c r="B329" i="4"/>
  <c r="Q328" i="4"/>
  <c r="P328" i="4"/>
  <c r="F328" i="4"/>
  <c r="D328" i="4"/>
  <c r="B328" i="4"/>
  <c r="Q327" i="4"/>
  <c r="P327" i="4"/>
  <c r="F327" i="4"/>
  <c r="D327" i="4"/>
  <c r="B327" i="4"/>
  <c r="Q326" i="4"/>
  <c r="P326" i="4"/>
  <c r="F326" i="4"/>
  <c r="D326" i="4"/>
  <c r="B326" i="4"/>
  <c r="Q325" i="4"/>
  <c r="P325" i="4"/>
  <c r="F325" i="4"/>
  <c r="D325" i="4"/>
  <c r="B325" i="4"/>
  <c r="Q324" i="4"/>
  <c r="P324" i="4"/>
  <c r="F324" i="4"/>
  <c r="D324" i="4"/>
  <c r="B324" i="4"/>
  <c r="Q323" i="4"/>
  <c r="P323" i="4"/>
  <c r="F323" i="4"/>
  <c r="D323" i="4"/>
  <c r="B323" i="4"/>
  <c r="Q322" i="4"/>
  <c r="P322" i="4"/>
  <c r="F322" i="4"/>
  <c r="D322" i="4"/>
  <c r="B322" i="4"/>
  <c r="Q321" i="4"/>
  <c r="P321" i="4"/>
  <c r="F321" i="4"/>
  <c r="D321" i="4"/>
  <c r="B321" i="4"/>
  <c r="Q320" i="4"/>
  <c r="P320" i="4"/>
  <c r="F320" i="4"/>
  <c r="D320" i="4"/>
  <c r="B320" i="4"/>
  <c r="Q319" i="4"/>
  <c r="P319" i="4"/>
  <c r="F319" i="4"/>
  <c r="D319" i="4"/>
  <c r="B319" i="4"/>
  <c r="Q318" i="4"/>
  <c r="P318" i="4"/>
  <c r="F318" i="4"/>
  <c r="D318" i="4"/>
  <c r="B318" i="4"/>
  <c r="Q317" i="4"/>
  <c r="P317" i="4"/>
  <c r="F317" i="4"/>
  <c r="D317" i="4"/>
  <c r="B317" i="4"/>
  <c r="Q316" i="4"/>
  <c r="P316" i="4"/>
  <c r="F316" i="4"/>
  <c r="D316" i="4"/>
  <c r="B316" i="4"/>
  <c r="Q315" i="4"/>
  <c r="P315" i="4"/>
  <c r="F315" i="4"/>
  <c r="D315" i="4"/>
  <c r="B315" i="4"/>
  <c r="Q314" i="4"/>
  <c r="P314" i="4"/>
  <c r="F314" i="4"/>
  <c r="D314" i="4"/>
  <c r="B314" i="4"/>
  <c r="Q313" i="4"/>
  <c r="P313" i="4"/>
  <c r="F313" i="4"/>
  <c r="D313" i="4"/>
  <c r="B313" i="4"/>
  <c r="Q312" i="4"/>
  <c r="P312" i="4"/>
  <c r="F312" i="4"/>
  <c r="D312" i="4"/>
  <c r="B312" i="4"/>
  <c r="Q311" i="4"/>
  <c r="P311" i="4"/>
  <c r="F311" i="4"/>
  <c r="D311" i="4"/>
  <c r="B311" i="4"/>
  <c r="Q310" i="4"/>
  <c r="P310" i="4"/>
  <c r="F310" i="4"/>
  <c r="D310" i="4"/>
  <c r="B310" i="4"/>
  <c r="Q309" i="4"/>
  <c r="P309" i="4"/>
  <c r="F309" i="4"/>
  <c r="D309" i="4"/>
  <c r="B309" i="4"/>
  <c r="Q308" i="4"/>
  <c r="P308" i="4"/>
  <c r="F308" i="4"/>
  <c r="D308" i="4"/>
  <c r="B308" i="4"/>
  <c r="Q307" i="4"/>
  <c r="P307" i="4"/>
  <c r="F307" i="4"/>
  <c r="D307" i="4"/>
  <c r="B307" i="4"/>
  <c r="Q306" i="4"/>
  <c r="P306" i="4"/>
  <c r="F306" i="4"/>
  <c r="D306" i="4"/>
  <c r="B306" i="4"/>
  <c r="Q305" i="4"/>
  <c r="P305" i="4"/>
  <c r="F305" i="4"/>
  <c r="D305" i="4"/>
  <c r="B305" i="4"/>
  <c r="Q304" i="4"/>
  <c r="P304" i="4"/>
  <c r="F304" i="4"/>
  <c r="D304" i="4"/>
  <c r="B304" i="4"/>
  <c r="Q303" i="4"/>
  <c r="P303" i="4"/>
  <c r="F303" i="4"/>
  <c r="D303" i="4"/>
  <c r="B303" i="4"/>
  <c r="Q302" i="4"/>
  <c r="P302" i="4"/>
  <c r="F302" i="4"/>
  <c r="D302" i="4"/>
  <c r="B302" i="4"/>
  <c r="Q301" i="4"/>
  <c r="P301" i="4"/>
  <c r="F301" i="4"/>
  <c r="D301" i="4"/>
  <c r="B301" i="4"/>
  <c r="Q300" i="4"/>
  <c r="P300" i="4"/>
  <c r="F300" i="4"/>
  <c r="D300" i="4"/>
  <c r="B300" i="4"/>
  <c r="Q299" i="4"/>
  <c r="P299" i="4"/>
  <c r="F299" i="4"/>
  <c r="D299" i="4"/>
  <c r="B299" i="4"/>
  <c r="Q298" i="4"/>
  <c r="P298" i="4"/>
  <c r="F298" i="4"/>
  <c r="D298" i="4"/>
  <c r="B298" i="4"/>
  <c r="Q297" i="4"/>
  <c r="P297" i="4"/>
  <c r="F297" i="4"/>
  <c r="D297" i="4"/>
  <c r="B297" i="4"/>
  <c r="Q296" i="4"/>
  <c r="P296" i="4"/>
  <c r="F296" i="4"/>
  <c r="D296" i="4"/>
  <c r="B296" i="4"/>
  <c r="Q295" i="4"/>
  <c r="P295" i="4"/>
  <c r="F295" i="4"/>
  <c r="D295" i="4"/>
  <c r="B295" i="4"/>
  <c r="Q294" i="4"/>
  <c r="P294" i="4"/>
  <c r="F294" i="4"/>
  <c r="D294" i="4"/>
  <c r="B294" i="4"/>
  <c r="Q293" i="4"/>
  <c r="P293" i="4"/>
  <c r="F293" i="4"/>
  <c r="D293" i="4"/>
  <c r="B293" i="4"/>
  <c r="Q292" i="4"/>
  <c r="P292" i="4"/>
  <c r="F292" i="4"/>
  <c r="D292" i="4"/>
  <c r="B292" i="4"/>
  <c r="Q291" i="4"/>
  <c r="P291" i="4"/>
  <c r="F291" i="4"/>
  <c r="D291" i="4"/>
  <c r="B291" i="4"/>
  <c r="Q290" i="4"/>
  <c r="P290" i="4"/>
  <c r="F290" i="4"/>
  <c r="D290" i="4"/>
  <c r="B290" i="4"/>
  <c r="Q289" i="4"/>
  <c r="P289" i="4"/>
  <c r="F289" i="4"/>
  <c r="D289" i="4"/>
  <c r="B289" i="4"/>
  <c r="Q288" i="4"/>
  <c r="P288" i="4"/>
  <c r="F288" i="4"/>
  <c r="D288" i="4"/>
  <c r="B288" i="4"/>
  <c r="Q287" i="4"/>
  <c r="P287" i="4"/>
  <c r="F287" i="4"/>
  <c r="D287" i="4"/>
  <c r="B287" i="4"/>
  <c r="Q286" i="4"/>
  <c r="P286" i="4"/>
  <c r="F286" i="4"/>
  <c r="D286" i="4"/>
  <c r="B286" i="4"/>
  <c r="Q285" i="4"/>
  <c r="P285" i="4"/>
  <c r="F285" i="4"/>
  <c r="D285" i="4"/>
  <c r="B285" i="4"/>
  <c r="Q284" i="4"/>
  <c r="P284" i="4"/>
  <c r="F284" i="4"/>
  <c r="D284" i="4"/>
  <c r="B284" i="4"/>
  <c r="Q283" i="4"/>
  <c r="P283" i="4"/>
  <c r="F283" i="4"/>
  <c r="D283" i="4"/>
  <c r="B283" i="4"/>
  <c r="Q282" i="4"/>
  <c r="P282" i="4"/>
  <c r="F282" i="4"/>
  <c r="D282" i="4"/>
  <c r="B282" i="4"/>
  <c r="Q281" i="4"/>
  <c r="P281" i="4"/>
  <c r="F281" i="4"/>
  <c r="D281" i="4"/>
  <c r="B281" i="4"/>
  <c r="Q280" i="4"/>
  <c r="P280" i="4"/>
  <c r="F280" i="4"/>
  <c r="D280" i="4"/>
  <c r="B280" i="4"/>
  <c r="Q279" i="4"/>
  <c r="P279" i="4"/>
  <c r="F279" i="4"/>
  <c r="D279" i="4"/>
  <c r="B279" i="4"/>
  <c r="Q278" i="4"/>
  <c r="P278" i="4"/>
  <c r="F278" i="4"/>
  <c r="D278" i="4"/>
  <c r="B278" i="4"/>
  <c r="Q277" i="4"/>
  <c r="P277" i="4"/>
  <c r="F277" i="4"/>
  <c r="D277" i="4"/>
  <c r="B277" i="4"/>
  <c r="Q276" i="4"/>
  <c r="P276" i="4"/>
  <c r="F276" i="4"/>
  <c r="D276" i="4"/>
  <c r="B276" i="4"/>
  <c r="Q275" i="4"/>
  <c r="P275" i="4"/>
  <c r="F275" i="4"/>
  <c r="D275" i="4"/>
  <c r="B275" i="4"/>
  <c r="Q274" i="4"/>
  <c r="P274" i="4"/>
  <c r="F274" i="4"/>
  <c r="D274" i="4"/>
  <c r="B274" i="4"/>
  <c r="Q273" i="4"/>
  <c r="P273" i="4"/>
  <c r="F273" i="4"/>
  <c r="D273" i="4"/>
  <c r="B273" i="4"/>
  <c r="Q272" i="4"/>
  <c r="P272" i="4"/>
  <c r="F272" i="4"/>
  <c r="D272" i="4"/>
  <c r="B272" i="4"/>
  <c r="Q271" i="4"/>
  <c r="P271" i="4"/>
  <c r="F271" i="4"/>
  <c r="D271" i="4"/>
  <c r="B271" i="4"/>
  <c r="Q270" i="4"/>
  <c r="P270" i="4"/>
  <c r="F270" i="4"/>
  <c r="D270" i="4"/>
  <c r="B270" i="4"/>
  <c r="Q269" i="4"/>
  <c r="P269" i="4"/>
  <c r="F269" i="4"/>
  <c r="D269" i="4"/>
  <c r="B269" i="4"/>
  <c r="Q268" i="4"/>
  <c r="P268" i="4"/>
  <c r="F268" i="4"/>
  <c r="D268" i="4"/>
  <c r="B268" i="4"/>
  <c r="Q267" i="4"/>
  <c r="P267" i="4"/>
  <c r="F267" i="4"/>
  <c r="D267" i="4"/>
  <c r="B267" i="4"/>
  <c r="Q266" i="4"/>
  <c r="P266" i="4"/>
  <c r="F266" i="4"/>
  <c r="D266" i="4"/>
  <c r="B266" i="4"/>
  <c r="Q265" i="4"/>
  <c r="P265" i="4"/>
  <c r="F265" i="4"/>
  <c r="D265" i="4"/>
  <c r="B265" i="4"/>
  <c r="Q264" i="4"/>
  <c r="P264" i="4"/>
  <c r="F264" i="4"/>
  <c r="D264" i="4"/>
  <c r="B264" i="4"/>
  <c r="Q263" i="4"/>
  <c r="P263" i="4"/>
  <c r="F263" i="4"/>
  <c r="D263" i="4"/>
  <c r="B263" i="4"/>
  <c r="Q262" i="4"/>
  <c r="P262" i="4"/>
  <c r="F262" i="4"/>
  <c r="D262" i="4"/>
  <c r="B262" i="4"/>
  <c r="Q261" i="4"/>
  <c r="P261" i="4"/>
  <c r="F261" i="4"/>
  <c r="D261" i="4"/>
  <c r="B261" i="4"/>
  <c r="Q260" i="4"/>
  <c r="P260" i="4"/>
  <c r="F260" i="4"/>
  <c r="D260" i="4"/>
  <c r="B260" i="4"/>
  <c r="Q259" i="4"/>
  <c r="P259" i="4"/>
  <c r="F259" i="4"/>
  <c r="D259" i="4"/>
  <c r="B259" i="4"/>
  <c r="Q258" i="4"/>
  <c r="P258" i="4"/>
  <c r="F258" i="4"/>
  <c r="D258" i="4"/>
  <c r="B258" i="4"/>
  <c r="Q257" i="4"/>
  <c r="P257" i="4"/>
  <c r="F257" i="4"/>
  <c r="D257" i="4"/>
  <c r="B257" i="4"/>
  <c r="Q256" i="4"/>
  <c r="P256" i="4"/>
  <c r="F256" i="4"/>
  <c r="D256" i="4"/>
  <c r="B256" i="4"/>
  <c r="Q255" i="4"/>
  <c r="P255" i="4"/>
  <c r="F255" i="4"/>
  <c r="D255" i="4"/>
  <c r="B255" i="4"/>
  <c r="Q254" i="4"/>
  <c r="P254" i="4"/>
  <c r="F254" i="4"/>
  <c r="D254" i="4"/>
  <c r="B254" i="4"/>
  <c r="Q253" i="4"/>
  <c r="P253" i="4"/>
  <c r="F253" i="4"/>
  <c r="D253" i="4"/>
  <c r="B253" i="4"/>
  <c r="Q252" i="4"/>
  <c r="P252" i="4"/>
  <c r="F252" i="4"/>
  <c r="D252" i="4"/>
  <c r="B252" i="4"/>
  <c r="Q251" i="4"/>
  <c r="P251" i="4"/>
  <c r="F251" i="4"/>
  <c r="D251" i="4"/>
  <c r="B251" i="4"/>
  <c r="Q250" i="4"/>
  <c r="P250" i="4"/>
  <c r="F250" i="4"/>
  <c r="D250" i="4"/>
  <c r="B250" i="4"/>
  <c r="Q249" i="4"/>
  <c r="P249" i="4"/>
  <c r="F249" i="4"/>
  <c r="D249" i="4"/>
  <c r="B249" i="4"/>
  <c r="Q248" i="4"/>
  <c r="P248" i="4"/>
  <c r="F248" i="4"/>
  <c r="D248" i="4"/>
  <c r="B248" i="4"/>
  <c r="Q247" i="4"/>
  <c r="P247" i="4"/>
  <c r="F247" i="4"/>
  <c r="D247" i="4"/>
  <c r="B247" i="4"/>
  <c r="Q246" i="4"/>
  <c r="P246" i="4"/>
  <c r="F246" i="4"/>
  <c r="D246" i="4"/>
  <c r="B246" i="4"/>
  <c r="Q245" i="4"/>
  <c r="P245" i="4"/>
  <c r="F245" i="4"/>
  <c r="D245" i="4"/>
  <c r="B245" i="4"/>
  <c r="Q244" i="4"/>
  <c r="P244" i="4"/>
  <c r="F244" i="4"/>
  <c r="D244" i="4"/>
  <c r="B244" i="4"/>
  <c r="Q243" i="4"/>
  <c r="P243" i="4"/>
  <c r="F243" i="4"/>
  <c r="D243" i="4"/>
  <c r="B243" i="4"/>
  <c r="Q242" i="4"/>
  <c r="P242" i="4"/>
  <c r="F242" i="4"/>
  <c r="D242" i="4"/>
  <c r="B242" i="4"/>
  <c r="Q241" i="4"/>
  <c r="P241" i="4"/>
  <c r="F241" i="4"/>
  <c r="D241" i="4"/>
  <c r="B241" i="4"/>
  <c r="Q240" i="4"/>
  <c r="P240" i="4"/>
  <c r="F240" i="4"/>
  <c r="D240" i="4"/>
  <c r="B240" i="4"/>
  <c r="Q239" i="4"/>
  <c r="P239" i="4"/>
  <c r="F239" i="4"/>
  <c r="D239" i="4"/>
  <c r="B239" i="4"/>
  <c r="Q238" i="4"/>
  <c r="P238" i="4"/>
  <c r="F238" i="4"/>
  <c r="D238" i="4"/>
  <c r="B238" i="4"/>
  <c r="Q237" i="4"/>
  <c r="P237" i="4"/>
  <c r="F237" i="4"/>
  <c r="D237" i="4"/>
  <c r="B237" i="4"/>
  <c r="Q236" i="4"/>
  <c r="P236" i="4"/>
  <c r="F236" i="4"/>
  <c r="D236" i="4"/>
  <c r="B236" i="4"/>
  <c r="Q235" i="4"/>
  <c r="P235" i="4"/>
  <c r="F235" i="4"/>
  <c r="D235" i="4"/>
  <c r="B235" i="4"/>
  <c r="Q234" i="4"/>
  <c r="P234" i="4"/>
  <c r="F234" i="4"/>
  <c r="D234" i="4"/>
  <c r="B234" i="4"/>
  <c r="Q233" i="4"/>
  <c r="P233" i="4"/>
  <c r="F233" i="4"/>
  <c r="D233" i="4"/>
  <c r="B233" i="4"/>
  <c r="Q232" i="4"/>
  <c r="P232" i="4"/>
  <c r="F232" i="4"/>
  <c r="D232" i="4"/>
  <c r="B232" i="4"/>
  <c r="Q231" i="4"/>
  <c r="P231" i="4"/>
  <c r="F231" i="4"/>
  <c r="D231" i="4"/>
  <c r="B231" i="4"/>
  <c r="Q230" i="4"/>
  <c r="P230" i="4"/>
  <c r="F230" i="4"/>
  <c r="D230" i="4"/>
  <c r="B230" i="4"/>
  <c r="Q229" i="4"/>
  <c r="P229" i="4"/>
  <c r="F229" i="4"/>
  <c r="D229" i="4"/>
  <c r="B229" i="4"/>
  <c r="Q228" i="4"/>
  <c r="P228" i="4"/>
  <c r="F228" i="4"/>
  <c r="D228" i="4"/>
  <c r="B228" i="4"/>
  <c r="Q227" i="4"/>
  <c r="P227" i="4"/>
  <c r="F227" i="4"/>
  <c r="D227" i="4"/>
  <c r="B227" i="4"/>
  <c r="Q226" i="4"/>
  <c r="P226" i="4"/>
  <c r="F226" i="4"/>
  <c r="D226" i="4"/>
  <c r="B226" i="4"/>
  <c r="Q225" i="4"/>
  <c r="P225" i="4"/>
  <c r="F225" i="4"/>
  <c r="D225" i="4"/>
  <c r="B225" i="4"/>
  <c r="Q224" i="4"/>
  <c r="P224" i="4"/>
  <c r="F224" i="4"/>
  <c r="D224" i="4"/>
  <c r="B224" i="4"/>
  <c r="Q223" i="4"/>
  <c r="P223" i="4"/>
  <c r="F223" i="4"/>
  <c r="D223" i="4"/>
  <c r="B223" i="4"/>
  <c r="Q222" i="4"/>
  <c r="P222" i="4"/>
  <c r="F222" i="4"/>
  <c r="D222" i="4"/>
  <c r="B222" i="4"/>
  <c r="Q221" i="4"/>
  <c r="P221" i="4"/>
  <c r="F221" i="4"/>
  <c r="D221" i="4"/>
  <c r="B221" i="4"/>
  <c r="Q220" i="4"/>
  <c r="P220" i="4"/>
  <c r="F220" i="4"/>
  <c r="D220" i="4"/>
  <c r="B220" i="4"/>
  <c r="Q219" i="4"/>
  <c r="P219" i="4"/>
  <c r="F219" i="4"/>
  <c r="D219" i="4"/>
  <c r="B219" i="4"/>
  <c r="Q218" i="4"/>
  <c r="P218" i="4"/>
  <c r="F218" i="4"/>
  <c r="D218" i="4"/>
  <c r="B218" i="4"/>
  <c r="Q217" i="4"/>
  <c r="P217" i="4"/>
  <c r="F217" i="4"/>
  <c r="D217" i="4"/>
  <c r="B217" i="4"/>
  <c r="Q216" i="4"/>
  <c r="P216" i="4"/>
  <c r="F216" i="4"/>
  <c r="D216" i="4"/>
  <c r="B216" i="4"/>
  <c r="Q215" i="4"/>
  <c r="P215" i="4"/>
  <c r="F215" i="4"/>
  <c r="D215" i="4"/>
  <c r="B215" i="4"/>
  <c r="Q214" i="4"/>
  <c r="P214" i="4"/>
  <c r="F214" i="4"/>
  <c r="D214" i="4"/>
  <c r="B214" i="4"/>
  <c r="Q213" i="4"/>
  <c r="P213" i="4"/>
  <c r="F213" i="4"/>
  <c r="D213" i="4"/>
  <c r="B213" i="4"/>
  <c r="Q212" i="4"/>
  <c r="P212" i="4"/>
  <c r="F212" i="4"/>
  <c r="D212" i="4"/>
  <c r="B212" i="4"/>
  <c r="Q211" i="4"/>
  <c r="P211" i="4"/>
  <c r="F211" i="4"/>
  <c r="D211" i="4"/>
  <c r="B211" i="4"/>
  <c r="Q210" i="4"/>
  <c r="P210" i="4"/>
  <c r="F210" i="4"/>
  <c r="D210" i="4"/>
  <c r="B210" i="4"/>
  <c r="Q209" i="4"/>
  <c r="P209" i="4"/>
  <c r="F209" i="4"/>
  <c r="D209" i="4"/>
  <c r="B209" i="4"/>
  <c r="Q208" i="4"/>
  <c r="P208" i="4"/>
  <c r="F208" i="4"/>
  <c r="D208" i="4"/>
  <c r="B208" i="4"/>
  <c r="Q207" i="4"/>
  <c r="P207" i="4"/>
  <c r="F207" i="4"/>
  <c r="D207" i="4"/>
  <c r="B207" i="4"/>
  <c r="Q206" i="4"/>
  <c r="P206" i="4"/>
  <c r="F206" i="4"/>
  <c r="D206" i="4"/>
  <c r="B206" i="4"/>
  <c r="Q205" i="4"/>
  <c r="P205" i="4"/>
  <c r="F205" i="4"/>
  <c r="D205" i="4"/>
  <c r="B205" i="4"/>
  <c r="Q204" i="4"/>
  <c r="P204" i="4"/>
  <c r="F204" i="4"/>
  <c r="D204" i="4"/>
  <c r="B204" i="4"/>
  <c r="Q203" i="4"/>
  <c r="P203" i="4"/>
  <c r="F203" i="4"/>
  <c r="D203" i="4"/>
  <c r="B203" i="4"/>
  <c r="Q202" i="4"/>
  <c r="P202" i="4"/>
  <c r="F202" i="4"/>
  <c r="D202" i="4"/>
  <c r="B202" i="4"/>
  <c r="Q201" i="4"/>
  <c r="P201" i="4"/>
  <c r="F201" i="4"/>
  <c r="D201" i="4"/>
  <c r="B201" i="4"/>
  <c r="Q200" i="4"/>
  <c r="P200" i="4"/>
  <c r="F200" i="4"/>
  <c r="D200" i="4"/>
  <c r="B200" i="4"/>
  <c r="Q199" i="4"/>
  <c r="P199" i="4"/>
  <c r="F199" i="4"/>
  <c r="D199" i="4"/>
  <c r="B199" i="4"/>
  <c r="Q198" i="4"/>
  <c r="P198" i="4"/>
  <c r="F198" i="4"/>
  <c r="D198" i="4"/>
  <c r="B198" i="4"/>
  <c r="Q197" i="4"/>
  <c r="P197" i="4"/>
  <c r="F197" i="4"/>
  <c r="D197" i="4"/>
  <c r="B197" i="4"/>
  <c r="Q196" i="4"/>
  <c r="P196" i="4"/>
  <c r="F196" i="4"/>
  <c r="D196" i="4"/>
  <c r="B196" i="4"/>
  <c r="Q195" i="4"/>
  <c r="P195" i="4"/>
  <c r="F195" i="4"/>
  <c r="D195" i="4"/>
  <c r="B195" i="4"/>
  <c r="Q194" i="4"/>
  <c r="P194" i="4"/>
  <c r="F194" i="4"/>
  <c r="D194" i="4"/>
  <c r="B194" i="4"/>
  <c r="Q193" i="4"/>
  <c r="P193" i="4"/>
  <c r="F193" i="4"/>
  <c r="D193" i="4"/>
  <c r="B193" i="4"/>
  <c r="Q192" i="4"/>
  <c r="P192" i="4"/>
  <c r="F192" i="4"/>
  <c r="D192" i="4"/>
  <c r="B192" i="4"/>
  <c r="Q191" i="4"/>
  <c r="P191" i="4"/>
  <c r="F191" i="4"/>
  <c r="D191" i="4"/>
  <c r="B191" i="4"/>
  <c r="Q190" i="4"/>
  <c r="P190" i="4"/>
  <c r="F190" i="4"/>
  <c r="D190" i="4"/>
  <c r="B190" i="4"/>
  <c r="Q189" i="4"/>
  <c r="P189" i="4"/>
  <c r="F189" i="4"/>
  <c r="D189" i="4"/>
  <c r="B189" i="4"/>
  <c r="Q188" i="4"/>
  <c r="P188" i="4"/>
  <c r="F188" i="4"/>
  <c r="D188" i="4"/>
  <c r="B188" i="4"/>
  <c r="Q187" i="4"/>
  <c r="P187" i="4"/>
  <c r="F187" i="4"/>
  <c r="D187" i="4"/>
  <c r="B187" i="4"/>
  <c r="Q186" i="4"/>
  <c r="P186" i="4"/>
  <c r="F186" i="4"/>
  <c r="D186" i="4"/>
  <c r="B186" i="4"/>
  <c r="Q185" i="4"/>
  <c r="P185" i="4"/>
  <c r="F185" i="4"/>
  <c r="D185" i="4"/>
  <c r="B185" i="4"/>
  <c r="Q184" i="4"/>
  <c r="P184" i="4"/>
  <c r="F184" i="4"/>
  <c r="D184" i="4"/>
  <c r="B184" i="4"/>
  <c r="Q183" i="4"/>
  <c r="P183" i="4"/>
  <c r="F183" i="4"/>
  <c r="D183" i="4"/>
  <c r="B183" i="4"/>
  <c r="Q182" i="4"/>
  <c r="P182" i="4"/>
  <c r="F182" i="4"/>
  <c r="D182" i="4"/>
  <c r="B182" i="4"/>
  <c r="Q181" i="4"/>
  <c r="P181" i="4"/>
  <c r="F181" i="4"/>
  <c r="D181" i="4"/>
  <c r="B181" i="4"/>
  <c r="Q180" i="4"/>
  <c r="P180" i="4"/>
  <c r="F180" i="4"/>
  <c r="D180" i="4"/>
  <c r="B180" i="4"/>
  <c r="Q179" i="4"/>
  <c r="P179" i="4"/>
  <c r="F179" i="4"/>
  <c r="D179" i="4"/>
  <c r="B179" i="4"/>
  <c r="Q178" i="4"/>
  <c r="P178" i="4"/>
  <c r="F178" i="4"/>
  <c r="D178" i="4"/>
  <c r="B178" i="4"/>
  <c r="Q177" i="4"/>
  <c r="P177" i="4"/>
  <c r="F177" i="4"/>
  <c r="D177" i="4"/>
  <c r="B177" i="4"/>
  <c r="Q176" i="4"/>
  <c r="P176" i="4"/>
  <c r="F176" i="4"/>
  <c r="D176" i="4"/>
  <c r="B176" i="4"/>
  <c r="Q175" i="4"/>
  <c r="P175" i="4"/>
  <c r="F175" i="4"/>
  <c r="D175" i="4"/>
  <c r="B175" i="4"/>
  <c r="Q174" i="4"/>
  <c r="P174" i="4"/>
  <c r="F174" i="4"/>
  <c r="D174" i="4"/>
  <c r="B174" i="4"/>
  <c r="Q173" i="4"/>
  <c r="P173" i="4"/>
  <c r="F173" i="4"/>
  <c r="D173" i="4"/>
  <c r="B173" i="4"/>
  <c r="Q172" i="4"/>
  <c r="P172" i="4"/>
  <c r="F172" i="4"/>
  <c r="D172" i="4"/>
  <c r="B172" i="4"/>
  <c r="Q171" i="4"/>
  <c r="P171" i="4"/>
  <c r="F171" i="4"/>
  <c r="D171" i="4"/>
  <c r="B171" i="4"/>
  <c r="Q170" i="4"/>
  <c r="P170" i="4"/>
  <c r="F170" i="4"/>
  <c r="D170" i="4"/>
  <c r="B170" i="4"/>
  <c r="Q169" i="4"/>
  <c r="P169" i="4"/>
  <c r="F169" i="4"/>
  <c r="D169" i="4"/>
  <c r="B169" i="4"/>
  <c r="Q168" i="4"/>
  <c r="P168" i="4"/>
  <c r="F168" i="4"/>
  <c r="D168" i="4"/>
  <c r="B168" i="4"/>
  <c r="Q167" i="4"/>
  <c r="P167" i="4"/>
  <c r="F167" i="4"/>
  <c r="D167" i="4"/>
  <c r="B167" i="4"/>
  <c r="Q166" i="4"/>
  <c r="P166" i="4"/>
  <c r="F166" i="4"/>
  <c r="D166" i="4"/>
  <c r="B166" i="4"/>
  <c r="Q165" i="4"/>
  <c r="P165" i="4"/>
  <c r="F165" i="4"/>
  <c r="D165" i="4"/>
  <c r="B165" i="4"/>
  <c r="Q164" i="4"/>
  <c r="P164" i="4"/>
  <c r="F164" i="4"/>
  <c r="D164" i="4"/>
  <c r="B164" i="4"/>
  <c r="Q163" i="4"/>
  <c r="P163" i="4"/>
  <c r="F163" i="4"/>
  <c r="D163" i="4"/>
  <c r="B163" i="4"/>
  <c r="Q162" i="4"/>
  <c r="P162" i="4"/>
  <c r="F162" i="4"/>
  <c r="D162" i="4"/>
  <c r="B162" i="4"/>
  <c r="Q161" i="4"/>
  <c r="P161" i="4"/>
  <c r="F161" i="4"/>
  <c r="D161" i="4"/>
  <c r="B161" i="4"/>
  <c r="Q160" i="4"/>
  <c r="P160" i="4"/>
  <c r="F160" i="4"/>
  <c r="D160" i="4"/>
  <c r="B160" i="4"/>
  <c r="Q159" i="4"/>
  <c r="P159" i="4"/>
  <c r="F159" i="4"/>
  <c r="D159" i="4"/>
  <c r="B159" i="4"/>
  <c r="Q158" i="4"/>
  <c r="P158" i="4"/>
  <c r="F158" i="4"/>
  <c r="D158" i="4"/>
  <c r="B158" i="4"/>
  <c r="Q157" i="4"/>
  <c r="P157" i="4"/>
  <c r="F157" i="4"/>
  <c r="D157" i="4"/>
  <c r="B157" i="4"/>
  <c r="Q156" i="4"/>
  <c r="P156" i="4"/>
  <c r="F156" i="4"/>
  <c r="D156" i="4"/>
  <c r="B156" i="4"/>
  <c r="Q155" i="4"/>
  <c r="P155" i="4"/>
  <c r="F155" i="4"/>
  <c r="D155" i="4"/>
  <c r="B155" i="4"/>
  <c r="Q154" i="4"/>
  <c r="P154" i="4"/>
  <c r="F154" i="4"/>
  <c r="D154" i="4"/>
  <c r="B154" i="4"/>
  <c r="Q153" i="4"/>
  <c r="P153" i="4"/>
  <c r="F153" i="4"/>
  <c r="D153" i="4"/>
  <c r="B153" i="4"/>
  <c r="Q152" i="4"/>
  <c r="P152" i="4"/>
  <c r="F152" i="4"/>
  <c r="D152" i="4"/>
  <c r="B152" i="4"/>
  <c r="Q151" i="4"/>
  <c r="P151" i="4"/>
  <c r="F151" i="4"/>
  <c r="D151" i="4"/>
  <c r="B151" i="4"/>
  <c r="Q150" i="4"/>
  <c r="P150" i="4"/>
  <c r="F150" i="4"/>
  <c r="D150" i="4"/>
  <c r="B150" i="4"/>
  <c r="Q149" i="4"/>
  <c r="P149" i="4"/>
  <c r="F149" i="4"/>
  <c r="D149" i="4"/>
  <c r="B149" i="4"/>
  <c r="Q148" i="4"/>
  <c r="P148" i="4"/>
  <c r="F148" i="4"/>
  <c r="D148" i="4"/>
  <c r="B148" i="4"/>
  <c r="Q147" i="4"/>
  <c r="P147" i="4"/>
  <c r="F147" i="4"/>
  <c r="D147" i="4"/>
  <c r="B147" i="4"/>
  <c r="Q146" i="4"/>
  <c r="P146" i="4"/>
  <c r="F146" i="4"/>
  <c r="D146" i="4"/>
  <c r="B146" i="4"/>
  <c r="Q145" i="4"/>
  <c r="P145" i="4"/>
  <c r="F145" i="4"/>
  <c r="D145" i="4"/>
  <c r="B145" i="4"/>
  <c r="Q144" i="4"/>
  <c r="P144" i="4"/>
  <c r="F144" i="4"/>
  <c r="D144" i="4"/>
  <c r="B144" i="4"/>
  <c r="Q143" i="4"/>
  <c r="P143" i="4"/>
  <c r="F143" i="4"/>
  <c r="D143" i="4"/>
  <c r="B143" i="4"/>
  <c r="Q142" i="4"/>
  <c r="P142" i="4"/>
  <c r="F142" i="4"/>
  <c r="D142" i="4"/>
  <c r="B142" i="4"/>
  <c r="Q141" i="4"/>
  <c r="P141" i="4"/>
  <c r="F141" i="4"/>
  <c r="D141" i="4"/>
  <c r="B141" i="4"/>
  <c r="Q140" i="4"/>
  <c r="P140" i="4"/>
  <c r="F140" i="4"/>
  <c r="D140" i="4"/>
  <c r="B140" i="4"/>
  <c r="Q139" i="4"/>
  <c r="P139" i="4"/>
  <c r="F139" i="4"/>
  <c r="D139" i="4"/>
  <c r="B139" i="4"/>
  <c r="Q138" i="4"/>
  <c r="P138" i="4"/>
  <c r="F138" i="4"/>
  <c r="D138" i="4"/>
  <c r="B138" i="4"/>
  <c r="Q137" i="4"/>
  <c r="P137" i="4"/>
  <c r="F137" i="4"/>
  <c r="D137" i="4"/>
  <c r="B137" i="4"/>
  <c r="Q136" i="4"/>
  <c r="P136" i="4"/>
  <c r="F136" i="4"/>
  <c r="D136" i="4"/>
  <c r="B136" i="4"/>
  <c r="Q135" i="4"/>
  <c r="P135" i="4"/>
  <c r="F135" i="4"/>
  <c r="D135" i="4"/>
  <c r="B135" i="4"/>
  <c r="Q134" i="4"/>
  <c r="P134" i="4"/>
  <c r="F134" i="4"/>
  <c r="D134" i="4"/>
  <c r="B134" i="4"/>
  <c r="Q133" i="4"/>
  <c r="P133" i="4"/>
  <c r="F133" i="4"/>
  <c r="D133" i="4"/>
  <c r="B133" i="4"/>
  <c r="Q132" i="4"/>
  <c r="P132" i="4"/>
  <c r="F132" i="4"/>
  <c r="D132" i="4"/>
  <c r="B132" i="4"/>
  <c r="Q131" i="4"/>
  <c r="P131" i="4"/>
  <c r="F131" i="4"/>
  <c r="D131" i="4"/>
  <c r="B131" i="4"/>
  <c r="Q130" i="4"/>
  <c r="P130" i="4"/>
  <c r="F130" i="4"/>
  <c r="D130" i="4"/>
  <c r="B130" i="4"/>
  <c r="Q129" i="4"/>
  <c r="P129" i="4"/>
  <c r="F129" i="4"/>
  <c r="D129" i="4"/>
  <c r="B129" i="4"/>
  <c r="Q128" i="4"/>
  <c r="P128" i="4"/>
  <c r="F128" i="4"/>
  <c r="D128" i="4"/>
  <c r="B128" i="4"/>
  <c r="Y127" i="4"/>
  <c r="X127" i="4"/>
  <c r="Q127" i="4"/>
  <c r="P127" i="4"/>
  <c r="F127" i="4"/>
  <c r="D127" i="4"/>
  <c r="B127" i="4"/>
  <c r="Y126" i="4"/>
  <c r="X126" i="4"/>
  <c r="Q126" i="4"/>
  <c r="P126" i="4"/>
  <c r="F126" i="4"/>
  <c r="D126" i="4"/>
  <c r="B126" i="4"/>
  <c r="Y125" i="4"/>
  <c r="X125" i="4"/>
  <c r="Q125" i="4"/>
  <c r="P125" i="4"/>
  <c r="F125" i="4"/>
  <c r="D125" i="4"/>
  <c r="B125" i="4"/>
  <c r="Y124" i="4"/>
  <c r="X124" i="4"/>
  <c r="Q124" i="4"/>
  <c r="P124" i="4"/>
  <c r="F124" i="4"/>
  <c r="D124" i="4"/>
  <c r="B124" i="4"/>
  <c r="Y123" i="4"/>
  <c r="X123" i="4"/>
  <c r="Q123" i="4"/>
  <c r="P123" i="4"/>
  <c r="F123" i="4"/>
  <c r="D123" i="4"/>
  <c r="B123" i="4"/>
  <c r="Y122" i="4"/>
  <c r="X122" i="4"/>
  <c r="Q122" i="4"/>
  <c r="P122" i="4"/>
  <c r="F122" i="4"/>
  <c r="D122" i="4"/>
  <c r="B122" i="4"/>
  <c r="Y121" i="4"/>
  <c r="X121" i="4"/>
  <c r="Q121" i="4"/>
  <c r="P121" i="4"/>
  <c r="F121" i="4"/>
  <c r="D121" i="4"/>
  <c r="B121" i="4"/>
  <c r="Y120" i="4"/>
  <c r="X120" i="4"/>
  <c r="Q120" i="4"/>
  <c r="P120" i="4"/>
  <c r="F120" i="4"/>
  <c r="D120" i="4"/>
  <c r="B120" i="4"/>
  <c r="Y119" i="4"/>
  <c r="X119" i="4"/>
  <c r="Q119" i="4"/>
  <c r="P119" i="4"/>
  <c r="F119" i="4"/>
  <c r="D119" i="4"/>
  <c r="B119" i="4"/>
  <c r="Y118" i="4"/>
  <c r="X118" i="4"/>
  <c r="Q118" i="4"/>
  <c r="P118" i="4"/>
  <c r="F118" i="4"/>
  <c r="D118" i="4"/>
  <c r="B118" i="4"/>
  <c r="Y117" i="4"/>
  <c r="X117" i="4"/>
  <c r="Q117" i="4"/>
  <c r="P117" i="4"/>
  <c r="F117" i="4"/>
  <c r="D117" i="4"/>
  <c r="B117" i="4"/>
  <c r="Y116" i="4"/>
  <c r="X116" i="4"/>
  <c r="Q116" i="4"/>
  <c r="P116" i="4"/>
  <c r="F116" i="4"/>
  <c r="D116" i="4"/>
  <c r="B116" i="4"/>
  <c r="Y115" i="4"/>
  <c r="X115" i="4"/>
  <c r="Q115" i="4"/>
  <c r="P115" i="4"/>
  <c r="F115" i="4"/>
  <c r="D115" i="4"/>
  <c r="B115" i="4"/>
  <c r="Y114" i="4"/>
  <c r="X114" i="4"/>
  <c r="Q114" i="4"/>
  <c r="P114" i="4"/>
  <c r="F114" i="4"/>
  <c r="D114" i="4"/>
  <c r="B114" i="4"/>
  <c r="Y113" i="4"/>
  <c r="X113" i="4"/>
  <c r="Q113" i="4"/>
  <c r="P113" i="4"/>
  <c r="F113" i="4"/>
  <c r="D113" i="4"/>
  <c r="B113" i="4"/>
  <c r="Y112" i="4"/>
  <c r="X112" i="4"/>
  <c r="Q112" i="4"/>
  <c r="P112" i="4"/>
  <c r="F112" i="4"/>
  <c r="D112" i="4"/>
  <c r="B112" i="4"/>
  <c r="Y111" i="4"/>
  <c r="X111" i="4"/>
  <c r="Q111" i="4"/>
  <c r="P111" i="4"/>
  <c r="F111" i="4"/>
  <c r="D111" i="4"/>
  <c r="B111" i="4"/>
  <c r="Y110" i="4"/>
  <c r="X110" i="4"/>
  <c r="Q110" i="4"/>
  <c r="P110" i="4"/>
  <c r="F110" i="4"/>
  <c r="D110" i="4"/>
  <c r="B110" i="4"/>
  <c r="Y109" i="4"/>
  <c r="X109" i="4"/>
  <c r="Q109" i="4"/>
  <c r="P109" i="4"/>
  <c r="F109" i="4"/>
  <c r="D109" i="4"/>
  <c r="B109" i="4"/>
  <c r="Y108" i="4"/>
  <c r="X108" i="4"/>
  <c r="Q108" i="4"/>
  <c r="P108" i="4"/>
  <c r="F108" i="4"/>
  <c r="D108" i="4"/>
  <c r="B108" i="4"/>
  <c r="Y107" i="4"/>
  <c r="X107" i="4"/>
  <c r="Q107" i="4"/>
  <c r="P107" i="4"/>
  <c r="F107" i="4"/>
  <c r="D107" i="4"/>
  <c r="B107" i="4"/>
  <c r="Y106" i="4"/>
  <c r="X106" i="4"/>
  <c r="Q106" i="4"/>
  <c r="P106" i="4"/>
  <c r="F106" i="4"/>
  <c r="D106" i="4"/>
  <c r="B106" i="4"/>
  <c r="Y105" i="4"/>
  <c r="X105" i="4"/>
  <c r="Q105" i="4"/>
  <c r="P105" i="4"/>
  <c r="F105" i="4"/>
  <c r="D105" i="4"/>
  <c r="B105" i="4"/>
  <c r="Y104" i="4"/>
  <c r="X104" i="4"/>
  <c r="Q104" i="4"/>
  <c r="P104" i="4"/>
  <c r="F104" i="4"/>
  <c r="D104" i="4"/>
  <c r="B104" i="4"/>
  <c r="Y103" i="4"/>
  <c r="X103" i="4"/>
  <c r="Q103" i="4"/>
  <c r="P103" i="4"/>
  <c r="F103" i="4"/>
  <c r="D103" i="4"/>
  <c r="B103" i="4"/>
  <c r="Y102" i="4"/>
  <c r="X102" i="4"/>
  <c r="Q102" i="4"/>
  <c r="P102" i="4"/>
  <c r="F102" i="4"/>
  <c r="D102" i="4"/>
  <c r="B102" i="4"/>
  <c r="Y101" i="4"/>
  <c r="X101" i="4"/>
  <c r="Q101" i="4"/>
  <c r="P101" i="4"/>
  <c r="F101" i="4"/>
  <c r="D101" i="4"/>
  <c r="B101" i="4"/>
  <c r="Y100" i="4"/>
  <c r="X100" i="4"/>
  <c r="Q100" i="4"/>
  <c r="P100" i="4"/>
  <c r="F100" i="4"/>
  <c r="D100" i="4"/>
  <c r="B100" i="4"/>
  <c r="Y99" i="4"/>
  <c r="X99" i="4"/>
  <c r="Q99" i="4"/>
  <c r="P99" i="4"/>
  <c r="F99" i="4"/>
  <c r="D99" i="4"/>
  <c r="B99" i="4"/>
  <c r="Y98" i="4"/>
  <c r="X98" i="4"/>
  <c r="Q98" i="4"/>
  <c r="P98" i="4"/>
  <c r="F98" i="4"/>
  <c r="D98" i="4"/>
  <c r="B98" i="4"/>
  <c r="Y97" i="4"/>
  <c r="X97" i="4"/>
  <c r="Q97" i="4"/>
  <c r="P97" i="4"/>
  <c r="F97" i="4"/>
  <c r="D97" i="4"/>
  <c r="B97" i="4"/>
  <c r="Y96" i="4"/>
  <c r="X96" i="4"/>
  <c r="Q96" i="4"/>
  <c r="P96" i="4"/>
  <c r="F96" i="4"/>
  <c r="D96" i="4"/>
  <c r="B96" i="4"/>
  <c r="Y95" i="4"/>
  <c r="X95" i="4"/>
  <c r="Q95" i="4"/>
  <c r="P95" i="4"/>
  <c r="F95" i="4"/>
  <c r="D95" i="4"/>
  <c r="B95" i="4"/>
  <c r="Y94" i="4"/>
  <c r="X94" i="4"/>
  <c r="Q94" i="4"/>
  <c r="P94" i="4"/>
  <c r="F94" i="4"/>
  <c r="D94" i="4"/>
  <c r="B94" i="4"/>
  <c r="Y93" i="4"/>
  <c r="X93" i="4"/>
  <c r="Q93" i="4"/>
  <c r="P93" i="4"/>
  <c r="F93" i="4"/>
  <c r="D93" i="4"/>
  <c r="B93" i="4"/>
  <c r="Y92" i="4"/>
  <c r="X92" i="4"/>
  <c r="Q92" i="4"/>
  <c r="P92" i="4"/>
  <c r="F92" i="4"/>
  <c r="D92" i="4"/>
  <c r="B92" i="4"/>
  <c r="Y91" i="4"/>
  <c r="X91" i="4"/>
  <c r="Q91" i="4"/>
  <c r="P91" i="4"/>
  <c r="F91" i="4"/>
  <c r="D91" i="4"/>
  <c r="B91" i="4"/>
  <c r="Y90" i="4"/>
  <c r="X90" i="4"/>
  <c r="Q90" i="4"/>
  <c r="P90" i="4"/>
  <c r="F90" i="4"/>
  <c r="D90" i="4"/>
  <c r="B90" i="4"/>
  <c r="Y89" i="4"/>
  <c r="X89" i="4"/>
  <c r="Q89" i="4"/>
  <c r="P89" i="4"/>
  <c r="F89" i="4"/>
  <c r="D89" i="4"/>
  <c r="B89" i="4"/>
  <c r="Y88" i="4"/>
  <c r="X88" i="4"/>
  <c r="Q88" i="4"/>
  <c r="P88" i="4"/>
  <c r="F88" i="4"/>
  <c r="D88" i="4"/>
  <c r="B88" i="4"/>
  <c r="Y87" i="4"/>
  <c r="X87" i="4"/>
  <c r="Q87" i="4"/>
  <c r="P87" i="4"/>
  <c r="F87" i="4"/>
  <c r="D87" i="4"/>
  <c r="B87" i="4"/>
  <c r="Y86" i="4"/>
  <c r="X86" i="4"/>
  <c r="Q86" i="4"/>
  <c r="P86" i="4"/>
  <c r="F86" i="4"/>
  <c r="D86" i="4"/>
  <c r="B86" i="4"/>
  <c r="Y85" i="4"/>
  <c r="X85" i="4"/>
  <c r="Q85" i="4"/>
  <c r="P85" i="4"/>
  <c r="F85" i="4"/>
  <c r="D85" i="4"/>
  <c r="B85" i="4"/>
  <c r="Y84" i="4"/>
  <c r="X84" i="4"/>
  <c r="Q84" i="4"/>
  <c r="P84" i="4"/>
  <c r="F84" i="4"/>
  <c r="D84" i="4"/>
  <c r="B84" i="4"/>
  <c r="Y83" i="4"/>
  <c r="X83" i="4"/>
  <c r="Q83" i="4"/>
  <c r="P83" i="4"/>
  <c r="F83" i="4"/>
  <c r="D83" i="4"/>
  <c r="B83" i="4"/>
  <c r="Y82" i="4"/>
  <c r="X82" i="4"/>
  <c r="Q82" i="4"/>
  <c r="P82" i="4"/>
  <c r="F82" i="4"/>
  <c r="D82" i="4"/>
  <c r="B82" i="4"/>
  <c r="Y81" i="4"/>
  <c r="X81" i="4"/>
  <c r="Q81" i="4"/>
  <c r="P81" i="4"/>
  <c r="F81" i="4"/>
  <c r="D81" i="4"/>
  <c r="B81" i="4"/>
  <c r="Y80" i="4"/>
  <c r="X80" i="4"/>
  <c r="Q80" i="4"/>
  <c r="P80" i="4"/>
  <c r="F80" i="4"/>
  <c r="D80" i="4"/>
  <c r="B80" i="4"/>
  <c r="Y79" i="4"/>
  <c r="X79" i="4"/>
  <c r="Q79" i="4"/>
  <c r="P79" i="4"/>
  <c r="F79" i="4"/>
  <c r="D79" i="4"/>
  <c r="B79" i="4"/>
  <c r="Y78" i="4"/>
  <c r="X78" i="4"/>
  <c r="Q78" i="4"/>
  <c r="P78" i="4"/>
  <c r="F78" i="4"/>
  <c r="D78" i="4"/>
  <c r="B78" i="4"/>
  <c r="Y77" i="4"/>
  <c r="X77" i="4"/>
  <c r="Q77" i="4"/>
  <c r="P77" i="4"/>
  <c r="F77" i="4"/>
  <c r="D77" i="4"/>
  <c r="B77" i="4"/>
  <c r="Y76" i="4"/>
  <c r="X76" i="4"/>
  <c r="Q76" i="4"/>
  <c r="P76" i="4"/>
  <c r="F76" i="4"/>
  <c r="D76" i="4"/>
  <c r="B76" i="4"/>
  <c r="Y75" i="4"/>
  <c r="X75" i="4"/>
  <c r="Q75" i="4"/>
  <c r="P75" i="4"/>
  <c r="F75" i="4"/>
  <c r="D75" i="4"/>
  <c r="B75" i="4"/>
  <c r="Y74" i="4"/>
  <c r="X74" i="4"/>
  <c r="Q74" i="4"/>
  <c r="P74" i="4"/>
  <c r="F74" i="4"/>
  <c r="D74" i="4"/>
  <c r="B74" i="4"/>
  <c r="Y73" i="4"/>
  <c r="X73" i="4"/>
  <c r="Q73" i="4"/>
  <c r="P73" i="4"/>
  <c r="F73" i="4"/>
  <c r="D73" i="4"/>
  <c r="B73" i="4"/>
  <c r="Y72" i="4"/>
  <c r="X72" i="4"/>
  <c r="Q72" i="4"/>
  <c r="P72" i="4"/>
  <c r="F72" i="4"/>
  <c r="D72" i="4"/>
  <c r="B72" i="4"/>
  <c r="Y71" i="4"/>
  <c r="X71" i="4"/>
  <c r="Q71" i="4"/>
  <c r="P71" i="4"/>
  <c r="F71" i="4"/>
  <c r="D71" i="4"/>
  <c r="B71" i="4"/>
  <c r="Y70" i="4"/>
  <c r="X70" i="4"/>
  <c r="Q70" i="4"/>
  <c r="P70" i="4"/>
  <c r="F70" i="4"/>
  <c r="D70" i="4"/>
  <c r="B70" i="4"/>
  <c r="Y69" i="4"/>
  <c r="X69" i="4"/>
  <c r="Q69" i="4"/>
  <c r="P69" i="4"/>
  <c r="F69" i="4"/>
  <c r="D69" i="4"/>
  <c r="B69" i="4"/>
  <c r="Y68" i="4"/>
  <c r="X68" i="4"/>
  <c r="Q68" i="4"/>
  <c r="P68" i="4"/>
  <c r="F68" i="4"/>
  <c r="D68" i="4"/>
  <c r="B68" i="4"/>
  <c r="Y67" i="4"/>
  <c r="X67" i="4"/>
  <c r="Q67" i="4"/>
  <c r="P67" i="4"/>
  <c r="F67" i="4"/>
  <c r="D67" i="4"/>
  <c r="B67" i="4"/>
  <c r="Y66" i="4"/>
  <c r="X66" i="4"/>
  <c r="Q66" i="4"/>
  <c r="P66" i="4"/>
  <c r="F66" i="4"/>
  <c r="D66" i="4"/>
  <c r="B66" i="4"/>
  <c r="Y65" i="4"/>
  <c r="X65" i="4"/>
  <c r="Q65" i="4"/>
  <c r="P65" i="4"/>
  <c r="F65" i="4"/>
  <c r="D65" i="4"/>
  <c r="B65" i="4"/>
  <c r="Y64" i="4"/>
  <c r="X64" i="4"/>
  <c r="Q64" i="4"/>
  <c r="P64" i="4"/>
  <c r="F64" i="4"/>
  <c r="D64" i="4"/>
  <c r="B64" i="4"/>
  <c r="Y63" i="4"/>
  <c r="X63" i="4"/>
  <c r="Q63" i="4"/>
  <c r="P63" i="4"/>
  <c r="F63" i="4"/>
  <c r="D63" i="4"/>
  <c r="B63" i="4"/>
  <c r="Y62" i="4"/>
  <c r="X62" i="4"/>
  <c r="Q62" i="4"/>
  <c r="P62" i="4"/>
  <c r="F62" i="4"/>
  <c r="D62" i="4"/>
  <c r="B62" i="4"/>
  <c r="Y61" i="4"/>
  <c r="X61" i="4"/>
  <c r="Q61" i="4"/>
  <c r="P61" i="4"/>
  <c r="F61" i="4"/>
  <c r="D61" i="4"/>
  <c r="B61" i="4"/>
  <c r="Y60" i="4"/>
  <c r="X60" i="4"/>
  <c r="Q60" i="4"/>
  <c r="P60" i="4"/>
  <c r="F60" i="4"/>
  <c r="D60" i="4"/>
  <c r="B60" i="4"/>
  <c r="Y59" i="4"/>
  <c r="X59" i="4"/>
  <c r="Q59" i="4"/>
  <c r="P59" i="4"/>
  <c r="F59" i="4"/>
  <c r="D59" i="4"/>
  <c r="B59" i="4"/>
  <c r="Y58" i="4"/>
  <c r="X58" i="4"/>
  <c r="Q58" i="4"/>
  <c r="P58" i="4"/>
  <c r="F58" i="4"/>
  <c r="D58" i="4"/>
  <c r="B58" i="4"/>
  <c r="Y57" i="4"/>
  <c r="X57" i="4"/>
  <c r="Q57" i="4"/>
  <c r="P57" i="4"/>
  <c r="F57" i="4"/>
  <c r="D57" i="4"/>
  <c r="B57" i="4"/>
  <c r="Y56" i="4"/>
  <c r="X56" i="4"/>
  <c r="Q56" i="4"/>
  <c r="P56" i="4"/>
  <c r="F56" i="4"/>
  <c r="D56" i="4"/>
  <c r="B56" i="4"/>
  <c r="Y55" i="4"/>
  <c r="X55" i="4"/>
  <c r="Q55" i="4"/>
  <c r="P55" i="4"/>
  <c r="F55" i="4"/>
  <c r="D55" i="4"/>
  <c r="B55" i="4"/>
  <c r="Y54" i="4"/>
  <c r="X54" i="4"/>
  <c r="Q54" i="4"/>
  <c r="P54" i="4"/>
  <c r="F54" i="4"/>
  <c r="D54" i="4"/>
  <c r="B54" i="4"/>
  <c r="Y53" i="4"/>
  <c r="X53" i="4"/>
  <c r="Q53" i="4"/>
  <c r="P53" i="4"/>
  <c r="F53" i="4"/>
  <c r="D53" i="4"/>
  <c r="B53" i="4"/>
  <c r="Y52" i="4"/>
  <c r="X52" i="4"/>
  <c r="Q52" i="4"/>
  <c r="P52" i="4"/>
  <c r="D52" i="4"/>
  <c r="B52" i="4"/>
  <c r="Y51" i="4"/>
  <c r="X51" i="4"/>
  <c r="Q51" i="4"/>
  <c r="P51" i="4"/>
  <c r="D51" i="4"/>
  <c r="B51" i="4"/>
  <c r="Y50" i="4"/>
  <c r="X50" i="4"/>
  <c r="Q50" i="4"/>
  <c r="P50" i="4"/>
  <c r="D50" i="4"/>
  <c r="B50" i="4"/>
  <c r="Y49" i="4"/>
  <c r="X49" i="4"/>
  <c r="Q49" i="4"/>
  <c r="P49" i="4"/>
  <c r="D49" i="4"/>
  <c r="B49" i="4"/>
  <c r="Y48" i="4"/>
  <c r="X48" i="4"/>
  <c r="Q48" i="4"/>
  <c r="P48" i="4"/>
  <c r="D48" i="4"/>
  <c r="B48" i="4"/>
  <c r="Y47" i="4"/>
  <c r="X47" i="4"/>
  <c r="Q47" i="4"/>
  <c r="P47" i="4"/>
  <c r="D47" i="4"/>
  <c r="B47" i="4"/>
  <c r="Y46" i="4"/>
  <c r="X46" i="4"/>
  <c r="Q46" i="4"/>
  <c r="P46" i="4"/>
  <c r="D46" i="4"/>
  <c r="B46" i="4"/>
  <c r="Y45" i="4"/>
  <c r="X45" i="4"/>
  <c r="Q45" i="4"/>
  <c r="P45" i="4"/>
  <c r="D45" i="4"/>
  <c r="B45" i="4"/>
  <c r="Y44" i="4"/>
  <c r="X44" i="4"/>
  <c r="Q44" i="4"/>
  <c r="P44" i="4"/>
  <c r="D44" i="4"/>
  <c r="B44" i="4"/>
  <c r="Y43" i="4"/>
  <c r="X43" i="4"/>
  <c r="Q43" i="4"/>
  <c r="P43" i="4"/>
  <c r="F43" i="4"/>
  <c r="D43" i="4"/>
  <c r="B43" i="4"/>
  <c r="Y42" i="4"/>
  <c r="X42" i="4"/>
  <c r="Q42" i="4"/>
  <c r="P42" i="4"/>
  <c r="F42" i="4"/>
  <c r="D42" i="4"/>
  <c r="B42" i="4"/>
  <c r="Y41" i="4"/>
  <c r="X41" i="4"/>
  <c r="Q41" i="4"/>
  <c r="P41" i="4"/>
  <c r="F41" i="4"/>
  <c r="D41" i="4"/>
  <c r="B41" i="4"/>
  <c r="Y40" i="4"/>
  <c r="X40" i="4"/>
  <c r="Q40" i="4"/>
  <c r="P40" i="4"/>
  <c r="F40" i="4"/>
  <c r="D40" i="4"/>
  <c r="B40" i="4"/>
  <c r="Y39" i="4"/>
  <c r="X39" i="4"/>
  <c r="Q39" i="4"/>
  <c r="P39" i="4"/>
  <c r="F39" i="4"/>
  <c r="D39" i="4"/>
  <c r="B39" i="4"/>
  <c r="Y38" i="4"/>
  <c r="X38" i="4"/>
  <c r="Q38" i="4"/>
  <c r="P38" i="4"/>
  <c r="F38" i="4"/>
  <c r="D38" i="4"/>
  <c r="B38" i="4"/>
  <c r="Y37" i="4"/>
  <c r="X37" i="4"/>
  <c r="Q37" i="4"/>
  <c r="P37" i="4"/>
  <c r="F37" i="4"/>
  <c r="D37" i="4"/>
  <c r="B37" i="4"/>
  <c r="Y36" i="4"/>
  <c r="X36" i="4"/>
  <c r="Q36" i="4"/>
  <c r="P36" i="4"/>
  <c r="F36" i="4"/>
  <c r="D36" i="4"/>
  <c r="B36" i="4"/>
  <c r="Y35" i="4"/>
  <c r="X35" i="4"/>
  <c r="Q35" i="4"/>
  <c r="P35" i="4"/>
  <c r="F35" i="4"/>
  <c r="D35" i="4"/>
  <c r="B35" i="4"/>
  <c r="Y34" i="4"/>
  <c r="X34" i="4"/>
  <c r="Q34" i="4"/>
  <c r="P34" i="4"/>
  <c r="F34" i="4"/>
  <c r="D34" i="4"/>
  <c r="B34" i="4"/>
  <c r="Y33" i="4"/>
  <c r="X33" i="4"/>
  <c r="Q33" i="4"/>
  <c r="P33" i="4"/>
  <c r="F33" i="4"/>
  <c r="D33" i="4"/>
  <c r="B33" i="4"/>
  <c r="Y32" i="4"/>
  <c r="X32" i="4"/>
  <c r="Q32" i="4"/>
  <c r="P32" i="4"/>
  <c r="F32" i="4"/>
  <c r="D32" i="4"/>
  <c r="B32" i="4"/>
  <c r="Y31" i="4"/>
  <c r="X31" i="4"/>
  <c r="Q31" i="4"/>
  <c r="P31" i="4"/>
  <c r="F31" i="4"/>
  <c r="D31" i="4"/>
  <c r="B31" i="4"/>
  <c r="Y30" i="4"/>
  <c r="X30" i="4"/>
  <c r="Q30" i="4"/>
  <c r="P30" i="4"/>
  <c r="F30" i="4"/>
  <c r="D30" i="4"/>
  <c r="B30" i="4"/>
  <c r="Y29" i="4"/>
  <c r="X29" i="4"/>
  <c r="Q29" i="4"/>
  <c r="P29" i="4"/>
  <c r="F29" i="4"/>
  <c r="D29" i="4"/>
  <c r="B29" i="4"/>
  <c r="Y28" i="4"/>
  <c r="X28" i="4"/>
  <c r="Q28" i="4"/>
  <c r="P28" i="4"/>
  <c r="F28" i="4"/>
  <c r="D28" i="4"/>
  <c r="B28" i="4"/>
  <c r="Y27" i="4"/>
  <c r="X27" i="4"/>
  <c r="Q27" i="4"/>
  <c r="P27" i="4"/>
  <c r="F27" i="4"/>
  <c r="D27" i="4"/>
  <c r="B27" i="4"/>
  <c r="Y26" i="4"/>
  <c r="X26" i="4"/>
  <c r="Q26" i="4"/>
  <c r="P26" i="4"/>
  <c r="F26" i="4"/>
  <c r="D26" i="4"/>
  <c r="B26" i="4"/>
  <c r="Y25" i="4"/>
  <c r="X25" i="4"/>
  <c r="Q25" i="4"/>
  <c r="P25" i="4"/>
  <c r="F25" i="4"/>
  <c r="D25" i="4"/>
  <c r="B25" i="4"/>
  <c r="Y24" i="4"/>
  <c r="X24" i="4"/>
  <c r="Q24" i="4"/>
  <c r="P24" i="4"/>
  <c r="F24" i="4"/>
  <c r="D24" i="4"/>
  <c r="B24" i="4"/>
  <c r="Y23" i="4"/>
  <c r="X23" i="4"/>
  <c r="Q23" i="4"/>
  <c r="P23" i="4"/>
  <c r="F23" i="4"/>
  <c r="D23" i="4"/>
  <c r="B23" i="4"/>
  <c r="Y22" i="4"/>
  <c r="X22" i="4"/>
  <c r="Q22" i="4"/>
  <c r="P22" i="4"/>
  <c r="F22" i="4"/>
  <c r="D22" i="4"/>
  <c r="B22" i="4"/>
  <c r="Y21" i="4"/>
  <c r="X21" i="4"/>
  <c r="Q21" i="4"/>
  <c r="P21" i="4"/>
  <c r="F21" i="4"/>
  <c r="D21" i="4"/>
  <c r="B21" i="4"/>
  <c r="Y20" i="4"/>
  <c r="X20" i="4"/>
  <c r="Q20" i="4"/>
  <c r="P20" i="4"/>
  <c r="D20" i="4"/>
  <c r="B20" i="4"/>
  <c r="Y19" i="4"/>
  <c r="X19" i="4"/>
  <c r="Q19" i="4"/>
  <c r="P19" i="4"/>
  <c r="D19" i="4"/>
  <c r="B19" i="4"/>
  <c r="Y18" i="4"/>
  <c r="X18" i="4"/>
  <c r="Q18" i="4"/>
  <c r="P18" i="4"/>
  <c r="D18" i="4"/>
  <c r="B18" i="4"/>
  <c r="Y17" i="4"/>
  <c r="X17" i="4"/>
  <c r="Q17" i="4"/>
  <c r="P17" i="4"/>
  <c r="D17" i="4"/>
  <c r="B17" i="4"/>
  <c r="Y16" i="4"/>
  <c r="X16" i="4"/>
  <c r="Q16" i="4"/>
  <c r="P16" i="4"/>
  <c r="D16" i="4"/>
  <c r="B16" i="4"/>
  <c r="Y15" i="4"/>
  <c r="X15" i="4"/>
  <c r="Q15" i="4"/>
  <c r="P15" i="4"/>
  <c r="D15" i="4"/>
  <c r="B15" i="4"/>
  <c r="Y14" i="4"/>
  <c r="X14" i="4"/>
  <c r="Q14" i="4"/>
  <c r="P14" i="4"/>
  <c r="D14" i="4"/>
  <c r="B14" i="4"/>
  <c r="Y13" i="4"/>
  <c r="X13" i="4"/>
  <c r="Q13" i="4"/>
  <c r="P13" i="4"/>
  <c r="D13" i="4"/>
  <c r="B13" i="4"/>
  <c r="Y12" i="4"/>
  <c r="X12" i="4"/>
  <c r="Q12" i="4"/>
  <c r="P12" i="4"/>
  <c r="D12" i="4"/>
  <c r="B12" i="4"/>
  <c r="Y11" i="4"/>
  <c r="X11" i="4"/>
  <c r="Q11" i="4"/>
  <c r="P11" i="4"/>
  <c r="D11" i="4"/>
  <c r="B11" i="4"/>
  <c r="Y10" i="4"/>
  <c r="X10" i="4"/>
  <c r="Q10" i="4"/>
  <c r="P10" i="4"/>
  <c r="D10" i="4"/>
  <c r="B10" i="4"/>
  <c r="Y9" i="4"/>
  <c r="X9" i="4"/>
  <c r="Q9" i="4"/>
  <c r="P9" i="4"/>
  <c r="D9" i="4"/>
  <c r="B9" i="4"/>
  <c r="Y8" i="4"/>
  <c r="X8" i="4"/>
  <c r="Q8" i="4"/>
  <c r="P8" i="4"/>
  <c r="D8" i="4"/>
  <c r="B8" i="4"/>
  <c r="Y7" i="4"/>
  <c r="X7" i="4"/>
  <c r="Q7" i="4"/>
  <c r="P7" i="4"/>
  <c r="D7" i="4"/>
  <c r="B7" i="4"/>
  <c r="Y6" i="4"/>
  <c r="X6" i="4"/>
  <c r="Q6" i="4"/>
  <c r="P6" i="4"/>
  <c r="D6" i="4"/>
  <c r="B6" i="4"/>
  <c r="Y5" i="4"/>
  <c r="X5" i="4"/>
  <c r="Q5" i="4"/>
  <c r="P5" i="4"/>
  <c r="F5" i="4"/>
  <c r="D5" i="4"/>
  <c r="B5" i="4"/>
  <c r="Q4" i="4"/>
  <c r="P4" i="4"/>
  <c r="F4" i="4"/>
  <c r="D4" i="4"/>
  <c r="B4" i="4"/>
  <c r="Q3" i="4"/>
  <c r="P3" i="4"/>
  <c r="F3" i="4"/>
  <c r="D3" i="4"/>
  <c r="B3" i="4"/>
  <c r="C1" i="4"/>
  <c r="N480" i="3"/>
  <c r="M480" i="3"/>
  <c r="H480" i="3"/>
  <c r="F480" i="3"/>
  <c r="D480" i="3"/>
  <c r="B480" i="3"/>
  <c r="A480" i="3"/>
  <c r="N479" i="3"/>
  <c r="M479" i="3"/>
  <c r="H479" i="3"/>
  <c r="F479" i="3"/>
  <c r="D479" i="3"/>
  <c r="B479" i="3"/>
  <c r="A479" i="3"/>
  <c r="N478" i="3"/>
  <c r="M478" i="3"/>
  <c r="H478" i="3"/>
  <c r="F478" i="3"/>
  <c r="D478" i="3"/>
  <c r="B478" i="3"/>
  <c r="A478" i="3"/>
  <c r="N477" i="3"/>
  <c r="M477" i="3"/>
  <c r="H477" i="3"/>
  <c r="F477" i="3"/>
  <c r="D477" i="3"/>
  <c r="B477" i="3"/>
  <c r="A477" i="3"/>
  <c r="N476" i="3"/>
  <c r="M476" i="3"/>
  <c r="H476" i="3"/>
  <c r="F476" i="3"/>
  <c r="D476" i="3"/>
  <c r="B476" i="3"/>
  <c r="A476" i="3"/>
  <c r="N475" i="3"/>
  <c r="M475" i="3"/>
  <c r="H475" i="3"/>
  <c r="F475" i="3"/>
  <c r="D475" i="3"/>
  <c r="B475" i="3"/>
  <c r="A475" i="3"/>
  <c r="N474" i="3"/>
  <c r="M474" i="3"/>
  <c r="H474" i="3"/>
  <c r="F474" i="3"/>
  <c r="D474" i="3"/>
  <c r="B474" i="3"/>
  <c r="A474" i="3"/>
  <c r="N473" i="3"/>
  <c r="M473" i="3"/>
  <c r="H473" i="3"/>
  <c r="F473" i="3"/>
  <c r="D473" i="3"/>
  <c r="B473" i="3"/>
  <c r="A473" i="3"/>
  <c r="N472" i="3"/>
  <c r="M472" i="3"/>
  <c r="H472" i="3"/>
  <c r="F472" i="3"/>
  <c r="D472" i="3"/>
  <c r="B472" i="3"/>
  <c r="A472" i="3"/>
  <c r="N471" i="3"/>
  <c r="M471" i="3"/>
  <c r="H471" i="3"/>
  <c r="F471" i="3"/>
  <c r="D471" i="3"/>
  <c r="B471" i="3"/>
  <c r="A471" i="3"/>
  <c r="N470" i="3"/>
  <c r="M470" i="3"/>
  <c r="H470" i="3"/>
  <c r="F470" i="3"/>
  <c r="D470" i="3"/>
  <c r="B470" i="3"/>
  <c r="A470" i="3"/>
  <c r="N469" i="3"/>
  <c r="M469" i="3"/>
  <c r="H469" i="3"/>
  <c r="F469" i="3"/>
  <c r="D469" i="3"/>
  <c r="B469" i="3"/>
  <c r="A469" i="3"/>
  <c r="N468" i="3"/>
  <c r="M468" i="3"/>
  <c r="H468" i="3"/>
  <c r="F468" i="3"/>
  <c r="D468" i="3"/>
  <c r="B468" i="3"/>
  <c r="A468" i="3"/>
  <c r="N467" i="3"/>
  <c r="M467" i="3"/>
  <c r="H467" i="3"/>
  <c r="F467" i="3"/>
  <c r="D467" i="3"/>
  <c r="B467" i="3"/>
  <c r="A467" i="3"/>
  <c r="N466" i="3"/>
  <c r="M466" i="3"/>
  <c r="H466" i="3"/>
  <c r="F466" i="3"/>
  <c r="D466" i="3"/>
  <c r="B466" i="3"/>
  <c r="A466" i="3"/>
  <c r="N465" i="3"/>
  <c r="M465" i="3"/>
  <c r="H465" i="3"/>
  <c r="F465" i="3"/>
  <c r="D465" i="3"/>
  <c r="B465" i="3"/>
  <c r="A465" i="3"/>
  <c r="N464" i="3"/>
  <c r="M464" i="3"/>
  <c r="H464" i="3"/>
  <c r="F464" i="3"/>
  <c r="D464" i="3"/>
  <c r="B464" i="3"/>
  <c r="A464" i="3"/>
  <c r="N463" i="3"/>
  <c r="M463" i="3"/>
  <c r="H463" i="3"/>
  <c r="F463" i="3"/>
  <c r="D463" i="3"/>
  <c r="B463" i="3"/>
  <c r="A463" i="3"/>
  <c r="N462" i="3"/>
  <c r="M462" i="3"/>
  <c r="H462" i="3"/>
  <c r="F462" i="3"/>
  <c r="D462" i="3"/>
  <c r="B462" i="3"/>
  <c r="A462" i="3"/>
  <c r="N461" i="3"/>
  <c r="M461" i="3"/>
  <c r="H461" i="3"/>
  <c r="F461" i="3"/>
  <c r="D461" i="3"/>
  <c r="B461" i="3"/>
  <c r="A461" i="3"/>
  <c r="N460" i="3"/>
  <c r="M460" i="3"/>
  <c r="H460" i="3"/>
  <c r="F460" i="3"/>
  <c r="D460" i="3"/>
  <c r="B460" i="3"/>
  <c r="A460" i="3"/>
  <c r="N459" i="3"/>
  <c r="M459" i="3"/>
  <c r="H459" i="3"/>
  <c r="F459" i="3"/>
  <c r="D459" i="3"/>
  <c r="B459" i="3"/>
  <c r="A459" i="3"/>
  <c r="N458" i="3"/>
  <c r="M458" i="3"/>
  <c r="H458" i="3"/>
  <c r="F458" i="3"/>
  <c r="D458" i="3"/>
  <c r="B458" i="3"/>
  <c r="A458" i="3"/>
  <c r="N457" i="3"/>
  <c r="M457" i="3"/>
  <c r="H457" i="3"/>
  <c r="F457" i="3"/>
  <c r="D457" i="3"/>
  <c r="B457" i="3"/>
  <c r="A457" i="3"/>
  <c r="N456" i="3"/>
  <c r="M456" i="3"/>
  <c r="H456" i="3"/>
  <c r="F456" i="3"/>
  <c r="D456" i="3"/>
  <c r="B456" i="3"/>
  <c r="A456" i="3"/>
  <c r="N455" i="3"/>
  <c r="M455" i="3"/>
  <c r="H455" i="3"/>
  <c r="F455" i="3"/>
  <c r="D455" i="3"/>
  <c r="B455" i="3"/>
  <c r="A455" i="3"/>
  <c r="N454" i="3"/>
  <c r="M454" i="3"/>
  <c r="H454" i="3"/>
  <c r="F454" i="3"/>
  <c r="D454" i="3"/>
  <c r="B454" i="3"/>
  <c r="A454" i="3"/>
  <c r="N453" i="3"/>
  <c r="M453" i="3"/>
  <c r="H453" i="3"/>
  <c r="F453" i="3"/>
  <c r="D453" i="3"/>
  <c r="B453" i="3"/>
  <c r="A453" i="3"/>
  <c r="N452" i="3"/>
  <c r="M452" i="3"/>
  <c r="H452" i="3"/>
  <c r="F452" i="3"/>
  <c r="D452" i="3"/>
  <c r="B452" i="3"/>
  <c r="A452" i="3"/>
  <c r="N451" i="3"/>
  <c r="M451" i="3"/>
  <c r="H451" i="3"/>
  <c r="F451" i="3"/>
  <c r="D451" i="3"/>
  <c r="B451" i="3"/>
  <c r="A451" i="3"/>
  <c r="N450" i="3"/>
  <c r="M450" i="3"/>
  <c r="H450" i="3"/>
  <c r="F450" i="3"/>
  <c r="D450" i="3"/>
  <c r="B450" i="3"/>
  <c r="A450" i="3"/>
  <c r="N449" i="3"/>
  <c r="M449" i="3"/>
  <c r="H449" i="3"/>
  <c r="F449" i="3"/>
  <c r="D449" i="3"/>
  <c r="B449" i="3"/>
  <c r="A449" i="3"/>
  <c r="N448" i="3"/>
  <c r="M448" i="3"/>
  <c r="H448" i="3"/>
  <c r="F448" i="3"/>
  <c r="D448" i="3"/>
  <c r="B448" i="3"/>
  <c r="A448" i="3"/>
  <c r="N447" i="3"/>
  <c r="M447" i="3"/>
  <c r="H447" i="3"/>
  <c r="F447" i="3"/>
  <c r="D447" i="3"/>
  <c r="B447" i="3"/>
  <c r="A447" i="3"/>
  <c r="N446" i="3"/>
  <c r="M446" i="3"/>
  <c r="H446" i="3"/>
  <c r="F446" i="3"/>
  <c r="D446" i="3"/>
  <c r="B446" i="3"/>
  <c r="A446" i="3"/>
  <c r="N445" i="3"/>
  <c r="M445" i="3"/>
  <c r="H445" i="3"/>
  <c r="F445" i="3"/>
  <c r="D445" i="3"/>
  <c r="B445" i="3"/>
  <c r="A445" i="3"/>
  <c r="N444" i="3"/>
  <c r="M444" i="3"/>
  <c r="H444" i="3"/>
  <c r="F444" i="3"/>
  <c r="D444" i="3"/>
  <c r="B444" i="3"/>
  <c r="A444" i="3"/>
  <c r="N443" i="3"/>
  <c r="M443" i="3"/>
  <c r="H443" i="3"/>
  <c r="F443" i="3"/>
  <c r="D443" i="3"/>
  <c r="B443" i="3"/>
  <c r="A443" i="3"/>
  <c r="N442" i="3"/>
  <c r="M442" i="3"/>
  <c r="H442" i="3"/>
  <c r="F442" i="3"/>
  <c r="D442" i="3"/>
  <c r="B442" i="3"/>
  <c r="A442" i="3"/>
  <c r="N441" i="3"/>
  <c r="M441" i="3"/>
  <c r="H441" i="3"/>
  <c r="F441" i="3"/>
  <c r="D441" i="3"/>
  <c r="B441" i="3"/>
  <c r="A441" i="3"/>
  <c r="N440" i="3"/>
  <c r="M440" i="3"/>
  <c r="H440" i="3"/>
  <c r="F440" i="3"/>
  <c r="D440" i="3"/>
  <c r="B440" i="3"/>
  <c r="A440" i="3"/>
  <c r="N439" i="3"/>
  <c r="M439" i="3"/>
  <c r="H439" i="3"/>
  <c r="F439" i="3"/>
  <c r="D439" i="3"/>
  <c r="B439" i="3"/>
  <c r="A439" i="3"/>
  <c r="N438" i="3"/>
  <c r="M438" i="3"/>
  <c r="H438" i="3"/>
  <c r="F438" i="3"/>
  <c r="D438" i="3"/>
  <c r="B438" i="3"/>
  <c r="A438" i="3"/>
  <c r="N437" i="3"/>
  <c r="M437" i="3"/>
  <c r="H437" i="3"/>
  <c r="F437" i="3"/>
  <c r="D437" i="3"/>
  <c r="B437" i="3"/>
  <c r="A437" i="3"/>
  <c r="N436" i="3"/>
  <c r="M436" i="3"/>
  <c r="H436" i="3"/>
  <c r="F436" i="3"/>
  <c r="D436" i="3"/>
  <c r="B436" i="3"/>
  <c r="A436" i="3"/>
  <c r="N435" i="3"/>
  <c r="M435" i="3"/>
  <c r="H435" i="3"/>
  <c r="F435" i="3"/>
  <c r="D435" i="3"/>
  <c r="B435" i="3"/>
  <c r="A435" i="3"/>
  <c r="N434" i="3"/>
  <c r="M434" i="3"/>
  <c r="H434" i="3"/>
  <c r="F434" i="3"/>
  <c r="D434" i="3"/>
  <c r="B434" i="3"/>
  <c r="A434" i="3"/>
  <c r="N433" i="3"/>
  <c r="M433" i="3"/>
  <c r="H433" i="3"/>
  <c r="F433" i="3"/>
  <c r="D433" i="3"/>
  <c r="B433" i="3"/>
  <c r="A433" i="3"/>
  <c r="N432" i="3"/>
  <c r="M432" i="3"/>
  <c r="H432" i="3"/>
  <c r="F432" i="3"/>
  <c r="D432" i="3"/>
  <c r="B432" i="3"/>
  <c r="A432" i="3"/>
  <c r="N431" i="3"/>
  <c r="M431" i="3"/>
  <c r="H431" i="3"/>
  <c r="F431" i="3"/>
  <c r="D431" i="3"/>
  <c r="B431" i="3"/>
  <c r="A431" i="3"/>
  <c r="N430" i="3"/>
  <c r="M430" i="3"/>
  <c r="H430" i="3"/>
  <c r="F430" i="3"/>
  <c r="D430" i="3"/>
  <c r="B430" i="3"/>
  <c r="A430" i="3"/>
  <c r="N429" i="3"/>
  <c r="M429" i="3"/>
  <c r="H429" i="3"/>
  <c r="F429" i="3"/>
  <c r="D429" i="3"/>
  <c r="B429" i="3"/>
  <c r="A429" i="3"/>
  <c r="N428" i="3"/>
  <c r="M428" i="3"/>
  <c r="H428" i="3"/>
  <c r="F428" i="3"/>
  <c r="D428" i="3"/>
  <c r="B428" i="3"/>
  <c r="A428" i="3"/>
  <c r="N427" i="3"/>
  <c r="M427" i="3"/>
  <c r="H427" i="3"/>
  <c r="F427" i="3"/>
  <c r="D427" i="3"/>
  <c r="B427" i="3"/>
  <c r="A427" i="3"/>
  <c r="N426" i="3"/>
  <c r="M426" i="3"/>
  <c r="H426" i="3"/>
  <c r="F426" i="3"/>
  <c r="D426" i="3"/>
  <c r="B426" i="3"/>
  <c r="A426" i="3"/>
  <c r="N425" i="3"/>
  <c r="M425" i="3"/>
  <c r="H425" i="3"/>
  <c r="F425" i="3"/>
  <c r="D425" i="3"/>
  <c r="B425" i="3"/>
  <c r="A425" i="3"/>
  <c r="N424" i="3"/>
  <c r="M424" i="3"/>
  <c r="H424" i="3"/>
  <c r="F424" i="3"/>
  <c r="D424" i="3"/>
  <c r="B424" i="3"/>
  <c r="A424" i="3"/>
  <c r="N423" i="3"/>
  <c r="M423" i="3"/>
  <c r="H423" i="3"/>
  <c r="F423" i="3"/>
  <c r="D423" i="3"/>
  <c r="B423" i="3"/>
  <c r="A423" i="3"/>
  <c r="N422" i="3"/>
  <c r="M422" i="3"/>
  <c r="H422" i="3"/>
  <c r="F422" i="3"/>
  <c r="D422" i="3"/>
  <c r="B422" i="3"/>
  <c r="A422" i="3"/>
  <c r="N421" i="3"/>
  <c r="M421" i="3"/>
  <c r="H421" i="3"/>
  <c r="F421" i="3"/>
  <c r="D421" i="3"/>
  <c r="B421" i="3"/>
  <c r="A421" i="3"/>
  <c r="N420" i="3"/>
  <c r="M420" i="3"/>
  <c r="H420" i="3"/>
  <c r="F420" i="3"/>
  <c r="D420" i="3"/>
  <c r="B420" i="3"/>
  <c r="A420" i="3"/>
  <c r="N419" i="3"/>
  <c r="M419" i="3"/>
  <c r="H419" i="3"/>
  <c r="F419" i="3"/>
  <c r="D419" i="3"/>
  <c r="B419" i="3"/>
  <c r="A419" i="3"/>
  <c r="N418" i="3"/>
  <c r="M418" i="3"/>
  <c r="H418" i="3"/>
  <c r="F418" i="3"/>
  <c r="D418" i="3"/>
  <c r="B418" i="3"/>
  <c r="A418" i="3"/>
  <c r="N417" i="3"/>
  <c r="M417" i="3"/>
  <c r="H417" i="3"/>
  <c r="F417" i="3"/>
  <c r="D417" i="3"/>
  <c r="B417" i="3"/>
  <c r="A417" i="3"/>
  <c r="N416" i="3"/>
  <c r="M416" i="3"/>
  <c r="H416" i="3"/>
  <c r="F416" i="3"/>
  <c r="D416" i="3"/>
  <c r="B416" i="3"/>
  <c r="A416" i="3"/>
  <c r="N415" i="3"/>
  <c r="M415" i="3"/>
  <c r="H415" i="3"/>
  <c r="F415" i="3"/>
  <c r="D415" i="3"/>
  <c r="B415" i="3"/>
  <c r="A415" i="3"/>
  <c r="N414" i="3"/>
  <c r="M414" i="3"/>
  <c r="H414" i="3"/>
  <c r="F414" i="3"/>
  <c r="D414" i="3"/>
  <c r="B414" i="3"/>
  <c r="A414" i="3"/>
  <c r="N413" i="3"/>
  <c r="M413" i="3"/>
  <c r="H413" i="3"/>
  <c r="F413" i="3"/>
  <c r="D413" i="3"/>
  <c r="B413" i="3"/>
  <c r="A413" i="3"/>
  <c r="N412" i="3"/>
  <c r="M412" i="3"/>
  <c r="H412" i="3"/>
  <c r="F412" i="3"/>
  <c r="D412" i="3"/>
  <c r="B412" i="3"/>
  <c r="A412" i="3"/>
  <c r="N411" i="3"/>
  <c r="M411" i="3"/>
  <c r="H411" i="3"/>
  <c r="F411" i="3"/>
  <c r="D411" i="3"/>
  <c r="B411" i="3"/>
  <c r="A411" i="3"/>
  <c r="N410" i="3"/>
  <c r="M410" i="3"/>
  <c r="H410" i="3"/>
  <c r="F410" i="3"/>
  <c r="D410" i="3"/>
  <c r="B410" i="3"/>
  <c r="A410" i="3"/>
  <c r="N409" i="3"/>
  <c r="M409" i="3"/>
  <c r="H409" i="3"/>
  <c r="F409" i="3"/>
  <c r="D409" i="3"/>
  <c r="B409" i="3"/>
  <c r="A409" i="3"/>
  <c r="N408" i="3"/>
  <c r="M408" i="3"/>
  <c r="H408" i="3"/>
  <c r="F408" i="3"/>
  <c r="D408" i="3"/>
  <c r="B408" i="3"/>
  <c r="A408" i="3"/>
  <c r="N407" i="3"/>
  <c r="M407" i="3"/>
  <c r="H407" i="3"/>
  <c r="F407" i="3"/>
  <c r="D407" i="3"/>
  <c r="B407" i="3"/>
  <c r="A407" i="3"/>
  <c r="N406" i="3"/>
  <c r="M406" i="3"/>
  <c r="H406" i="3"/>
  <c r="F406" i="3"/>
  <c r="D406" i="3"/>
  <c r="B406" i="3"/>
  <c r="A406" i="3"/>
  <c r="N405" i="3"/>
  <c r="M405" i="3"/>
  <c r="H405" i="3"/>
  <c r="F405" i="3"/>
  <c r="D405" i="3"/>
  <c r="B405" i="3"/>
  <c r="A405" i="3"/>
  <c r="N404" i="3"/>
  <c r="M404" i="3"/>
  <c r="H404" i="3"/>
  <c r="F404" i="3"/>
  <c r="D404" i="3"/>
  <c r="B404" i="3"/>
  <c r="A404" i="3"/>
  <c r="N403" i="3"/>
  <c r="M403" i="3"/>
  <c r="H403" i="3"/>
  <c r="F403" i="3"/>
  <c r="D403" i="3"/>
  <c r="B403" i="3"/>
  <c r="A403" i="3"/>
  <c r="N402" i="3"/>
  <c r="M402" i="3"/>
  <c r="H402" i="3"/>
  <c r="F402" i="3"/>
  <c r="D402" i="3"/>
  <c r="B402" i="3"/>
  <c r="A402" i="3"/>
  <c r="N401" i="3"/>
  <c r="M401" i="3"/>
  <c r="H401" i="3"/>
  <c r="F401" i="3"/>
  <c r="D401" i="3"/>
  <c r="B401" i="3"/>
  <c r="A401" i="3"/>
  <c r="N400" i="3"/>
  <c r="M400" i="3"/>
  <c r="H400" i="3"/>
  <c r="F400" i="3"/>
  <c r="D400" i="3"/>
  <c r="B400" i="3"/>
  <c r="A400" i="3"/>
  <c r="N399" i="3"/>
  <c r="M399" i="3"/>
  <c r="H399" i="3"/>
  <c r="F399" i="3"/>
  <c r="D399" i="3"/>
  <c r="B399" i="3"/>
  <c r="A399" i="3"/>
  <c r="N398" i="3"/>
  <c r="M398" i="3"/>
  <c r="H398" i="3"/>
  <c r="F398" i="3"/>
  <c r="D398" i="3"/>
  <c r="B398" i="3"/>
  <c r="A398" i="3"/>
  <c r="N397" i="3"/>
  <c r="M397" i="3"/>
  <c r="H397" i="3"/>
  <c r="F397" i="3"/>
  <c r="D397" i="3"/>
  <c r="B397" i="3"/>
  <c r="A397" i="3"/>
  <c r="N396" i="3"/>
  <c r="M396" i="3"/>
  <c r="H396" i="3"/>
  <c r="F396" i="3"/>
  <c r="D396" i="3"/>
  <c r="B396" i="3"/>
  <c r="A396" i="3"/>
  <c r="N395" i="3"/>
  <c r="M395" i="3"/>
  <c r="H395" i="3"/>
  <c r="F395" i="3"/>
  <c r="D395" i="3"/>
  <c r="B395" i="3"/>
  <c r="A395" i="3"/>
  <c r="N394" i="3"/>
  <c r="M394" i="3"/>
  <c r="H394" i="3"/>
  <c r="F394" i="3"/>
  <c r="D394" i="3"/>
  <c r="B394" i="3"/>
  <c r="A394" i="3"/>
  <c r="N393" i="3"/>
  <c r="M393" i="3"/>
  <c r="H393" i="3"/>
  <c r="F393" i="3"/>
  <c r="D393" i="3"/>
  <c r="B393" i="3"/>
  <c r="A393" i="3"/>
  <c r="N392" i="3"/>
  <c r="M392" i="3"/>
  <c r="H392" i="3"/>
  <c r="F392" i="3"/>
  <c r="D392" i="3"/>
  <c r="B392" i="3"/>
  <c r="A392" i="3"/>
  <c r="N391" i="3"/>
  <c r="M391" i="3"/>
  <c r="H391" i="3"/>
  <c r="F391" i="3"/>
  <c r="D391" i="3"/>
  <c r="B391" i="3"/>
  <c r="A391" i="3"/>
  <c r="N390" i="3"/>
  <c r="M390" i="3"/>
  <c r="H390" i="3"/>
  <c r="F390" i="3"/>
  <c r="D390" i="3"/>
  <c r="B390" i="3"/>
  <c r="A390" i="3"/>
  <c r="N389" i="3"/>
  <c r="M389" i="3"/>
  <c r="H389" i="3"/>
  <c r="F389" i="3"/>
  <c r="D389" i="3"/>
  <c r="B389" i="3"/>
  <c r="A389" i="3"/>
  <c r="N388" i="3"/>
  <c r="M388" i="3"/>
  <c r="H388" i="3"/>
  <c r="F388" i="3"/>
  <c r="D388" i="3"/>
  <c r="B388" i="3"/>
  <c r="A388" i="3"/>
  <c r="N387" i="3"/>
  <c r="M387" i="3"/>
  <c r="H387" i="3"/>
  <c r="F387" i="3"/>
  <c r="D387" i="3"/>
  <c r="B387" i="3"/>
  <c r="A387" i="3"/>
  <c r="N386" i="3"/>
  <c r="M386" i="3"/>
  <c r="H386" i="3"/>
  <c r="F386" i="3"/>
  <c r="D386" i="3"/>
  <c r="B386" i="3"/>
  <c r="A386" i="3"/>
  <c r="N385" i="3"/>
  <c r="M385" i="3"/>
  <c r="H385" i="3"/>
  <c r="F385" i="3"/>
  <c r="D385" i="3"/>
  <c r="B385" i="3"/>
  <c r="A385" i="3"/>
  <c r="N384" i="3"/>
  <c r="M384" i="3"/>
  <c r="H384" i="3"/>
  <c r="F384" i="3"/>
  <c r="D384" i="3"/>
  <c r="B384" i="3"/>
  <c r="A384" i="3"/>
  <c r="N383" i="3"/>
  <c r="M383" i="3"/>
  <c r="H383" i="3"/>
  <c r="F383" i="3"/>
  <c r="D383" i="3"/>
  <c r="B383" i="3"/>
  <c r="A383" i="3"/>
  <c r="N382" i="3"/>
  <c r="M382" i="3"/>
  <c r="H382" i="3"/>
  <c r="F382" i="3"/>
  <c r="D382" i="3"/>
  <c r="B382" i="3"/>
  <c r="A382" i="3"/>
  <c r="N381" i="3"/>
  <c r="M381" i="3"/>
  <c r="H381" i="3"/>
  <c r="F381" i="3"/>
  <c r="D381" i="3"/>
  <c r="B381" i="3"/>
  <c r="A381" i="3"/>
  <c r="N380" i="3"/>
  <c r="M380" i="3"/>
  <c r="H380" i="3"/>
  <c r="F380" i="3"/>
  <c r="D380" i="3"/>
  <c r="B380" i="3"/>
  <c r="A380" i="3"/>
  <c r="N379" i="3"/>
  <c r="M379" i="3"/>
  <c r="H379" i="3"/>
  <c r="F379" i="3"/>
  <c r="D379" i="3"/>
  <c r="B379" i="3"/>
  <c r="A379" i="3"/>
  <c r="N378" i="3"/>
  <c r="M378" i="3"/>
  <c r="H378" i="3"/>
  <c r="F378" i="3"/>
  <c r="D378" i="3"/>
  <c r="B378" i="3"/>
  <c r="A378" i="3"/>
  <c r="N377" i="3"/>
  <c r="M377" i="3"/>
  <c r="H377" i="3"/>
  <c r="F377" i="3"/>
  <c r="D377" i="3"/>
  <c r="B377" i="3"/>
  <c r="A377" i="3"/>
  <c r="N376" i="3"/>
  <c r="M376" i="3"/>
  <c r="H376" i="3"/>
  <c r="F376" i="3"/>
  <c r="D376" i="3"/>
  <c r="B376" i="3"/>
  <c r="A376" i="3"/>
  <c r="N375" i="3"/>
  <c r="M375" i="3"/>
  <c r="H375" i="3"/>
  <c r="F375" i="3"/>
  <c r="D375" i="3"/>
  <c r="B375" i="3"/>
  <c r="A375" i="3"/>
  <c r="N374" i="3"/>
  <c r="M374" i="3"/>
  <c r="H374" i="3"/>
  <c r="F374" i="3"/>
  <c r="D374" i="3"/>
  <c r="B374" i="3"/>
  <c r="A374" i="3"/>
  <c r="N373" i="3"/>
  <c r="M373" i="3"/>
  <c r="H373" i="3"/>
  <c r="F373" i="3"/>
  <c r="D373" i="3"/>
  <c r="B373" i="3"/>
  <c r="A373" i="3"/>
  <c r="N372" i="3"/>
  <c r="M372" i="3"/>
  <c r="H372" i="3"/>
  <c r="F372" i="3"/>
  <c r="D372" i="3"/>
  <c r="B372" i="3"/>
  <c r="A372" i="3"/>
  <c r="N371" i="3"/>
  <c r="M371" i="3"/>
  <c r="H371" i="3"/>
  <c r="F371" i="3"/>
  <c r="D371" i="3"/>
  <c r="B371" i="3"/>
  <c r="A371" i="3"/>
  <c r="N370" i="3"/>
  <c r="M370" i="3"/>
  <c r="H370" i="3"/>
  <c r="F370" i="3"/>
  <c r="D370" i="3"/>
  <c r="B370" i="3"/>
  <c r="A370" i="3"/>
  <c r="N369" i="3"/>
  <c r="M369" i="3"/>
  <c r="H369" i="3"/>
  <c r="F369" i="3"/>
  <c r="D369" i="3"/>
  <c r="B369" i="3"/>
  <c r="A369" i="3"/>
  <c r="N368" i="3"/>
  <c r="M368" i="3"/>
  <c r="H368" i="3"/>
  <c r="F368" i="3"/>
  <c r="D368" i="3"/>
  <c r="B368" i="3"/>
  <c r="A368" i="3"/>
  <c r="N367" i="3"/>
  <c r="M367" i="3"/>
  <c r="H367" i="3"/>
  <c r="F367" i="3"/>
  <c r="D367" i="3"/>
  <c r="B367" i="3"/>
  <c r="A367" i="3"/>
  <c r="N366" i="3"/>
  <c r="M366" i="3"/>
  <c r="H366" i="3"/>
  <c r="F366" i="3"/>
  <c r="D366" i="3"/>
  <c r="B366" i="3"/>
  <c r="A366" i="3"/>
  <c r="N365" i="3"/>
  <c r="M365" i="3"/>
  <c r="H365" i="3"/>
  <c r="F365" i="3"/>
  <c r="D365" i="3"/>
  <c r="B365" i="3"/>
  <c r="A365" i="3"/>
  <c r="N364" i="3"/>
  <c r="M364" i="3"/>
  <c r="H364" i="3"/>
  <c r="F364" i="3"/>
  <c r="D364" i="3"/>
  <c r="B364" i="3"/>
  <c r="A364" i="3"/>
  <c r="N363" i="3"/>
  <c r="M363" i="3"/>
  <c r="H363" i="3"/>
  <c r="F363" i="3"/>
  <c r="D363" i="3"/>
  <c r="B363" i="3"/>
  <c r="A363" i="3"/>
  <c r="N362" i="3"/>
  <c r="M362" i="3"/>
  <c r="H362" i="3"/>
  <c r="F362" i="3"/>
  <c r="D362" i="3"/>
  <c r="B362" i="3"/>
  <c r="A362" i="3"/>
  <c r="N361" i="3"/>
  <c r="M361" i="3"/>
  <c r="H361" i="3"/>
  <c r="F361" i="3"/>
  <c r="D361" i="3"/>
  <c r="B361" i="3"/>
  <c r="A361" i="3"/>
  <c r="N360" i="3"/>
  <c r="M360" i="3"/>
  <c r="H360" i="3"/>
  <c r="F360" i="3"/>
  <c r="D360" i="3"/>
  <c r="B360" i="3"/>
  <c r="A360" i="3"/>
  <c r="N359" i="3"/>
  <c r="M359" i="3"/>
  <c r="H359" i="3"/>
  <c r="F359" i="3"/>
  <c r="D359" i="3"/>
  <c r="B359" i="3"/>
  <c r="A359" i="3"/>
  <c r="N358" i="3"/>
  <c r="M358" i="3"/>
  <c r="H358" i="3"/>
  <c r="F358" i="3"/>
  <c r="D358" i="3"/>
  <c r="B358" i="3"/>
  <c r="A358" i="3"/>
  <c r="N357" i="3"/>
  <c r="M357" i="3"/>
  <c r="H357" i="3"/>
  <c r="F357" i="3"/>
  <c r="D357" i="3"/>
  <c r="B357" i="3"/>
  <c r="A357" i="3"/>
  <c r="N356" i="3"/>
  <c r="M356" i="3"/>
  <c r="H356" i="3"/>
  <c r="F356" i="3"/>
  <c r="D356" i="3"/>
  <c r="B356" i="3"/>
  <c r="A356" i="3"/>
  <c r="N355" i="3"/>
  <c r="M355" i="3"/>
  <c r="H355" i="3"/>
  <c r="F355" i="3"/>
  <c r="D355" i="3"/>
  <c r="B355" i="3"/>
  <c r="A355" i="3"/>
  <c r="N354" i="3"/>
  <c r="M354" i="3"/>
  <c r="H354" i="3"/>
  <c r="F354" i="3"/>
  <c r="D354" i="3"/>
  <c r="B354" i="3"/>
  <c r="A354" i="3"/>
  <c r="N353" i="3"/>
  <c r="M353" i="3"/>
  <c r="H353" i="3"/>
  <c r="F353" i="3"/>
  <c r="D353" i="3"/>
  <c r="B353" i="3"/>
  <c r="A353" i="3"/>
  <c r="N352" i="3"/>
  <c r="M352" i="3"/>
  <c r="H352" i="3"/>
  <c r="F352" i="3"/>
  <c r="D352" i="3"/>
  <c r="B352" i="3"/>
  <c r="A352" i="3"/>
  <c r="N351" i="3"/>
  <c r="M351" i="3"/>
  <c r="H351" i="3"/>
  <c r="F351" i="3"/>
  <c r="D351" i="3"/>
  <c r="B351" i="3"/>
  <c r="A351" i="3"/>
  <c r="N350" i="3"/>
  <c r="M350" i="3"/>
  <c r="H350" i="3"/>
  <c r="F350" i="3"/>
  <c r="D350" i="3"/>
  <c r="B350" i="3"/>
  <c r="A350" i="3"/>
  <c r="N349" i="3"/>
  <c r="M349" i="3"/>
  <c r="H349" i="3"/>
  <c r="F349" i="3"/>
  <c r="D349" i="3"/>
  <c r="B349" i="3"/>
  <c r="A349" i="3"/>
  <c r="N348" i="3"/>
  <c r="M348" i="3"/>
  <c r="H348" i="3"/>
  <c r="F348" i="3"/>
  <c r="D348" i="3"/>
  <c r="B348" i="3"/>
  <c r="A348" i="3"/>
  <c r="N347" i="3"/>
  <c r="M347" i="3"/>
  <c r="H347" i="3"/>
  <c r="F347" i="3"/>
  <c r="D347" i="3"/>
  <c r="B347" i="3"/>
  <c r="A347" i="3"/>
  <c r="N346" i="3"/>
  <c r="M346" i="3"/>
  <c r="H346" i="3"/>
  <c r="F346" i="3"/>
  <c r="D346" i="3"/>
  <c r="B346" i="3"/>
  <c r="A346" i="3"/>
  <c r="N345" i="3"/>
  <c r="M345" i="3"/>
  <c r="H345" i="3"/>
  <c r="F345" i="3"/>
  <c r="D345" i="3"/>
  <c r="B345" i="3"/>
  <c r="A345" i="3"/>
  <c r="N344" i="3"/>
  <c r="M344" i="3"/>
  <c r="H344" i="3"/>
  <c r="F344" i="3"/>
  <c r="D344" i="3"/>
  <c r="B344" i="3"/>
  <c r="A344" i="3"/>
  <c r="N343" i="3"/>
  <c r="M343" i="3"/>
  <c r="H343" i="3"/>
  <c r="F343" i="3"/>
  <c r="D343" i="3"/>
  <c r="B343" i="3"/>
  <c r="A343" i="3"/>
  <c r="N342" i="3"/>
  <c r="M342" i="3"/>
  <c r="H342" i="3"/>
  <c r="F342" i="3"/>
  <c r="D342" i="3"/>
  <c r="B342" i="3"/>
  <c r="A342" i="3"/>
  <c r="N341" i="3"/>
  <c r="M341" i="3"/>
  <c r="H341" i="3"/>
  <c r="F341" i="3"/>
  <c r="D341" i="3"/>
  <c r="B341" i="3"/>
  <c r="A341" i="3"/>
  <c r="N340" i="3"/>
  <c r="M340" i="3"/>
  <c r="H340" i="3"/>
  <c r="F340" i="3"/>
  <c r="D340" i="3"/>
  <c r="B340" i="3"/>
  <c r="A340" i="3"/>
  <c r="N339" i="3"/>
  <c r="M339" i="3"/>
  <c r="H339" i="3"/>
  <c r="F339" i="3"/>
  <c r="D339" i="3"/>
  <c r="B339" i="3"/>
  <c r="A339" i="3"/>
  <c r="N338" i="3"/>
  <c r="M338" i="3"/>
  <c r="H338" i="3"/>
  <c r="F338" i="3"/>
  <c r="D338" i="3"/>
  <c r="B338" i="3"/>
  <c r="A338" i="3"/>
  <c r="N337" i="3"/>
  <c r="M337" i="3"/>
  <c r="H337" i="3"/>
  <c r="F337" i="3"/>
  <c r="D337" i="3"/>
  <c r="B337" i="3"/>
  <c r="A337" i="3"/>
  <c r="N336" i="3"/>
  <c r="M336" i="3"/>
  <c r="H336" i="3"/>
  <c r="F336" i="3"/>
  <c r="D336" i="3"/>
  <c r="B336" i="3"/>
  <c r="A336" i="3"/>
  <c r="N335" i="3"/>
  <c r="M335" i="3"/>
  <c r="H335" i="3"/>
  <c r="F335" i="3"/>
  <c r="D335" i="3"/>
  <c r="B335" i="3"/>
  <c r="A335" i="3"/>
  <c r="N334" i="3"/>
  <c r="M334" i="3"/>
  <c r="H334" i="3"/>
  <c r="F334" i="3"/>
  <c r="D334" i="3"/>
  <c r="B334" i="3"/>
  <c r="A334" i="3"/>
  <c r="N333" i="3"/>
  <c r="M333" i="3"/>
  <c r="H333" i="3"/>
  <c r="F333" i="3"/>
  <c r="D333" i="3"/>
  <c r="B333" i="3"/>
  <c r="A333" i="3"/>
  <c r="N332" i="3"/>
  <c r="M332" i="3"/>
  <c r="H332" i="3"/>
  <c r="F332" i="3"/>
  <c r="D332" i="3"/>
  <c r="B332" i="3"/>
  <c r="A332" i="3"/>
  <c r="N331" i="3"/>
  <c r="M331" i="3"/>
  <c r="H331" i="3"/>
  <c r="F331" i="3"/>
  <c r="D331" i="3"/>
  <c r="B331" i="3"/>
  <c r="A331" i="3"/>
  <c r="N330" i="3"/>
  <c r="M330" i="3"/>
  <c r="H330" i="3"/>
  <c r="F330" i="3"/>
  <c r="D330" i="3"/>
  <c r="B330" i="3"/>
  <c r="A330" i="3"/>
  <c r="N329" i="3"/>
  <c r="M329" i="3"/>
  <c r="H329" i="3"/>
  <c r="F329" i="3"/>
  <c r="D329" i="3"/>
  <c r="B329" i="3"/>
  <c r="A329" i="3"/>
  <c r="N328" i="3"/>
  <c r="M328" i="3"/>
  <c r="H328" i="3"/>
  <c r="F328" i="3"/>
  <c r="D328" i="3"/>
  <c r="B328" i="3"/>
  <c r="A328" i="3"/>
  <c r="N327" i="3"/>
  <c r="M327" i="3"/>
  <c r="H327" i="3"/>
  <c r="F327" i="3"/>
  <c r="D327" i="3"/>
  <c r="B327" i="3"/>
  <c r="A327" i="3"/>
  <c r="N326" i="3"/>
  <c r="M326" i="3"/>
  <c r="H326" i="3"/>
  <c r="F326" i="3"/>
  <c r="D326" i="3"/>
  <c r="B326" i="3"/>
  <c r="A326" i="3"/>
  <c r="N325" i="3"/>
  <c r="M325" i="3"/>
  <c r="H325" i="3"/>
  <c r="F325" i="3"/>
  <c r="D325" i="3"/>
  <c r="B325" i="3"/>
  <c r="A325" i="3"/>
  <c r="N324" i="3"/>
  <c r="M324" i="3"/>
  <c r="H324" i="3"/>
  <c r="F324" i="3"/>
  <c r="D324" i="3"/>
  <c r="B324" i="3"/>
  <c r="A324" i="3"/>
  <c r="N323" i="3"/>
  <c r="M323" i="3"/>
  <c r="H323" i="3"/>
  <c r="F323" i="3"/>
  <c r="D323" i="3"/>
  <c r="B323" i="3"/>
  <c r="A323" i="3"/>
  <c r="N322" i="3"/>
  <c r="M322" i="3"/>
  <c r="H322" i="3"/>
  <c r="F322" i="3"/>
  <c r="D322" i="3"/>
  <c r="B322" i="3"/>
  <c r="A322" i="3"/>
  <c r="N321" i="3"/>
  <c r="M321" i="3"/>
  <c r="H321" i="3"/>
  <c r="F321" i="3"/>
  <c r="D321" i="3"/>
  <c r="B321" i="3"/>
  <c r="A321" i="3"/>
  <c r="N320" i="3"/>
  <c r="M320" i="3"/>
  <c r="H320" i="3"/>
  <c r="F320" i="3"/>
  <c r="D320" i="3"/>
  <c r="B320" i="3"/>
  <c r="A320" i="3"/>
  <c r="N319" i="3"/>
  <c r="M319" i="3"/>
  <c r="H319" i="3"/>
  <c r="F319" i="3"/>
  <c r="D319" i="3"/>
  <c r="B319" i="3"/>
  <c r="A319" i="3"/>
  <c r="N318" i="3"/>
  <c r="M318" i="3"/>
  <c r="H318" i="3"/>
  <c r="F318" i="3"/>
  <c r="D318" i="3"/>
  <c r="B318" i="3"/>
  <c r="A318" i="3"/>
  <c r="N317" i="3"/>
  <c r="M317" i="3"/>
  <c r="H317" i="3"/>
  <c r="F317" i="3"/>
  <c r="D317" i="3"/>
  <c r="B317" i="3"/>
  <c r="A317" i="3"/>
  <c r="N316" i="3"/>
  <c r="M316" i="3"/>
  <c r="H316" i="3"/>
  <c r="F316" i="3"/>
  <c r="D316" i="3"/>
  <c r="B316" i="3"/>
  <c r="A316" i="3"/>
  <c r="N315" i="3"/>
  <c r="M315" i="3"/>
  <c r="H315" i="3"/>
  <c r="F315" i="3"/>
  <c r="D315" i="3"/>
  <c r="B315" i="3"/>
  <c r="A315" i="3"/>
  <c r="N314" i="3"/>
  <c r="M314" i="3"/>
  <c r="H314" i="3"/>
  <c r="F314" i="3"/>
  <c r="D314" i="3"/>
  <c r="B314" i="3"/>
  <c r="A314" i="3"/>
  <c r="N313" i="3"/>
  <c r="M313" i="3"/>
  <c r="H313" i="3"/>
  <c r="F313" i="3"/>
  <c r="D313" i="3"/>
  <c r="B313" i="3"/>
  <c r="A313" i="3"/>
  <c r="N312" i="3"/>
  <c r="M312" i="3"/>
  <c r="H312" i="3"/>
  <c r="F312" i="3"/>
  <c r="D312" i="3"/>
  <c r="B312" i="3"/>
  <c r="A312" i="3"/>
  <c r="N311" i="3"/>
  <c r="M311" i="3"/>
  <c r="H311" i="3"/>
  <c r="F311" i="3"/>
  <c r="D311" i="3"/>
  <c r="B311" i="3"/>
  <c r="A311" i="3"/>
  <c r="N310" i="3"/>
  <c r="M310" i="3"/>
  <c r="H310" i="3"/>
  <c r="F310" i="3"/>
  <c r="D310" i="3"/>
  <c r="B310" i="3"/>
  <c r="A310" i="3"/>
  <c r="N309" i="3"/>
  <c r="M309" i="3"/>
  <c r="H309" i="3"/>
  <c r="F309" i="3"/>
  <c r="D309" i="3"/>
  <c r="B309" i="3"/>
  <c r="A309" i="3"/>
  <c r="N308" i="3"/>
  <c r="M308" i="3"/>
  <c r="H308" i="3"/>
  <c r="F308" i="3"/>
  <c r="D308" i="3"/>
  <c r="B308" i="3"/>
  <c r="A308" i="3"/>
  <c r="N307" i="3"/>
  <c r="M307" i="3"/>
  <c r="H307" i="3"/>
  <c r="F307" i="3"/>
  <c r="D307" i="3"/>
  <c r="B307" i="3"/>
  <c r="A307" i="3"/>
  <c r="N306" i="3"/>
  <c r="M306" i="3"/>
  <c r="H306" i="3"/>
  <c r="F306" i="3"/>
  <c r="D306" i="3"/>
  <c r="B306" i="3"/>
  <c r="A306" i="3"/>
  <c r="N305" i="3"/>
  <c r="M305" i="3"/>
  <c r="H305" i="3"/>
  <c r="F305" i="3"/>
  <c r="D305" i="3"/>
  <c r="B305" i="3"/>
  <c r="A305" i="3"/>
  <c r="N304" i="3"/>
  <c r="M304" i="3"/>
  <c r="H304" i="3"/>
  <c r="F304" i="3"/>
  <c r="D304" i="3"/>
  <c r="B304" i="3"/>
  <c r="A304" i="3"/>
  <c r="N303" i="3"/>
  <c r="M303" i="3"/>
  <c r="H303" i="3"/>
  <c r="F303" i="3"/>
  <c r="D303" i="3"/>
  <c r="B303" i="3"/>
  <c r="A303" i="3"/>
  <c r="N302" i="3"/>
  <c r="M302" i="3"/>
  <c r="H302" i="3"/>
  <c r="F302" i="3"/>
  <c r="D302" i="3"/>
  <c r="B302" i="3"/>
  <c r="A302" i="3"/>
  <c r="N301" i="3"/>
  <c r="M301" i="3"/>
  <c r="H301" i="3"/>
  <c r="F301" i="3"/>
  <c r="D301" i="3"/>
  <c r="B301" i="3"/>
  <c r="A301" i="3"/>
  <c r="N300" i="3"/>
  <c r="M300" i="3"/>
  <c r="H300" i="3"/>
  <c r="F300" i="3"/>
  <c r="D300" i="3"/>
  <c r="B300" i="3"/>
  <c r="A300" i="3"/>
  <c r="N299" i="3"/>
  <c r="M299" i="3"/>
  <c r="H299" i="3"/>
  <c r="F299" i="3"/>
  <c r="D299" i="3"/>
  <c r="B299" i="3"/>
  <c r="A299" i="3"/>
  <c r="N298" i="3"/>
  <c r="M298" i="3"/>
  <c r="H298" i="3"/>
  <c r="F298" i="3"/>
  <c r="D298" i="3"/>
  <c r="B298" i="3"/>
  <c r="A298" i="3"/>
  <c r="N297" i="3"/>
  <c r="M297" i="3"/>
  <c r="H297" i="3"/>
  <c r="F297" i="3"/>
  <c r="D297" i="3"/>
  <c r="B297" i="3"/>
  <c r="A297" i="3"/>
  <c r="N296" i="3"/>
  <c r="M296" i="3"/>
  <c r="H296" i="3"/>
  <c r="F296" i="3"/>
  <c r="D296" i="3"/>
  <c r="B296" i="3"/>
  <c r="A296" i="3"/>
  <c r="N295" i="3"/>
  <c r="M295" i="3"/>
  <c r="H295" i="3"/>
  <c r="F295" i="3"/>
  <c r="D295" i="3"/>
  <c r="B295" i="3"/>
  <c r="A295" i="3"/>
  <c r="N294" i="3"/>
  <c r="M294" i="3"/>
  <c r="H294" i="3"/>
  <c r="F294" i="3"/>
  <c r="D294" i="3"/>
  <c r="B294" i="3"/>
  <c r="A294" i="3"/>
  <c r="N293" i="3"/>
  <c r="M293" i="3"/>
  <c r="H293" i="3"/>
  <c r="F293" i="3"/>
  <c r="D293" i="3"/>
  <c r="B293" i="3"/>
  <c r="A293" i="3"/>
  <c r="N292" i="3"/>
  <c r="M292" i="3"/>
  <c r="H292" i="3"/>
  <c r="F292" i="3"/>
  <c r="D292" i="3"/>
  <c r="B292" i="3"/>
  <c r="A292" i="3"/>
  <c r="N291" i="3"/>
  <c r="M291" i="3"/>
  <c r="H291" i="3"/>
  <c r="F291" i="3"/>
  <c r="D291" i="3"/>
  <c r="B291" i="3"/>
  <c r="A291" i="3"/>
  <c r="N290" i="3"/>
  <c r="M290" i="3"/>
  <c r="H290" i="3"/>
  <c r="F290" i="3"/>
  <c r="D290" i="3"/>
  <c r="B290" i="3"/>
  <c r="A290" i="3"/>
  <c r="N289" i="3"/>
  <c r="M289" i="3"/>
  <c r="H289" i="3"/>
  <c r="F289" i="3"/>
  <c r="D289" i="3"/>
  <c r="B289" i="3"/>
  <c r="A289" i="3"/>
  <c r="N288" i="3"/>
  <c r="M288" i="3"/>
  <c r="H288" i="3"/>
  <c r="F288" i="3"/>
  <c r="D288" i="3"/>
  <c r="B288" i="3"/>
  <c r="A288" i="3"/>
  <c r="N287" i="3"/>
  <c r="M287" i="3"/>
  <c r="H287" i="3"/>
  <c r="F287" i="3"/>
  <c r="D287" i="3"/>
  <c r="B287" i="3"/>
  <c r="A287" i="3"/>
  <c r="N286" i="3"/>
  <c r="M286" i="3"/>
  <c r="H286" i="3"/>
  <c r="F286" i="3"/>
  <c r="D286" i="3"/>
  <c r="B286" i="3"/>
  <c r="A286" i="3"/>
  <c r="N285" i="3"/>
  <c r="M285" i="3"/>
  <c r="H285" i="3"/>
  <c r="F285" i="3"/>
  <c r="D285" i="3"/>
  <c r="B285" i="3"/>
  <c r="A285" i="3"/>
  <c r="N284" i="3"/>
  <c r="M284" i="3"/>
  <c r="H284" i="3"/>
  <c r="F284" i="3"/>
  <c r="D284" i="3"/>
  <c r="B284" i="3"/>
  <c r="A284" i="3"/>
  <c r="N283" i="3"/>
  <c r="M283" i="3"/>
  <c r="H283" i="3"/>
  <c r="F283" i="3"/>
  <c r="D283" i="3"/>
  <c r="B283" i="3"/>
  <c r="A283" i="3"/>
  <c r="N282" i="3"/>
  <c r="M282" i="3"/>
  <c r="H282" i="3"/>
  <c r="F282" i="3"/>
  <c r="D282" i="3"/>
  <c r="B282" i="3"/>
  <c r="A282" i="3"/>
  <c r="N281" i="3"/>
  <c r="M281" i="3"/>
  <c r="H281" i="3"/>
  <c r="F281" i="3"/>
  <c r="D281" i="3"/>
  <c r="B281" i="3"/>
  <c r="A281" i="3"/>
  <c r="N280" i="3"/>
  <c r="M280" i="3"/>
  <c r="H280" i="3"/>
  <c r="F280" i="3"/>
  <c r="D280" i="3"/>
  <c r="B280" i="3"/>
  <c r="A280" i="3"/>
  <c r="N279" i="3"/>
  <c r="M279" i="3"/>
  <c r="H279" i="3"/>
  <c r="F279" i="3"/>
  <c r="D279" i="3"/>
  <c r="B279" i="3"/>
  <c r="A279" i="3"/>
  <c r="N278" i="3"/>
  <c r="M278" i="3"/>
  <c r="H278" i="3"/>
  <c r="F278" i="3"/>
  <c r="D278" i="3"/>
  <c r="B278" i="3"/>
  <c r="A278" i="3"/>
  <c r="N277" i="3"/>
  <c r="M277" i="3"/>
  <c r="H277" i="3"/>
  <c r="F277" i="3"/>
  <c r="D277" i="3"/>
  <c r="B277" i="3"/>
  <c r="A277" i="3"/>
  <c r="N276" i="3"/>
  <c r="M276" i="3"/>
  <c r="H276" i="3"/>
  <c r="F276" i="3"/>
  <c r="D276" i="3"/>
  <c r="B276" i="3"/>
  <c r="A276" i="3"/>
  <c r="N275" i="3"/>
  <c r="M275" i="3"/>
  <c r="H275" i="3"/>
  <c r="F275" i="3"/>
  <c r="D275" i="3"/>
  <c r="B275" i="3"/>
  <c r="A275" i="3"/>
  <c r="N274" i="3"/>
  <c r="M274" i="3"/>
  <c r="H274" i="3"/>
  <c r="F274" i="3"/>
  <c r="D274" i="3"/>
  <c r="B274" i="3"/>
  <c r="A274" i="3"/>
  <c r="N273" i="3"/>
  <c r="M273" i="3"/>
  <c r="H273" i="3"/>
  <c r="F273" i="3"/>
  <c r="D273" i="3"/>
  <c r="B273" i="3"/>
  <c r="A273" i="3"/>
  <c r="N272" i="3"/>
  <c r="M272" i="3"/>
  <c r="H272" i="3"/>
  <c r="F272" i="3"/>
  <c r="D272" i="3"/>
  <c r="B272" i="3"/>
  <c r="A272" i="3"/>
  <c r="N271" i="3"/>
  <c r="M271" i="3"/>
  <c r="H271" i="3"/>
  <c r="F271" i="3"/>
  <c r="D271" i="3"/>
  <c r="B271" i="3"/>
  <c r="A271" i="3"/>
  <c r="N270" i="3"/>
  <c r="M270" i="3"/>
  <c r="H270" i="3"/>
  <c r="F270" i="3"/>
  <c r="D270" i="3"/>
  <c r="B270" i="3"/>
  <c r="A270" i="3"/>
  <c r="N269" i="3"/>
  <c r="M269" i="3"/>
  <c r="H269" i="3"/>
  <c r="F269" i="3"/>
  <c r="D269" i="3"/>
  <c r="B269" i="3"/>
  <c r="A269" i="3"/>
  <c r="N268" i="3"/>
  <c r="M268" i="3"/>
  <c r="H268" i="3"/>
  <c r="F268" i="3"/>
  <c r="D268" i="3"/>
  <c r="B268" i="3"/>
  <c r="A268" i="3"/>
  <c r="N267" i="3"/>
  <c r="M267" i="3"/>
  <c r="H267" i="3"/>
  <c r="F267" i="3"/>
  <c r="D267" i="3"/>
  <c r="B267" i="3"/>
  <c r="A267" i="3"/>
  <c r="N266" i="3"/>
  <c r="M266" i="3"/>
  <c r="H266" i="3"/>
  <c r="F266" i="3"/>
  <c r="D266" i="3"/>
  <c r="B266" i="3"/>
  <c r="A266" i="3"/>
  <c r="N265" i="3"/>
  <c r="M265" i="3"/>
  <c r="H265" i="3"/>
  <c r="F265" i="3"/>
  <c r="D265" i="3"/>
  <c r="B265" i="3"/>
  <c r="A265" i="3"/>
  <c r="N264" i="3"/>
  <c r="M264" i="3"/>
  <c r="H264" i="3"/>
  <c r="F264" i="3"/>
  <c r="D264" i="3"/>
  <c r="B264" i="3"/>
  <c r="A264" i="3"/>
  <c r="N263" i="3"/>
  <c r="M263" i="3"/>
  <c r="H263" i="3"/>
  <c r="F263" i="3"/>
  <c r="D263" i="3"/>
  <c r="B263" i="3"/>
  <c r="A263" i="3"/>
  <c r="N262" i="3"/>
  <c r="M262" i="3"/>
  <c r="H262" i="3"/>
  <c r="F262" i="3"/>
  <c r="D262" i="3"/>
  <c r="B262" i="3"/>
  <c r="A262" i="3"/>
  <c r="N261" i="3"/>
  <c r="M261" i="3"/>
  <c r="H261" i="3"/>
  <c r="F261" i="3"/>
  <c r="D261" i="3"/>
  <c r="B261" i="3"/>
  <c r="A261" i="3"/>
  <c r="N260" i="3"/>
  <c r="M260" i="3"/>
  <c r="H260" i="3"/>
  <c r="F260" i="3"/>
  <c r="D260" i="3"/>
  <c r="B260" i="3"/>
  <c r="A260" i="3"/>
  <c r="N259" i="3"/>
  <c r="M259" i="3"/>
  <c r="H259" i="3"/>
  <c r="F259" i="3"/>
  <c r="D259" i="3"/>
  <c r="B259" i="3"/>
  <c r="A259" i="3"/>
  <c r="N258" i="3"/>
  <c r="M258" i="3"/>
  <c r="H258" i="3"/>
  <c r="F258" i="3"/>
  <c r="D258" i="3"/>
  <c r="B258" i="3"/>
  <c r="A258" i="3"/>
  <c r="N257" i="3"/>
  <c r="M257" i="3"/>
  <c r="H257" i="3"/>
  <c r="F257" i="3"/>
  <c r="D257" i="3"/>
  <c r="B257" i="3"/>
  <c r="A257" i="3"/>
  <c r="N256" i="3"/>
  <c r="M256" i="3"/>
  <c r="H256" i="3"/>
  <c r="F256" i="3"/>
  <c r="D256" i="3"/>
  <c r="B256" i="3"/>
  <c r="A256" i="3"/>
  <c r="N255" i="3"/>
  <c r="M255" i="3"/>
  <c r="H255" i="3"/>
  <c r="F255" i="3"/>
  <c r="D255" i="3"/>
  <c r="B255" i="3"/>
  <c r="A255" i="3"/>
  <c r="N254" i="3"/>
  <c r="M254" i="3"/>
  <c r="H254" i="3"/>
  <c r="F254" i="3"/>
  <c r="D254" i="3"/>
  <c r="B254" i="3"/>
  <c r="A254" i="3"/>
  <c r="N253" i="3"/>
  <c r="M253" i="3"/>
  <c r="H253" i="3"/>
  <c r="F253" i="3"/>
  <c r="D253" i="3"/>
  <c r="B253" i="3"/>
  <c r="A253" i="3"/>
  <c r="N252" i="3"/>
  <c r="M252" i="3"/>
  <c r="H252" i="3"/>
  <c r="F252" i="3"/>
  <c r="D252" i="3"/>
  <c r="B252" i="3"/>
  <c r="A252" i="3"/>
  <c r="N251" i="3"/>
  <c r="M251" i="3"/>
  <c r="H251" i="3"/>
  <c r="F251" i="3"/>
  <c r="D251" i="3"/>
  <c r="B251" i="3"/>
  <c r="A251" i="3"/>
  <c r="N250" i="3"/>
  <c r="M250" i="3"/>
  <c r="H250" i="3"/>
  <c r="F250" i="3"/>
  <c r="D250" i="3"/>
  <c r="B250" i="3"/>
  <c r="A250" i="3"/>
  <c r="N249" i="3"/>
  <c r="M249" i="3"/>
  <c r="H249" i="3"/>
  <c r="F249" i="3"/>
  <c r="D249" i="3"/>
  <c r="B249" i="3"/>
  <c r="A249" i="3"/>
  <c r="N248" i="3"/>
  <c r="M248" i="3"/>
  <c r="H248" i="3"/>
  <c r="F248" i="3"/>
  <c r="D248" i="3"/>
  <c r="B248" i="3"/>
  <c r="A248" i="3"/>
  <c r="N247" i="3"/>
  <c r="M247" i="3"/>
  <c r="H247" i="3"/>
  <c r="F247" i="3"/>
  <c r="D247" i="3"/>
  <c r="B247" i="3"/>
  <c r="A247" i="3"/>
  <c r="N246" i="3"/>
  <c r="M246" i="3"/>
  <c r="H246" i="3"/>
  <c r="F246" i="3"/>
  <c r="D246" i="3"/>
  <c r="B246" i="3"/>
  <c r="A246" i="3"/>
  <c r="N245" i="3"/>
  <c r="M245" i="3"/>
  <c r="H245" i="3"/>
  <c r="F245" i="3"/>
  <c r="D245" i="3"/>
  <c r="B245" i="3"/>
  <c r="A245" i="3"/>
  <c r="N244" i="3"/>
  <c r="M244" i="3"/>
  <c r="H244" i="3"/>
  <c r="F244" i="3"/>
  <c r="D244" i="3"/>
  <c r="B244" i="3"/>
  <c r="A244" i="3"/>
  <c r="N243" i="3"/>
  <c r="M243" i="3"/>
  <c r="H243" i="3"/>
  <c r="F243" i="3"/>
  <c r="D243" i="3"/>
  <c r="B243" i="3"/>
  <c r="A243" i="3"/>
  <c r="N242" i="3"/>
  <c r="M242" i="3"/>
  <c r="H242" i="3"/>
  <c r="F242" i="3"/>
  <c r="D242" i="3"/>
  <c r="B242" i="3"/>
  <c r="A242" i="3"/>
  <c r="N241" i="3"/>
  <c r="M241" i="3"/>
  <c r="H241" i="3"/>
  <c r="F241" i="3"/>
  <c r="D241" i="3"/>
  <c r="B241" i="3"/>
  <c r="A241" i="3"/>
  <c r="N240" i="3"/>
  <c r="M240" i="3"/>
  <c r="H240" i="3"/>
  <c r="F240" i="3"/>
  <c r="D240" i="3"/>
  <c r="B240" i="3"/>
  <c r="A240" i="3"/>
  <c r="N239" i="3"/>
  <c r="M239" i="3"/>
  <c r="H239" i="3"/>
  <c r="F239" i="3"/>
  <c r="D239" i="3"/>
  <c r="B239" i="3"/>
  <c r="A239" i="3"/>
  <c r="N238" i="3"/>
  <c r="M238" i="3"/>
  <c r="H238" i="3"/>
  <c r="F238" i="3"/>
  <c r="D238" i="3"/>
  <c r="B238" i="3"/>
  <c r="A238" i="3"/>
  <c r="N237" i="3"/>
  <c r="M237" i="3"/>
  <c r="H237" i="3"/>
  <c r="F237" i="3"/>
  <c r="D237" i="3"/>
  <c r="B237" i="3"/>
  <c r="A237" i="3"/>
  <c r="N236" i="3"/>
  <c r="M236" i="3"/>
  <c r="H236" i="3"/>
  <c r="F236" i="3"/>
  <c r="D236" i="3"/>
  <c r="B236" i="3"/>
  <c r="A236" i="3"/>
  <c r="N235" i="3"/>
  <c r="M235" i="3"/>
  <c r="H235" i="3"/>
  <c r="F235" i="3"/>
  <c r="D235" i="3"/>
  <c r="B235" i="3"/>
  <c r="A235" i="3"/>
  <c r="N234" i="3"/>
  <c r="M234" i="3"/>
  <c r="H234" i="3"/>
  <c r="F234" i="3"/>
  <c r="D234" i="3"/>
  <c r="B234" i="3"/>
  <c r="A234" i="3"/>
  <c r="N233" i="3"/>
  <c r="M233" i="3"/>
  <c r="H233" i="3"/>
  <c r="F233" i="3"/>
  <c r="D233" i="3"/>
  <c r="B233" i="3"/>
  <c r="A233" i="3"/>
  <c r="N232" i="3"/>
  <c r="M232" i="3"/>
  <c r="H232" i="3"/>
  <c r="F232" i="3"/>
  <c r="D232" i="3"/>
  <c r="B232" i="3"/>
  <c r="A232" i="3"/>
  <c r="N231" i="3"/>
  <c r="M231" i="3"/>
  <c r="H231" i="3"/>
  <c r="F231" i="3"/>
  <c r="D231" i="3"/>
  <c r="B231" i="3"/>
  <c r="A231" i="3"/>
  <c r="N230" i="3"/>
  <c r="M230" i="3"/>
  <c r="H230" i="3"/>
  <c r="F230" i="3"/>
  <c r="D230" i="3"/>
  <c r="B230" i="3"/>
  <c r="A230" i="3"/>
  <c r="N229" i="3"/>
  <c r="M229" i="3"/>
  <c r="H229" i="3"/>
  <c r="F229" i="3"/>
  <c r="D229" i="3"/>
  <c r="B229" i="3"/>
  <c r="A229" i="3"/>
  <c r="N228" i="3"/>
  <c r="M228" i="3"/>
  <c r="H228" i="3"/>
  <c r="F228" i="3"/>
  <c r="D228" i="3"/>
  <c r="B228" i="3"/>
  <c r="A228" i="3"/>
  <c r="N227" i="3"/>
  <c r="M227" i="3"/>
  <c r="H227" i="3"/>
  <c r="F227" i="3"/>
  <c r="D227" i="3"/>
  <c r="B227" i="3"/>
  <c r="A227" i="3"/>
  <c r="N226" i="3"/>
  <c r="M226" i="3"/>
  <c r="H226" i="3"/>
  <c r="F226" i="3"/>
  <c r="D226" i="3"/>
  <c r="B226" i="3"/>
  <c r="A226" i="3"/>
  <c r="N225" i="3"/>
  <c r="M225" i="3"/>
  <c r="H225" i="3"/>
  <c r="F225" i="3"/>
  <c r="D225" i="3"/>
  <c r="B225" i="3"/>
  <c r="A225" i="3"/>
  <c r="N224" i="3"/>
  <c r="M224" i="3"/>
  <c r="H224" i="3"/>
  <c r="F224" i="3"/>
  <c r="D224" i="3"/>
  <c r="B224" i="3"/>
  <c r="A224" i="3"/>
  <c r="N223" i="3"/>
  <c r="M223" i="3"/>
  <c r="H223" i="3"/>
  <c r="F223" i="3"/>
  <c r="D223" i="3"/>
  <c r="B223" i="3"/>
  <c r="A223" i="3"/>
  <c r="N222" i="3"/>
  <c r="M222" i="3"/>
  <c r="H222" i="3"/>
  <c r="F222" i="3"/>
  <c r="D222" i="3"/>
  <c r="B222" i="3"/>
  <c r="A222" i="3"/>
  <c r="N221" i="3"/>
  <c r="M221" i="3"/>
  <c r="H221" i="3"/>
  <c r="F221" i="3"/>
  <c r="D221" i="3"/>
  <c r="B221" i="3"/>
  <c r="A221" i="3"/>
  <c r="N220" i="3"/>
  <c r="M220" i="3"/>
  <c r="H220" i="3"/>
  <c r="F220" i="3"/>
  <c r="D220" i="3"/>
  <c r="B220" i="3"/>
  <c r="A220" i="3"/>
  <c r="N219" i="3"/>
  <c r="M219" i="3"/>
  <c r="H219" i="3"/>
  <c r="F219" i="3"/>
  <c r="D219" i="3"/>
  <c r="B219" i="3"/>
  <c r="A219" i="3"/>
  <c r="N218" i="3"/>
  <c r="M218" i="3"/>
  <c r="H218" i="3"/>
  <c r="F218" i="3"/>
  <c r="D218" i="3"/>
  <c r="B218" i="3"/>
  <c r="A218" i="3"/>
  <c r="N217" i="3"/>
  <c r="M217" i="3"/>
  <c r="H217" i="3"/>
  <c r="F217" i="3"/>
  <c r="D217" i="3"/>
  <c r="B217" i="3"/>
  <c r="A217" i="3"/>
  <c r="N216" i="3"/>
  <c r="M216" i="3"/>
  <c r="H216" i="3"/>
  <c r="F216" i="3"/>
  <c r="D216" i="3"/>
  <c r="B216" i="3"/>
  <c r="A216" i="3"/>
  <c r="N215" i="3"/>
  <c r="M215" i="3"/>
  <c r="H215" i="3"/>
  <c r="F215" i="3"/>
  <c r="D215" i="3"/>
  <c r="B215" i="3"/>
  <c r="A215" i="3"/>
  <c r="N214" i="3"/>
  <c r="M214" i="3"/>
  <c r="H214" i="3"/>
  <c r="F214" i="3"/>
  <c r="D214" i="3"/>
  <c r="B214" i="3"/>
  <c r="A214" i="3"/>
  <c r="N213" i="3"/>
  <c r="M213" i="3"/>
  <c r="H213" i="3"/>
  <c r="F213" i="3"/>
  <c r="D213" i="3"/>
  <c r="B213" i="3"/>
  <c r="A213" i="3"/>
  <c r="N212" i="3"/>
  <c r="M212" i="3"/>
  <c r="H212" i="3"/>
  <c r="F212" i="3"/>
  <c r="D212" i="3"/>
  <c r="B212" i="3"/>
  <c r="A212" i="3"/>
  <c r="N211" i="3"/>
  <c r="M211" i="3"/>
  <c r="H211" i="3"/>
  <c r="F211" i="3"/>
  <c r="D211" i="3"/>
  <c r="B211" i="3"/>
  <c r="A211" i="3"/>
  <c r="N210" i="3"/>
  <c r="M210" i="3"/>
  <c r="H210" i="3"/>
  <c r="F210" i="3"/>
  <c r="D210" i="3"/>
  <c r="B210" i="3"/>
  <c r="A210" i="3"/>
  <c r="N209" i="3"/>
  <c r="M209" i="3"/>
  <c r="H209" i="3"/>
  <c r="F209" i="3"/>
  <c r="D209" i="3"/>
  <c r="B209" i="3"/>
  <c r="A209" i="3"/>
  <c r="N208" i="3"/>
  <c r="M208" i="3"/>
  <c r="H208" i="3"/>
  <c r="F208" i="3"/>
  <c r="D208" i="3"/>
  <c r="B208" i="3"/>
  <c r="A208" i="3"/>
  <c r="N207" i="3"/>
  <c r="M207" i="3"/>
  <c r="H207" i="3"/>
  <c r="F207" i="3"/>
  <c r="D207" i="3"/>
  <c r="B207" i="3"/>
  <c r="A207" i="3"/>
  <c r="N206" i="3"/>
  <c r="M206" i="3"/>
  <c r="H206" i="3"/>
  <c r="F206" i="3"/>
  <c r="D206" i="3"/>
  <c r="B206" i="3"/>
  <c r="A206" i="3"/>
  <c r="N205" i="3"/>
  <c r="M205" i="3"/>
  <c r="H205" i="3"/>
  <c r="F205" i="3"/>
  <c r="D205" i="3"/>
  <c r="B205" i="3"/>
  <c r="A205" i="3"/>
  <c r="N204" i="3"/>
  <c r="M204" i="3"/>
  <c r="H204" i="3"/>
  <c r="F204" i="3"/>
  <c r="D204" i="3"/>
  <c r="B204" i="3"/>
  <c r="A204" i="3"/>
  <c r="N203" i="3"/>
  <c r="M203" i="3"/>
  <c r="H203" i="3"/>
  <c r="F203" i="3"/>
  <c r="D203" i="3"/>
  <c r="B203" i="3"/>
  <c r="A203" i="3"/>
  <c r="N202" i="3"/>
  <c r="M202" i="3"/>
  <c r="H202" i="3"/>
  <c r="F202" i="3"/>
  <c r="D202" i="3"/>
  <c r="B202" i="3"/>
  <c r="A202" i="3"/>
  <c r="N201" i="3"/>
  <c r="M201" i="3"/>
  <c r="H201" i="3"/>
  <c r="F201" i="3"/>
  <c r="D201" i="3"/>
  <c r="B201" i="3"/>
  <c r="A201" i="3"/>
  <c r="N200" i="3"/>
  <c r="M200" i="3"/>
  <c r="H200" i="3"/>
  <c r="F200" i="3"/>
  <c r="D200" i="3"/>
  <c r="B200" i="3"/>
  <c r="A200" i="3"/>
  <c r="N199" i="3"/>
  <c r="M199" i="3"/>
  <c r="H199" i="3"/>
  <c r="F199" i="3"/>
  <c r="D199" i="3"/>
  <c r="B199" i="3"/>
  <c r="A199" i="3"/>
  <c r="N198" i="3"/>
  <c r="M198" i="3"/>
  <c r="H198" i="3"/>
  <c r="F198" i="3"/>
  <c r="D198" i="3"/>
  <c r="B198" i="3"/>
  <c r="A198" i="3"/>
  <c r="N197" i="3"/>
  <c r="M197" i="3"/>
  <c r="H197" i="3"/>
  <c r="F197" i="3"/>
  <c r="D197" i="3"/>
  <c r="B197" i="3"/>
  <c r="A197" i="3"/>
  <c r="N196" i="3"/>
  <c r="M196" i="3"/>
  <c r="H196" i="3"/>
  <c r="F196" i="3"/>
  <c r="D196" i="3"/>
  <c r="B196" i="3"/>
  <c r="A196" i="3"/>
  <c r="N195" i="3"/>
  <c r="M195" i="3"/>
  <c r="H195" i="3"/>
  <c r="F195" i="3"/>
  <c r="D195" i="3"/>
  <c r="B195" i="3"/>
  <c r="A195" i="3"/>
  <c r="N194" i="3"/>
  <c r="M194" i="3"/>
  <c r="H194" i="3"/>
  <c r="F194" i="3"/>
  <c r="D194" i="3"/>
  <c r="B194" i="3"/>
  <c r="A194" i="3"/>
  <c r="N193" i="3"/>
  <c r="M193" i="3"/>
  <c r="H193" i="3"/>
  <c r="F193" i="3"/>
  <c r="D193" i="3"/>
  <c r="B193" i="3"/>
  <c r="A193" i="3"/>
  <c r="N192" i="3"/>
  <c r="M192" i="3"/>
  <c r="H192" i="3"/>
  <c r="F192" i="3"/>
  <c r="D192" i="3"/>
  <c r="B192" i="3"/>
  <c r="A192" i="3"/>
  <c r="N191" i="3"/>
  <c r="M191" i="3"/>
  <c r="H191" i="3"/>
  <c r="F191" i="3"/>
  <c r="D191" i="3"/>
  <c r="B191" i="3"/>
  <c r="A191" i="3"/>
  <c r="N190" i="3"/>
  <c r="M190" i="3"/>
  <c r="H190" i="3"/>
  <c r="F190" i="3"/>
  <c r="D190" i="3"/>
  <c r="B190" i="3"/>
  <c r="A190" i="3"/>
  <c r="N189" i="3"/>
  <c r="M189" i="3"/>
  <c r="H189" i="3"/>
  <c r="F189" i="3"/>
  <c r="D189" i="3"/>
  <c r="B189" i="3"/>
  <c r="A189" i="3"/>
  <c r="N188" i="3"/>
  <c r="M188" i="3"/>
  <c r="H188" i="3"/>
  <c r="F188" i="3"/>
  <c r="D188" i="3"/>
  <c r="B188" i="3"/>
  <c r="A188" i="3"/>
  <c r="N187" i="3"/>
  <c r="M187" i="3"/>
  <c r="H187" i="3"/>
  <c r="F187" i="3"/>
  <c r="D187" i="3"/>
  <c r="B187" i="3"/>
  <c r="A187" i="3"/>
  <c r="N186" i="3"/>
  <c r="M186" i="3"/>
  <c r="H186" i="3"/>
  <c r="F186" i="3"/>
  <c r="D186" i="3"/>
  <c r="B186" i="3"/>
  <c r="A186" i="3"/>
  <c r="N185" i="3"/>
  <c r="M185" i="3"/>
  <c r="H185" i="3"/>
  <c r="F185" i="3"/>
  <c r="D185" i="3"/>
  <c r="B185" i="3"/>
  <c r="A185" i="3"/>
  <c r="N184" i="3"/>
  <c r="M184" i="3"/>
  <c r="H184" i="3"/>
  <c r="F184" i="3"/>
  <c r="D184" i="3"/>
  <c r="B184" i="3"/>
  <c r="A184" i="3"/>
  <c r="N183" i="3"/>
  <c r="M183" i="3"/>
  <c r="H183" i="3"/>
  <c r="F183" i="3"/>
  <c r="D183" i="3"/>
  <c r="B183" i="3"/>
  <c r="A183" i="3"/>
  <c r="N182" i="3"/>
  <c r="M182" i="3"/>
  <c r="H182" i="3"/>
  <c r="F182" i="3"/>
  <c r="D182" i="3"/>
  <c r="B182" i="3"/>
  <c r="A182" i="3"/>
  <c r="N181" i="3"/>
  <c r="M181" i="3"/>
  <c r="H181" i="3"/>
  <c r="F181" i="3"/>
  <c r="D181" i="3"/>
  <c r="B181" i="3"/>
  <c r="A181" i="3"/>
  <c r="N180" i="3"/>
  <c r="M180" i="3"/>
  <c r="H180" i="3"/>
  <c r="F180" i="3"/>
  <c r="D180" i="3"/>
  <c r="B180" i="3"/>
  <c r="A180" i="3"/>
  <c r="N179" i="3"/>
  <c r="M179" i="3"/>
  <c r="H179" i="3"/>
  <c r="F179" i="3"/>
  <c r="D179" i="3"/>
  <c r="B179" i="3"/>
  <c r="A179" i="3"/>
  <c r="N178" i="3"/>
  <c r="M178" i="3"/>
  <c r="H178" i="3"/>
  <c r="F178" i="3"/>
  <c r="D178" i="3"/>
  <c r="B178" i="3"/>
  <c r="A178" i="3"/>
  <c r="N177" i="3"/>
  <c r="M177" i="3"/>
  <c r="H177" i="3"/>
  <c r="F177" i="3"/>
  <c r="D177" i="3"/>
  <c r="B177" i="3"/>
  <c r="A177" i="3"/>
  <c r="N176" i="3"/>
  <c r="M176" i="3"/>
  <c r="H176" i="3"/>
  <c r="F176" i="3"/>
  <c r="D176" i="3"/>
  <c r="B176" i="3"/>
  <c r="A176" i="3"/>
  <c r="N175" i="3"/>
  <c r="M175" i="3"/>
  <c r="H175" i="3"/>
  <c r="F175" i="3"/>
  <c r="D175" i="3"/>
  <c r="B175" i="3"/>
  <c r="A175" i="3"/>
  <c r="N174" i="3"/>
  <c r="M174" i="3"/>
  <c r="H174" i="3"/>
  <c r="F174" i="3"/>
  <c r="D174" i="3"/>
  <c r="B174" i="3"/>
  <c r="A174" i="3"/>
  <c r="N173" i="3"/>
  <c r="M173" i="3"/>
  <c r="H173" i="3"/>
  <c r="F173" i="3"/>
  <c r="D173" i="3"/>
  <c r="B173" i="3"/>
  <c r="A173" i="3"/>
  <c r="N172" i="3"/>
  <c r="M172" i="3"/>
  <c r="H172" i="3"/>
  <c r="F172" i="3"/>
  <c r="D172" i="3"/>
  <c r="B172" i="3"/>
  <c r="A172" i="3"/>
  <c r="N171" i="3"/>
  <c r="M171" i="3"/>
  <c r="H171" i="3"/>
  <c r="F171" i="3"/>
  <c r="D171" i="3"/>
  <c r="B171" i="3"/>
  <c r="A171" i="3"/>
  <c r="N170" i="3"/>
  <c r="M170" i="3"/>
  <c r="H170" i="3"/>
  <c r="F170" i="3"/>
  <c r="D170" i="3"/>
  <c r="B170" i="3"/>
  <c r="A170" i="3"/>
  <c r="N169" i="3"/>
  <c r="M169" i="3"/>
  <c r="H169" i="3"/>
  <c r="F169" i="3"/>
  <c r="D169" i="3"/>
  <c r="B169" i="3"/>
  <c r="A169" i="3"/>
  <c r="N168" i="3"/>
  <c r="M168" i="3"/>
  <c r="H168" i="3"/>
  <c r="F168" i="3"/>
  <c r="D168" i="3"/>
  <c r="B168" i="3"/>
  <c r="A168" i="3"/>
  <c r="N167" i="3"/>
  <c r="M167" i="3"/>
  <c r="H167" i="3"/>
  <c r="F167" i="3"/>
  <c r="D167" i="3"/>
  <c r="B167" i="3"/>
  <c r="A167" i="3"/>
  <c r="N166" i="3"/>
  <c r="M166" i="3"/>
  <c r="H166" i="3"/>
  <c r="F166" i="3"/>
  <c r="D166" i="3"/>
  <c r="B166" i="3"/>
  <c r="A166" i="3"/>
  <c r="N165" i="3"/>
  <c r="M165" i="3"/>
  <c r="H165" i="3"/>
  <c r="F165" i="3"/>
  <c r="D165" i="3"/>
  <c r="B165" i="3"/>
  <c r="A165" i="3"/>
  <c r="N164" i="3"/>
  <c r="M164" i="3"/>
  <c r="H164" i="3"/>
  <c r="F164" i="3"/>
  <c r="D164" i="3"/>
  <c r="B164" i="3"/>
  <c r="A164" i="3"/>
  <c r="N163" i="3"/>
  <c r="M163" i="3"/>
  <c r="H163" i="3"/>
  <c r="F163" i="3"/>
  <c r="D163" i="3"/>
  <c r="B163" i="3"/>
  <c r="A163" i="3"/>
  <c r="N162" i="3"/>
  <c r="M162" i="3"/>
  <c r="H162" i="3"/>
  <c r="F162" i="3"/>
  <c r="D162" i="3"/>
  <c r="B162" i="3"/>
  <c r="A162" i="3"/>
  <c r="N161" i="3"/>
  <c r="M161" i="3"/>
  <c r="H161" i="3"/>
  <c r="F161" i="3"/>
  <c r="D161" i="3"/>
  <c r="B161" i="3"/>
  <c r="A161" i="3"/>
  <c r="N160" i="3"/>
  <c r="M160" i="3"/>
  <c r="H160" i="3"/>
  <c r="F160" i="3"/>
  <c r="D160" i="3"/>
  <c r="B160" i="3"/>
  <c r="A160" i="3"/>
  <c r="N159" i="3"/>
  <c r="M159" i="3"/>
  <c r="H159" i="3"/>
  <c r="F159" i="3"/>
  <c r="D159" i="3"/>
  <c r="B159" i="3"/>
  <c r="A159" i="3"/>
  <c r="N158" i="3"/>
  <c r="M158" i="3"/>
  <c r="H158" i="3"/>
  <c r="F158" i="3"/>
  <c r="D158" i="3"/>
  <c r="B158" i="3"/>
  <c r="A158" i="3"/>
  <c r="N157" i="3"/>
  <c r="M157" i="3"/>
  <c r="H157" i="3"/>
  <c r="F157" i="3"/>
  <c r="D157" i="3"/>
  <c r="B157" i="3"/>
  <c r="A157" i="3"/>
  <c r="N156" i="3"/>
  <c r="M156" i="3"/>
  <c r="H156" i="3"/>
  <c r="F156" i="3"/>
  <c r="D156" i="3"/>
  <c r="B156" i="3"/>
  <c r="A156" i="3"/>
  <c r="N155" i="3"/>
  <c r="M155" i="3"/>
  <c r="H155" i="3"/>
  <c r="F155" i="3"/>
  <c r="D155" i="3"/>
  <c r="B155" i="3"/>
  <c r="A155" i="3"/>
  <c r="N154" i="3"/>
  <c r="M154" i="3"/>
  <c r="H154" i="3"/>
  <c r="F154" i="3"/>
  <c r="D154" i="3"/>
  <c r="B154" i="3"/>
  <c r="A154" i="3"/>
  <c r="N153" i="3"/>
  <c r="M153" i="3"/>
  <c r="H153" i="3"/>
  <c r="F153" i="3"/>
  <c r="D153" i="3"/>
  <c r="B153" i="3"/>
  <c r="A153" i="3"/>
  <c r="N152" i="3"/>
  <c r="M152" i="3"/>
  <c r="H152" i="3"/>
  <c r="F152" i="3"/>
  <c r="D152" i="3"/>
  <c r="B152" i="3"/>
  <c r="A152" i="3"/>
  <c r="N151" i="3"/>
  <c r="M151" i="3"/>
  <c r="H151" i="3"/>
  <c r="F151" i="3"/>
  <c r="D151" i="3"/>
  <c r="B151" i="3"/>
  <c r="A151" i="3"/>
  <c r="N150" i="3"/>
  <c r="M150" i="3"/>
  <c r="H150" i="3"/>
  <c r="F150" i="3"/>
  <c r="D150" i="3"/>
  <c r="B150" i="3"/>
  <c r="A150" i="3"/>
  <c r="N142" i="3"/>
  <c r="M142" i="3"/>
  <c r="H142" i="3"/>
  <c r="F142" i="3"/>
  <c r="D142" i="3"/>
  <c r="B142" i="3"/>
  <c r="A142" i="3"/>
  <c r="N141" i="3"/>
  <c r="M141" i="3"/>
  <c r="H141" i="3"/>
  <c r="F141" i="3"/>
  <c r="D141" i="3"/>
  <c r="B141" i="3"/>
  <c r="A141" i="3"/>
  <c r="N140" i="3"/>
  <c r="M140" i="3"/>
  <c r="N139" i="3"/>
  <c r="M139" i="3"/>
  <c r="N138" i="3"/>
  <c r="M138" i="3"/>
  <c r="N137" i="3"/>
  <c r="M137" i="3"/>
  <c r="N136" i="3"/>
  <c r="M136" i="3"/>
  <c r="N135" i="3"/>
  <c r="M135" i="3"/>
  <c r="N134" i="3"/>
  <c r="M134" i="3"/>
  <c r="N133" i="3"/>
  <c r="M133" i="3"/>
  <c r="N132" i="3"/>
  <c r="M132" i="3"/>
  <c r="N131" i="3"/>
  <c r="M131" i="3"/>
  <c r="N130" i="3"/>
  <c r="M130" i="3"/>
  <c r="N129" i="3"/>
  <c r="M129" i="3"/>
  <c r="H129" i="3"/>
  <c r="F129" i="3"/>
  <c r="D129" i="3"/>
  <c r="B129" i="3"/>
  <c r="A129" i="3"/>
  <c r="N128" i="3"/>
  <c r="M128" i="3"/>
  <c r="N127" i="3"/>
  <c r="M127" i="3"/>
  <c r="N126" i="3"/>
  <c r="M126" i="3"/>
  <c r="N125" i="3"/>
  <c r="M125" i="3"/>
  <c r="N124" i="3"/>
  <c r="M124" i="3"/>
  <c r="N123" i="3"/>
  <c r="M123" i="3"/>
  <c r="N122" i="3"/>
  <c r="M122" i="3"/>
  <c r="H122" i="3"/>
  <c r="F122" i="3"/>
  <c r="D122" i="3"/>
  <c r="B122" i="3"/>
  <c r="A122" i="3"/>
  <c r="N121" i="3"/>
  <c r="M121" i="3"/>
  <c r="N120" i="3"/>
  <c r="M120" i="3"/>
  <c r="N119" i="3"/>
  <c r="M119" i="3"/>
  <c r="N118" i="3"/>
  <c r="M118" i="3"/>
  <c r="N117" i="3"/>
  <c r="M117" i="3"/>
  <c r="N116" i="3"/>
  <c r="M116" i="3"/>
  <c r="N115" i="3"/>
  <c r="M115" i="3"/>
  <c r="N114" i="3"/>
  <c r="M114" i="3"/>
  <c r="N113" i="3"/>
  <c r="M113" i="3"/>
  <c r="N112" i="3"/>
  <c r="M112" i="3"/>
  <c r="N111" i="3"/>
  <c r="M111" i="3"/>
  <c r="N110" i="3"/>
  <c r="M110" i="3"/>
  <c r="V109" i="3"/>
  <c r="U109" i="3"/>
  <c r="N109" i="3"/>
  <c r="M109" i="3"/>
  <c r="V108" i="3"/>
  <c r="U108" i="3"/>
  <c r="N108" i="3"/>
  <c r="M108" i="3"/>
  <c r="V107" i="3"/>
  <c r="U107" i="3"/>
  <c r="N107" i="3"/>
  <c r="M107" i="3"/>
  <c r="V106" i="3"/>
  <c r="U106" i="3"/>
  <c r="N106" i="3"/>
  <c r="M106" i="3"/>
  <c r="V105" i="3"/>
  <c r="U105" i="3"/>
  <c r="N105" i="3"/>
  <c r="M105" i="3"/>
  <c r="V104" i="3"/>
  <c r="U104" i="3"/>
  <c r="N104" i="3"/>
  <c r="M104" i="3"/>
  <c r="V103" i="3"/>
  <c r="U103" i="3"/>
  <c r="N103" i="3"/>
  <c r="M103" i="3"/>
  <c r="V102" i="3"/>
  <c r="U102" i="3"/>
  <c r="N102" i="3"/>
  <c r="M102" i="3"/>
  <c r="V101" i="3"/>
  <c r="U101" i="3"/>
  <c r="N101" i="3"/>
  <c r="M101" i="3"/>
  <c r="V100" i="3"/>
  <c r="U100" i="3"/>
  <c r="N100" i="3"/>
  <c r="M100" i="3"/>
  <c r="V99" i="3"/>
  <c r="U99" i="3"/>
  <c r="N99" i="3"/>
  <c r="M99" i="3"/>
  <c r="V98" i="3"/>
  <c r="U98" i="3"/>
  <c r="N98" i="3"/>
  <c r="M98" i="3"/>
  <c r="V97" i="3"/>
  <c r="U97" i="3"/>
  <c r="N97" i="3"/>
  <c r="M97" i="3"/>
  <c r="V96" i="3"/>
  <c r="U96" i="3"/>
  <c r="N96" i="3"/>
  <c r="M96" i="3"/>
  <c r="V95" i="3"/>
  <c r="U95" i="3"/>
  <c r="N95" i="3"/>
  <c r="M95" i="3"/>
  <c r="H95" i="3"/>
  <c r="F95" i="3"/>
  <c r="D95" i="3"/>
  <c r="B95" i="3"/>
  <c r="A95" i="3"/>
  <c r="V94" i="3"/>
  <c r="U94" i="3"/>
  <c r="N94" i="3"/>
  <c r="M94" i="3"/>
  <c r="H94" i="3"/>
  <c r="D94" i="3"/>
  <c r="V93" i="3"/>
  <c r="U93" i="3"/>
  <c r="N93" i="3"/>
  <c r="M93" i="3"/>
  <c r="H93" i="3"/>
  <c r="D93" i="3"/>
  <c r="V92" i="3"/>
  <c r="U92" i="3"/>
  <c r="N92" i="3"/>
  <c r="M92" i="3"/>
  <c r="H92" i="3"/>
  <c r="D92" i="3"/>
  <c r="V91" i="3"/>
  <c r="U91" i="3"/>
  <c r="N91" i="3"/>
  <c r="M91" i="3"/>
  <c r="H91" i="3"/>
  <c r="D91" i="3"/>
  <c r="V90" i="3"/>
  <c r="U90" i="3"/>
  <c r="N90" i="3"/>
  <c r="M90" i="3"/>
  <c r="H90" i="3"/>
  <c r="D90" i="3"/>
  <c r="V89" i="3"/>
  <c r="U89" i="3"/>
  <c r="N89" i="3"/>
  <c r="M89" i="3"/>
  <c r="H89" i="3"/>
  <c r="D89" i="3"/>
  <c r="V88" i="3"/>
  <c r="U88" i="3"/>
  <c r="N88" i="3"/>
  <c r="M88" i="3"/>
  <c r="H88" i="3"/>
  <c r="F88" i="3"/>
  <c r="D88" i="3"/>
  <c r="V87" i="3"/>
  <c r="U87" i="3"/>
  <c r="N87" i="3"/>
  <c r="M87" i="3"/>
  <c r="H87" i="3"/>
  <c r="F87" i="3"/>
  <c r="D87" i="3"/>
  <c r="V86" i="3"/>
  <c r="U86" i="3"/>
  <c r="N86" i="3"/>
  <c r="M86" i="3"/>
  <c r="H86" i="3"/>
  <c r="F86" i="3"/>
  <c r="D86" i="3"/>
  <c r="V85" i="3"/>
  <c r="U85" i="3"/>
  <c r="N85" i="3"/>
  <c r="M85" i="3"/>
  <c r="H85" i="3"/>
  <c r="F85" i="3"/>
  <c r="D85" i="3"/>
  <c r="V84" i="3"/>
  <c r="U84" i="3"/>
  <c r="N84" i="3"/>
  <c r="M84" i="3"/>
  <c r="H84" i="3"/>
  <c r="F84" i="3"/>
  <c r="D84" i="3"/>
  <c r="V83" i="3"/>
  <c r="U83" i="3"/>
  <c r="N83" i="3"/>
  <c r="M83" i="3"/>
  <c r="H83" i="3"/>
  <c r="F83" i="3"/>
  <c r="D83" i="3"/>
  <c r="V82" i="3"/>
  <c r="U82" i="3"/>
  <c r="N82" i="3"/>
  <c r="M82" i="3"/>
  <c r="H82" i="3"/>
  <c r="F82" i="3"/>
  <c r="D82" i="3"/>
  <c r="V81" i="3"/>
  <c r="U81" i="3"/>
  <c r="N81" i="3"/>
  <c r="M81" i="3"/>
  <c r="H81" i="3"/>
  <c r="F81" i="3"/>
  <c r="D81" i="3"/>
  <c r="V80" i="3"/>
  <c r="U80" i="3"/>
  <c r="N80" i="3"/>
  <c r="M80" i="3"/>
  <c r="H80" i="3"/>
  <c r="F80" i="3"/>
  <c r="D80" i="3"/>
  <c r="V79" i="3"/>
  <c r="U79" i="3"/>
  <c r="N79" i="3"/>
  <c r="M79" i="3"/>
  <c r="H79" i="3"/>
  <c r="F79" i="3"/>
  <c r="D79" i="3"/>
  <c r="V78" i="3"/>
  <c r="U78" i="3"/>
  <c r="N78" i="3"/>
  <c r="M78" i="3"/>
  <c r="H78" i="3"/>
  <c r="F78" i="3"/>
  <c r="D78" i="3"/>
  <c r="V77" i="3"/>
  <c r="U77" i="3"/>
  <c r="N77" i="3"/>
  <c r="M77" i="3"/>
  <c r="H77" i="3"/>
  <c r="F77" i="3"/>
  <c r="D77" i="3"/>
  <c r="V76" i="3"/>
  <c r="U76" i="3"/>
  <c r="N76" i="3"/>
  <c r="M76" i="3"/>
  <c r="H76" i="3"/>
  <c r="F76" i="3"/>
  <c r="D76" i="3"/>
  <c r="V75" i="3"/>
  <c r="U75" i="3"/>
  <c r="N75" i="3"/>
  <c r="M75" i="3"/>
  <c r="H75" i="3"/>
  <c r="F75" i="3"/>
  <c r="D75" i="3"/>
  <c r="V74" i="3"/>
  <c r="U74" i="3"/>
  <c r="N74" i="3"/>
  <c r="M74" i="3"/>
  <c r="H74" i="3"/>
  <c r="F74" i="3"/>
  <c r="D74" i="3"/>
  <c r="V73" i="3"/>
  <c r="U73" i="3"/>
  <c r="N73" i="3"/>
  <c r="M73" i="3"/>
  <c r="H73" i="3"/>
  <c r="F73" i="3"/>
  <c r="D73" i="3"/>
  <c r="V72" i="3"/>
  <c r="U72" i="3"/>
  <c r="N72" i="3"/>
  <c r="M72" i="3"/>
  <c r="H72" i="3"/>
  <c r="F72" i="3"/>
  <c r="D72" i="3"/>
  <c r="V71" i="3"/>
  <c r="U71" i="3"/>
  <c r="N71" i="3"/>
  <c r="M71" i="3"/>
  <c r="H71" i="3"/>
  <c r="F71" i="3"/>
  <c r="D71" i="3"/>
  <c r="V70" i="3"/>
  <c r="U70" i="3"/>
  <c r="N70" i="3"/>
  <c r="M70" i="3"/>
  <c r="H70" i="3"/>
  <c r="F70" i="3"/>
  <c r="D70" i="3"/>
  <c r="V69" i="3"/>
  <c r="U69" i="3"/>
  <c r="N69" i="3"/>
  <c r="M69" i="3"/>
  <c r="H69" i="3"/>
  <c r="F69" i="3"/>
  <c r="D69" i="3"/>
  <c r="V68" i="3"/>
  <c r="U68" i="3"/>
  <c r="N68" i="3"/>
  <c r="M68" i="3"/>
  <c r="H68" i="3"/>
  <c r="F68" i="3"/>
  <c r="D68" i="3"/>
  <c r="V67" i="3"/>
  <c r="U67" i="3"/>
  <c r="N67" i="3"/>
  <c r="M67" i="3"/>
  <c r="H67" i="3"/>
  <c r="F67" i="3"/>
  <c r="D67" i="3"/>
  <c r="V66" i="3"/>
  <c r="U66" i="3"/>
  <c r="N66" i="3"/>
  <c r="M66" i="3"/>
  <c r="H66" i="3"/>
  <c r="F66" i="3"/>
  <c r="D66" i="3"/>
  <c r="V65" i="3"/>
  <c r="U65" i="3"/>
  <c r="N65" i="3"/>
  <c r="M65" i="3"/>
  <c r="H65" i="3"/>
  <c r="F65" i="3"/>
  <c r="D65" i="3"/>
  <c r="V64" i="3"/>
  <c r="U64" i="3"/>
  <c r="N64" i="3"/>
  <c r="M64" i="3"/>
  <c r="H64" i="3"/>
  <c r="F64" i="3"/>
  <c r="D64" i="3"/>
  <c r="V63" i="3"/>
  <c r="U63" i="3"/>
  <c r="N63" i="3"/>
  <c r="M63" i="3"/>
  <c r="H63" i="3"/>
  <c r="F63" i="3"/>
  <c r="D63" i="3"/>
  <c r="V62" i="3"/>
  <c r="U62" i="3"/>
  <c r="N62" i="3"/>
  <c r="M62" i="3"/>
  <c r="H62" i="3"/>
  <c r="F62" i="3"/>
  <c r="D62" i="3"/>
  <c r="V61" i="3"/>
  <c r="U61" i="3"/>
  <c r="N61" i="3"/>
  <c r="M61" i="3"/>
  <c r="H61" i="3"/>
  <c r="F61" i="3"/>
  <c r="D61" i="3"/>
  <c r="V60" i="3"/>
  <c r="U60" i="3"/>
  <c r="N60" i="3"/>
  <c r="M60" i="3"/>
  <c r="H60" i="3"/>
  <c r="F60" i="3"/>
  <c r="D60" i="3"/>
  <c r="V59" i="3"/>
  <c r="U59" i="3"/>
  <c r="N59" i="3"/>
  <c r="M59" i="3"/>
  <c r="H59" i="3"/>
  <c r="F59" i="3"/>
  <c r="D59" i="3"/>
  <c r="V58" i="3"/>
  <c r="U58" i="3"/>
  <c r="N58" i="3"/>
  <c r="M58" i="3"/>
  <c r="H58" i="3"/>
  <c r="F58" i="3"/>
  <c r="D58" i="3"/>
  <c r="V57" i="3"/>
  <c r="U57" i="3"/>
  <c r="N57" i="3"/>
  <c r="M57" i="3"/>
  <c r="H57" i="3"/>
  <c r="F57" i="3"/>
  <c r="D57" i="3"/>
  <c r="V56" i="3"/>
  <c r="U56" i="3"/>
  <c r="N56" i="3"/>
  <c r="M56" i="3"/>
  <c r="H56" i="3"/>
  <c r="F56" i="3"/>
  <c r="D56" i="3"/>
  <c r="B56" i="3"/>
  <c r="A56" i="3"/>
  <c r="V55" i="3"/>
  <c r="U55" i="3"/>
  <c r="N55" i="3"/>
  <c r="M55" i="3"/>
  <c r="J55" i="3"/>
  <c r="K55" i="3" s="1"/>
  <c r="H55" i="3"/>
  <c r="F55" i="3"/>
  <c r="D55" i="3"/>
  <c r="V54" i="3"/>
  <c r="U54" i="3"/>
  <c r="N54" i="3"/>
  <c r="M54" i="3"/>
  <c r="J54" i="3"/>
  <c r="K54" i="3" s="1"/>
  <c r="H54" i="3"/>
  <c r="D54" i="3"/>
  <c r="V53" i="3"/>
  <c r="U53" i="3"/>
  <c r="N53" i="3"/>
  <c r="M53" i="3"/>
  <c r="J53" i="3"/>
  <c r="K53" i="3" s="1"/>
  <c r="H53" i="3"/>
  <c r="D53" i="3"/>
  <c r="V52" i="3"/>
  <c r="U52" i="3"/>
  <c r="N52" i="3"/>
  <c r="M52" i="3"/>
  <c r="J52" i="3"/>
  <c r="K52" i="3" s="1"/>
  <c r="H52" i="3"/>
  <c r="D52" i="3"/>
  <c r="V51" i="3"/>
  <c r="U51" i="3"/>
  <c r="N51" i="3"/>
  <c r="M51" i="3"/>
  <c r="J51" i="3"/>
  <c r="K51" i="3" s="1"/>
  <c r="H51" i="3"/>
  <c r="D51" i="3"/>
  <c r="V50" i="3"/>
  <c r="U50" i="3"/>
  <c r="N50" i="3"/>
  <c r="M50" i="3"/>
  <c r="J50" i="3"/>
  <c r="K50" i="3" s="1"/>
  <c r="H50" i="3"/>
  <c r="D50" i="3"/>
  <c r="V49" i="3"/>
  <c r="U49" i="3"/>
  <c r="N49" i="3"/>
  <c r="M49" i="3"/>
  <c r="K49" i="3"/>
  <c r="H49" i="3"/>
  <c r="F49" i="3"/>
  <c r="D49" i="3"/>
  <c r="V48" i="3"/>
  <c r="U48" i="3"/>
  <c r="N48" i="3"/>
  <c r="M48" i="3"/>
  <c r="J48" i="3"/>
  <c r="K48" i="3" s="1"/>
  <c r="H48" i="3"/>
  <c r="F48" i="3"/>
  <c r="D48" i="3"/>
  <c r="V47" i="3"/>
  <c r="U47" i="3"/>
  <c r="N47" i="3"/>
  <c r="M47" i="3"/>
  <c r="J47" i="3"/>
  <c r="K47" i="3" s="1"/>
  <c r="H47" i="3"/>
  <c r="F47" i="3"/>
  <c r="D47" i="3"/>
  <c r="V46" i="3"/>
  <c r="U46" i="3"/>
  <c r="N46" i="3"/>
  <c r="M46" i="3"/>
  <c r="J46" i="3"/>
  <c r="K46" i="3" s="1"/>
  <c r="H46" i="3"/>
  <c r="F46" i="3"/>
  <c r="D46" i="3"/>
  <c r="V45" i="3"/>
  <c r="U45" i="3"/>
  <c r="N45" i="3"/>
  <c r="M45" i="3"/>
  <c r="J45" i="3"/>
  <c r="K45" i="3" s="1"/>
  <c r="H45" i="3"/>
  <c r="F45" i="3"/>
  <c r="D45" i="3"/>
  <c r="V44" i="3"/>
  <c r="U44" i="3"/>
  <c r="N44" i="3"/>
  <c r="M44" i="3"/>
  <c r="J44" i="3"/>
  <c r="K44" i="3" s="1"/>
  <c r="H44" i="3"/>
  <c r="F44" i="3"/>
  <c r="D44" i="3"/>
  <c r="V43" i="3"/>
  <c r="U43" i="3"/>
  <c r="N43" i="3"/>
  <c r="M43" i="3"/>
  <c r="J43" i="3"/>
  <c r="K43" i="3" s="1"/>
  <c r="H43" i="3"/>
  <c r="F43" i="3"/>
  <c r="D43" i="3"/>
  <c r="V42" i="3"/>
  <c r="U42" i="3"/>
  <c r="N42" i="3"/>
  <c r="M42" i="3"/>
  <c r="J42" i="3"/>
  <c r="K42" i="3" s="1"/>
  <c r="H42" i="3"/>
  <c r="F42" i="3"/>
  <c r="D42" i="3"/>
  <c r="V41" i="3"/>
  <c r="U41" i="3"/>
  <c r="N41" i="3"/>
  <c r="M41" i="3"/>
  <c r="J41" i="3"/>
  <c r="K41" i="3" s="1"/>
  <c r="H41" i="3"/>
  <c r="F41" i="3"/>
  <c r="D41" i="3"/>
  <c r="V40" i="3"/>
  <c r="U40" i="3"/>
  <c r="N40" i="3"/>
  <c r="M40" i="3"/>
  <c r="J40" i="3"/>
  <c r="K40" i="3" s="1"/>
  <c r="H40" i="3"/>
  <c r="F40" i="3"/>
  <c r="D40" i="3"/>
  <c r="V39" i="3"/>
  <c r="U39" i="3"/>
  <c r="N39" i="3"/>
  <c r="M39" i="3"/>
  <c r="J39" i="3"/>
  <c r="K39" i="3" s="1"/>
  <c r="H39" i="3"/>
  <c r="F39" i="3"/>
  <c r="D39" i="3"/>
  <c r="V38" i="3"/>
  <c r="U38" i="3"/>
  <c r="N38" i="3"/>
  <c r="M38" i="3"/>
  <c r="J38" i="3"/>
  <c r="K38" i="3" s="1"/>
  <c r="H38" i="3"/>
  <c r="F38" i="3"/>
  <c r="D38" i="3"/>
  <c r="V37" i="3"/>
  <c r="U37" i="3"/>
  <c r="N37" i="3"/>
  <c r="M37" i="3"/>
  <c r="J37" i="3"/>
  <c r="K37" i="3" s="1"/>
  <c r="H37" i="3"/>
  <c r="F37" i="3"/>
  <c r="D37" i="3"/>
  <c r="V36" i="3"/>
  <c r="U36" i="3"/>
  <c r="N36" i="3"/>
  <c r="M36" i="3"/>
  <c r="J36" i="3"/>
  <c r="K36" i="3" s="1"/>
  <c r="H36" i="3"/>
  <c r="F36" i="3"/>
  <c r="D36" i="3"/>
  <c r="V35" i="3"/>
  <c r="U35" i="3"/>
  <c r="N35" i="3"/>
  <c r="M35" i="3"/>
  <c r="K35" i="3"/>
  <c r="H35" i="3"/>
  <c r="F35" i="3"/>
  <c r="D35" i="3"/>
  <c r="V34" i="3"/>
  <c r="U34" i="3"/>
  <c r="N34" i="3"/>
  <c r="M34" i="3"/>
  <c r="J34" i="3"/>
  <c r="K34" i="3" s="1"/>
  <c r="H34" i="3"/>
  <c r="F34" i="3"/>
  <c r="D34" i="3"/>
  <c r="V33" i="3"/>
  <c r="U33" i="3"/>
  <c r="N33" i="3"/>
  <c r="M33" i="3"/>
  <c r="J33" i="3"/>
  <c r="K33" i="3" s="1"/>
  <c r="H33" i="3"/>
  <c r="F33" i="3"/>
  <c r="D33" i="3"/>
  <c r="V32" i="3"/>
  <c r="U32" i="3"/>
  <c r="N32" i="3"/>
  <c r="M32" i="3"/>
  <c r="J32" i="3"/>
  <c r="K32" i="3" s="1"/>
  <c r="H32" i="3"/>
  <c r="F32" i="3"/>
  <c r="D32" i="3"/>
  <c r="V31" i="3"/>
  <c r="U31" i="3"/>
  <c r="N31" i="3"/>
  <c r="M31" i="3"/>
  <c r="J31" i="3"/>
  <c r="K31" i="3" s="1"/>
  <c r="H31" i="3"/>
  <c r="F31" i="3"/>
  <c r="D31" i="3"/>
  <c r="V30" i="3"/>
  <c r="U30" i="3"/>
  <c r="N30" i="3"/>
  <c r="M30" i="3"/>
  <c r="K30" i="3"/>
  <c r="H30" i="3"/>
  <c r="F30" i="3"/>
  <c r="D30" i="3"/>
  <c r="V29" i="3"/>
  <c r="U29" i="3"/>
  <c r="N29" i="3"/>
  <c r="M29" i="3"/>
  <c r="J29" i="3"/>
  <c r="K29" i="3" s="1"/>
  <c r="H29" i="3"/>
  <c r="F29" i="3"/>
  <c r="D29" i="3"/>
  <c r="V28" i="3"/>
  <c r="U28" i="3"/>
  <c r="N28" i="3"/>
  <c r="M28" i="3"/>
  <c r="J28" i="3"/>
  <c r="K28" i="3" s="1"/>
  <c r="H28" i="3"/>
  <c r="F28" i="3"/>
  <c r="D28" i="3"/>
  <c r="V27" i="3"/>
  <c r="U27" i="3"/>
  <c r="N27" i="3"/>
  <c r="M27" i="3"/>
  <c r="J27" i="3"/>
  <c r="K27" i="3" s="1"/>
  <c r="H27" i="3"/>
  <c r="F27" i="3"/>
  <c r="D27" i="3"/>
  <c r="V26" i="3"/>
  <c r="U26" i="3"/>
  <c r="N26" i="3"/>
  <c r="M26" i="3"/>
  <c r="J26" i="3"/>
  <c r="K26" i="3" s="1"/>
  <c r="H26" i="3"/>
  <c r="F26" i="3"/>
  <c r="D26" i="3"/>
  <c r="V25" i="3"/>
  <c r="U25" i="3"/>
  <c r="N25" i="3"/>
  <c r="M25" i="3"/>
  <c r="J25" i="3"/>
  <c r="K25" i="3" s="1"/>
  <c r="H25" i="3"/>
  <c r="F25" i="3"/>
  <c r="D25" i="3"/>
  <c r="V24" i="3"/>
  <c r="U24" i="3"/>
  <c r="N24" i="3"/>
  <c r="M24" i="3"/>
  <c r="J24" i="3"/>
  <c r="K24" i="3" s="1"/>
  <c r="H24" i="3"/>
  <c r="F24" i="3"/>
  <c r="D24" i="3"/>
  <c r="V23" i="3"/>
  <c r="U23" i="3"/>
  <c r="N23" i="3"/>
  <c r="M23" i="3"/>
  <c r="J23" i="3"/>
  <c r="K23" i="3" s="1"/>
  <c r="H23" i="3"/>
  <c r="F23" i="3"/>
  <c r="D23" i="3"/>
  <c r="V22" i="3"/>
  <c r="U22" i="3"/>
  <c r="N22" i="3"/>
  <c r="M22" i="3"/>
  <c r="J22" i="3"/>
  <c r="K22" i="3" s="1"/>
  <c r="H22" i="3"/>
  <c r="F22" i="3"/>
  <c r="D22" i="3"/>
  <c r="V21" i="3"/>
  <c r="U21" i="3"/>
  <c r="N21" i="3"/>
  <c r="M21" i="3"/>
  <c r="J21" i="3"/>
  <c r="K21" i="3" s="1"/>
  <c r="H21" i="3"/>
  <c r="F21" i="3"/>
  <c r="D21" i="3"/>
  <c r="V20" i="3"/>
  <c r="U20" i="3"/>
  <c r="N20" i="3"/>
  <c r="M20" i="3"/>
  <c r="J20" i="3"/>
  <c r="K20" i="3" s="1"/>
  <c r="H20" i="3"/>
  <c r="F20" i="3"/>
  <c r="D20" i="3"/>
  <c r="V19" i="3"/>
  <c r="U19" i="3"/>
  <c r="N19" i="3"/>
  <c r="M19" i="3"/>
  <c r="J19" i="3"/>
  <c r="K19" i="3" s="1"/>
  <c r="H19" i="3"/>
  <c r="F19" i="3"/>
  <c r="D19" i="3"/>
  <c r="V18" i="3"/>
  <c r="U18" i="3"/>
  <c r="N18" i="3"/>
  <c r="M18" i="3"/>
  <c r="H18" i="3"/>
  <c r="F18" i="3"/>
  <c r="D18" i="3"/>
  <c r="B18" i="3"/>
  <c r="A18" i="3"/>
  <c r="V17" i="3"/>
  <c r="U17" i="3"/>
  <c r="N17" i="3"/>
  <c r="M17" i="3"/>
  <c r="H17" i="3"/>
  <c r="F17" i="3"/>
  <c r="D17" i="3"/>
  <c r="V16" i="3"/>
  <c r="U16" i="3"/>
  <c r="N16" i="3"/>
  <c r="M16" i="3"/>
  <c r="H16" i="3"/>
  <c r="F16" i="3"/>
  <c r="D16" i="3"/>
  <c r="V15" i="3"/>
  <c r="U15" i="3"/>
  <c r="N15" i="3"/>
  <c r="M15" i="3"/>
  <c r="H15" i="3"/>
  <c r="F15" i="3"/>
  <c r="D15" i="3"/>
  <c r="V14" i="3"/>
  <c r="U14" i="3"/>
  <c r="N14" i="3"/>
  <c r="M14" i="3"/>
  <c r="H14" i="3"/>
  <c r="F14" i="3"/>
  <c r="D14" i="3"/>
  <c r="V13" i="3"/>
  <c r="U13" i="3"/>
  <c r="N13" i="3"/>
  <c r="M13" i="3"/>
  <c r="H13" i="3"/>
  <c r="F13" i="3"/>
  <c r="D13" i="3"/>
  <c r="V12" i="3"/>
  <c r="U12" i="3"/>
  <c r="N12" i="3"/>
  <c r="M12" i="3"/>
  <c r="H12" i="3"/>
  <c r="F12" i="3"/>
  <c r="D12" i="3"/>
  <c r="V11" i="3"/>
  <c r="U11" i="3"/>
  <c r="N11" i="3"/>
  <c r="M11" i="3"/>
  <c r="H11" i="3"/>
  <c r="F11" i="3"/>
  <c r="D11" i="3"/>
  <c r="V10" i="3"/>
  <c r="U10" i="3"/>
  <c r="N10" i="3"/>
  <c r="M10" i="3"/>
  <c r="H10" i="3"/>
  <c r="F10" i="3"/>
  <c r="D10" i="3"/>
  <c r="V9" i="3"/>
  <c r="U9" i="3"/>
  <c r="N9" i="3"/>
  <c r="M9" i="3"/>
  <c r="H9" i="3"/>
  <c r="F9" i="3"/>
  <c r="D9" i="3"/>
  <c r="V8" i="3"/>
  <c r="U8" i="3"/>
  <c r="N8" i="3"/>
  <c r="M8" i="3"/>
  <c r="H8" i="3"/>
  <c r="F8" i="3"/>
  <c r="D8" i="3"/>
  <c r="V7" i="3"/>
  <c r="U7" i="3"/>
  <c r="N7" i="3"/>
  <c r="M7" i="3"/>
  <c r="H7" i="3"/>
  <c r="F7" i="3"/>
  <c r="D7" i="3"/>
  <c r="V6" i="3"/>
  <c r="U6" i="3"/>
  <c r="N6" i="3"/>
  <c r="M6" i="3"/>
  <c r="H6" i="3"/>
  <c r="F6" i="3"/>
  <c r="D6" i="3"/>
  <c r="V5" i="3"/>
  <c r="U5" i="3"/>
  <c r="N5" i="3"/>
  <c r="M5" i="3"/>
  <c r="H5" i="3"/>
  <c r="F5" i="3"/>
  <c r="D5" i="3"/>
  <c r="N4" i="3"/>
  <c r="M4" i="3"/>
  <c r="H4" i="3"/>
  <c r="F4" i="3"/>
  <c r="D4" i="3"/>
  <c r="N3" i="3"/>
  <c r="M3" i="3"/>
  <c r="H3" i="3"/>
  <c r="F3" i="3"/>
  <c r="D3" i="3"/>
  <c r="E1" i="3"/>
  <c r="L500" i="2"/>
  <c r="K500" i="2"/>
  <c r="F500" i="2"/>
  <c r="D500" i="2"/>
  <c r="C500" i="2"/>
  <c r="B500" i="2"/>
  <c r="A500" i="2"/>
  <c r="L499" i="2"/>
  <c r="K499" i="2"/>
  <c r="F499" i="2"/>
  <c r="D499" i="2"/>
  <c r="C499" i="2"/>
  <c r="B499" i="2"/>
  <c r="A499" i="2"/>
  <c r="L498" i="2"/>
  <c r="K498" i="2"/>
  <c r="F498" i="2"/>
  <c r="D498" i="2"/>
  <c r="C498" i="2"/>
  <c r="B498" i="2"/>
  <c r="A498" i="2"/>
  <c r="L497" i="2"/>
  <c r="K497" i="2"/>
  <c r="F497" i="2"/>
  <c r="D497" i="2"/>
  <c r="C497" i="2"/>
  <c r="B497" i="2"/>
  <c r="A497" i="2"/>
  <c r="L496" i="2"/>
  <c r="K496" i="2"/>
  <c r="F496" i="2"/>
  <c r="D496" i="2"/>
  <c r="C496" i="2"/>
  <c r="B496" i="2"/>
  <c r="A496" i="2"/>
  <c r="L495" i="2"/>
  <c r="K495" i="2"/>
  <c r="F495" i="2"/>
  <c r="D495" i="2"/>
  <c r="C495" i="2"/>
  <c r="B495" i="2"/>
  <c r="A495" i="2"/>
  <c r="L494" i="2"/>
  <c r="K494" i="2"/>
  <c r="F494" i="2"/>
  <c r="D494" i="2"/>
  <c r="C494" i="2"/>
  <c r="B494" i="2"/>
  <c r="A494" i="2"/>
  <c r="L493" i="2"/>
  <c r="K493" i="2"/>
  <c r="F493" i="2"/>
  <c r="D493" i="2"/>
  <c r="C493" i="2"/>
  <c r="B493" i="2"/>
  <c r="A493" i="2"/>
  <c r="L492" i="2"/>
  <c r="K492" i="2"/>
  <c r="F492" i="2"/>
  <c r="D492" i="2"/>
  <c r="C492" i="2"/>
  <c r="B492" i="2"/>
  <c r="A492" i="2"/>
  <c r="L491" i="2"/>
  <c r="K491" i="2"/>
  <c r="F491" i="2"/>
  <c r="D491" i="2"/>
  <c r="C491" i="2"/>
  <c r="B491" i="2"/>
  <c r="A491" i="2"/>
  <c r="L490" i="2"/>
  <c r="K490" i="2"/>
  <c r="F490" i="2"/>
  <c r="D490" i="2"/>
  <c r="C490" i="2"/>
  <c r="B490" i="2"/>
  <c r="A490" i="2"/>
  <c r="L489" i="2"/>
  <c r="K489" i="2"/>
  <c r="F489" i="2"/>
  <c r="D489" i="2"/>
  <c r="C489" i="2"/>
  <c r="B489" i="2"/>
  <c r="A489" i="2"/>
  <c r="L488" i="2"/>
  <c r="K488" i="2"/>
  <c r="F488" i="2"/>
  <c r="D488" i="2"/>
  <c r="C488" i="2"/>
  <c r="B488" i="2"/>
  <c r="A488" i="2"/>
  <c r="L487" i="2"/>
  <c r="K487" i="2"/>
  <c r="F487" i="2"/>
  <c r="D487" i="2"/>
  <c r="C487" i="2"/>
  <c r="B487" i="2"/>
  <c r="A487" i="2"/>
  <c r="L486" i="2"/>
  <c r="K486" i="2"/>
  <c r="F486" i="2"/>
  <c r="D486" i="2"/>
  <c r="C486" i="2"/>
  <c r="B486" i="2"/>
  <c r="A486" i="2"/>
  <c r="L485" i="2"/>
  <c r="K485" i="2"/>
  <c r="F485" i="2"/>
  <c r="D485" i="2"/>
  <c r="C485" i="2"/>
  <c r="B485" i="2"/>
  <c r="A485" i="2"/>
  <c r="L484" i="2"/>
  <c r="K484" i="2"/>
  <c r="F484" i="2"/>
  <c r="D484" i="2"/>
  <c r="C484" i="2"/>
  <c r="B484" i="2"/>
  <c r="A484" i="2"/>
  <c r="L483" i="2"/>
  <c r="K483" i="2"/>
  <c r="F483" i="2"/>
  <c r="D483" i="2"/>
  <c r="C483" i="2"/>
  <c r="B483" i="2"/>
  <c r="A483" i="2"/>
  <c r="L482" i="2"/>
  <c r="K482" i="2"/>
  <c r="F482" i="2"/>
  <c r="D482" i="2"/>
  <c r="C482" i="2"/>
  <c r="B482" i="2"/>
  <c r="A482" i="2"/>
  <c r="L481" i="2"/>
  <c r="K481" i="2"/>
  <c r="F481" i="2"/>
  <c r="D481" i="2"/>
  <c r="C481" i="2"/>
  <c r="B481" i="2"/>
  <c r="A481" i="2"/>
  <c r="L480" i="2"/>
  <c r="K480" i="2"/>
  <c r="F480" i="2"/>
  <c r="D480" i="2"/>
  <c r="C480" i="2"/>
  <c r="B480" i="2"/>
  <c r="A480" i="2"/>
  <c r="L479" i="2"/>
  <c r="K479" i="2"/>
  <c r="F479" i="2"/>
  <c r="D479" i="2"/>
  <c r="C479" i="2"/>
  <c r="B479" i="2"/>
  <c r="A479" i="2"/>
  <c r="L478" i="2"/>
  <c r="K478" i="2"/>
  <c r="F478" i="2"/>
  <c r="D478" i="2"/>
  <c r="C478" i="2"/>
  <c r="B478" i="2"/>
  <c r="A478" i="2"/>
  <c r="L477" i="2"/>
  <c r="K477" i="2"/>
  <c r="F477" i="2"/>
  <c r="D477" i="2"/>
  <c r="C477" i="2"/>
  <c r="B477" i="2"/>
  <c r="A477" i="2"/>
  <c r="L476" i="2"/>
  <c r="K476" i="2"/>
  <c r="F476" i="2"/>
  <c r="D476" i="2"/>
  <c r="C476" i="2"/>
  <c r="B476" i="2"/>
  <c r="A476" i="2"/>
  <c r="L475" i="2"/>
  <c r="K475" i="2"/>
  <c r="F475" i="2"/>
  <c r="D475" i="2"/>
  <c r="C475" i="2"/>
  <c r="B475" i="2"/>
  <c r="A475" i="2"/>
  <c r="L474" i="2"/>
  <c r="K474" i="2"/>
  <c r="F474" i="2"/>
  <c r="D474" i="2"/>
  <c r="C474" i="2"/>
  <c r="B474" i="2"/>
  <c r="A474" i="2"/>
  <c r="L473" i="2"/>
  <c r="K473" i="2"/>
  <c r="F473" i="2"/>
  <c r="D473" i="2"/>
  <c r="C473" i="2"/>
  <c r="B473" i="2"/>
  <c r="A473" i="2"/>
  <c r="L472" i="2"/>
  <c r="K472" i="2"/>
  <c r="F472" i="2"/>
  <c r="D472" i="2"/>
  <c r="C472" i="2"/>
  <c r="B472" i="2"/>
  <c r="A472" i="2"/>
  <c r="L471" i="2"/>
  <c r="K471" i="2"/>
  <c r="F471" i="2"/>
  <c r="D471" i="2"/>
  <c r="C471" i="2"/>
  <c r="B471" i="2"/>
  <c r="A471" i="2"/>
  <c r="L470" i="2"/>
  <c r="K470" i="2"/>
  <c r="F470" i="2"/>
  <c r="D470" i="2"/>
  <c r="C470" i="2"/>
  <c r="B470" i="2"/>
  <c r="A470" i="2"/>
  <c r="L469" i="2"/>
  <c r="K469" i="2"/>
  <c r="F469" i="2"/>
  <c r="D469" i="2"/>
  <c r="C469" i="2"/>
  <c r="B469" i="2"/>
  <c r="A469" i="2"/>
  <c r="L468" i="2"/>
  <c r="K468" i="2"/>
  <c r="F468" i="2"/>
  <c r="D468" i="2"/>
  <c r="C468" i="2"/>
  <c r="B468" i="2"/>
  <c r="A468" i="2"/>
  <c r="L467" i="2"/>
  <c r="K467" i="2"/>
  <c r="F467" i="2"/>
  <c r="D467" i="2"/>
  <c r="C467" i="2"/>
  <c r="B467" i="2"/>
  <c r="A467" i="2"/>
  <c r="L466" i="2"/>
  <c r="K466" i="2"/>
  <c r="F466" i="2"/>
  <c r="D466" i="2"/>
  <c r="C466" i="2"/>
  <c r="B466" i="2"/>
  <c r="A466" i="2"/>
  <c r="L465" i="2"/>
  <c r="K465" i="2"/>
  <c r="F465" i="2"/>
  <c r="D465" i="2"/>
  <c r="C465" i="2"/>
  <c r="B465" i="2"/>
  <c r="A465" i="2"/>
  <c r="L464" i="2"/>
  <c r="K464" i="2"/>
  <c r="F464" i="2"/>
  <c r="D464" i="2"/>
  <c r="C464" i="2"/>
  <c r="B464" i="2"/>
  <c r="A464" i="2"/>
  <c r="L463" i="2"/>
  <c r="K463" i="2"/>
  <c r="F463" i="2"/>
  <c r="D463" i="2"/>
  <c r="C463" i="2"/>
  <c r="B463" i="2"/>
  <c r="A463" i="2"/>
  <c r="L462" i="2"/>
  <c r="K462" i="2"/>
  <c r="F462" i="2"/>
  <c r="D462" i="2"/>
  <c r="C462" i="2"/>
  <c r="B462" i="2"/>
  <c r="A462" i="2"/>
  <c r="L461" i="2"/>
  <c r="K461" i="2"/>
  <c r="F461" i="2"/>
  <c r="D461" i="2"/>
  <c r="C461" i="2"/>
  <c r="B461" i="2"/>
  <c r="A461" i="2"/>
  <c r="L460" i="2"/>
  <c r="K460" i="2"/>
  <c r="F460" i="2"/>
  <c r="D460" i="2"/>
  <c r="C460" i="2"/>
  <c r="B460" i="2"/>
  <c r="A460" i="2"/>
  <c r="L459" i="2"/>
  <c r="K459" i="2"/>
  <c r="F459" i="2"/>
  <c r="D459" i="2"/>
  <c r="C459" i="2"/>
  <c r="B459" i="2"/>
  <c r="A459" i="2"/>
  <c r="L458" i="2"/>
  <c r="K458" i="2"/>
  <c r="F458" i="2"/>
  <c r="D458" i="2"/>
  <c r="C458" i="2"/>
  <c r="B458" i="2"/>
  <c r="A458" i="2"/>
  <c r="L457" i="2"/>
  <c r="K457" i="2"/>
  <c r="F457" i="2"/>
  <c r="D457" i="2"/>
  <c r="C457" i="2"/>
  <c r="B457" i="2"/>
  <c r="A457" i="2"/>
  <c r="L456" i="2"/>
  <c r="K456" i="2"/>
  <c r="F456" i="2"/>
  <c r="D456" i="2"/>
  <c r="C456" i="2"/>
  <c r="B456" i="2"/>
  <c r="A456" i="2"/>
  <c r="L455" i="2"/>
  <c r="K455" i="2"/>
  <c r="F455" i="2"/>
  <c r="D455" i="2"/>
  <c r="C455" i="2"/>
  <c r="B455" i="2"/>
  <c r="A455" i="2"/>
  <c r="L454" i="2"/>
  <c r="K454" i="2"/>
  <c r="F454" i="2"/>
  <c r="D454" i="2"/>
  <c r="C454" i="2"/>
  <c r="B454" i="2"/>
  <c r="A454" i="2"/>
  <c r="L453" i="2"/>
  <c r="K453" i="2"/>
  <c r="F453" i="2"/>
  <c r="D453" i="2"/>
  <c r="C453" i="2"/>
  <c r="B453" i="2"/>
  <c r="A453" i="2"/>
  <c r="L452" i="2"/>
  <c r="K452" i="2"/>
  <c r="F452" i="2"/>
  <c r="D452" i="2"/>
  <c r="C452" i="2"/>
  <c r="B452" i="2"/>
  <c r="A452" i="2"/>
  <c r="L451" i="2"/>
  <c r="K451" i="2"/>
  <c r="F451" i="2"/>
  <c r="D451" i="2"/>
  <c r="C451" i="2"/>
  <c r="B451" i="2"/>
  <c r="A451" i="2"/>
  <c r="L450" i="2"/>
  <c r="K450" i="2"/>
  <c r="F450" i="2"/>
  <c r="D450" i="2"/>
  <c r="C450" i="2"/>
  <c r="B450" i="2"/>
  <c r="A450" i="2"/>
  <c r="L449" i="2"/>
  <c r="K449" i="2"/>
  <c r="F449" i="2"/>
  <c r="D449" i="2"/>
  <c r="C449" i="2"/>
  <c r="B449" i="2"/>
  <c r="A449" i="2"/>
  <c r="L448" i="2"/>
  <c r="K448" i="2"/>
  <c r="F448" i="2"/>
  <c r="D448" i="2"/>
  <c r="C448" i="2"/>
  <c r="B448" i="2"/>
  <c r="A448" i="2"/>
  <c r="L447" i="2"/>
  <c r="K447" i="2"/>
  <c r="F447" i="2"/>
  <c r="D447" i="2"/>
  <c r="C447" i="2"/>
  <c r="B447" i="2"/>
  <c r="A447" i="2"/>
  <c r="L446" i="2"/>
  <c r="K446" i="2"/>
  <c r="F446" i="2"/>
  <c r="D446" i="2"/>
  <c r="C446" i="2"/>
  <c r="B446" i="2"/>
  <c r="A446" i="2"/>
  <c r="L445" i="2"/>
  <c r="K445" i="2"/>
  <c r="F445" i="2"/>
  <c r="D445" i="2"/>
  <c r="C445" i="2"/>
  <c r="B445" i="2"/>
  <c r="A445" i="2"/>
  <c r="L444" i="2"/>
  <c r="K444" i="2"/>
  <c r="F444" i="2"/>
  <c r="D444" i="2"/>
  <c r="C444" i="2"/>
  <c r="B444" i="2"/>
  <c r="A444" i="2"/>
  <c r="L443" i="2"/>
  <c r="K443" i="2"/>
  <c r="F443" i="2"/>
  <c r="D443" i="2"/>
  <c r="C443" i="2"/>
  <c r="B443" i="2"/>
  <c r="A443" i="2"/>
  <c r="L442" i="2"/>
  <c r="K442" i="2"/>
  <c r="F442" i="2"/>
  <c r="D442" i="2"/>
  <c r="C442" i="2"/>
  <c r="B442" i="2"/>
  <c r="A442" i="2"/>
  <c r="L441" i="2"/>
  <c r="K441" i="2"/>
  <c r="F441" i="2"/>
  <c r="D441" i="2"/>
  <c r="C441" i="2"/>
  <c r="B441" i="2"/>
  <c r="A441" i="2"/>
  <c r="L440" i="2"/>
  <c r="K440" i="2"/>
  <c r="F440" i="2"/>
  <c r="D440" i="2"/>
  <c r="C440" i="2"/>
  <c r="B440" i="2"/>
  <c r="A440" i="2"/>
  <c r="L439" i="2"/>
  <c r="K439" i="2"/>
  <c r="F439" i="2"/>
  <c r="D439" i="2"/>
  <c r="C439" i="2"/>
  <c r="B439" i="2"/>
  <c r="A439" i="2"/>
  <c r="L438" i="2"/>
  <c r="K438" i="2"/>
  <c r="F438" i="2"/>
  <c r="D438" i="2"/>
  <c r="C438" i="2"/>
  <c r="B438" i="2"/>
  <c r="A438" i="2"/>
  <c r="L437" i="2"/>
  <c r="K437" i="2"/>
  <c r="F437" i="2"/>
  <c r="D437" i="2"/>
  <c r="C437" i="2"/>
  <c r="B437" i="2"/>
  <c r="A437" i="2"/>
  <c r="L436" i="2"/>
  <c r="K436" i="2"/>
  <c r="F436" i="2"/>
  <c r="D436" i="2"/>
  <c r="C436" i="2"/>
  <c r="B436" i="2"/>
  <c r="A436" i="2"/>
  <c r="L435" i="2"/>
  <c r="K435" i="2"/>
  <c r="F435" i="2"/>
  <c r="D435" i="2"/>
  <c r="C435" i="2"/>
  <c r="B435" i="2"/>
  <c r="A435" i="2"/>
  <c r="L434" i="2"/>
  <c r="K434" i="2"/>
  <c r="F434" i="2"/>
  <c r="D434" i="2"/>
  <c r="C434" i="2"/>
  <c r="B434" i="2"/>
  <c r="A434" i="2"/>
  <c r="L433" i="2"/>
  <c r="K433" i="2"/>
  <c r="F433" i="2"/>
  <c r="D433" i="2"/>
  <c r="C433" i="2"/>
  <c r="B433" i="2"/>
  <c r="A433" i="2"/>
  <c r="L432" i="2"/>
  <c r="K432" i="2"/>
  <c r="F432" i="2"/>
  <c r="D432" i="2"/>
  <c r="C432" i="2"/>
  <c r="B432" i="2"/>
  <c r="A432" i="2"/>
  <c r="L431" i="2"/>
  <c r="K431" i="2"/>
  <c r="F431" i="2"/>
  <c r="D431" i="2"/>
  <c r="C431" i="2"/>
  <c r="B431" i="2"/>
  <c r="A431" i="2"/>
  <c r="L430" i="2"/>
  <c r="K430" i="2"/>
  <c r="F430" i="2"/>
  <c r="D430" i="2"/>
  <c r="C430" i="2"/>
  <c r="B430" i="2"/>
  <c r="A430" i="2"/>
  <c r="L429" i="2"/>
  <c r="K429" i="2"/>
  <c r="F429" i="2"/>
  <c r="D429" i="2"/>
  <c r="C429" i="2"/>
  <c r="B429" i="2"/>
  <c r="A429" i="2"/>
  <c r="L428" i="2"/>
  <c r="K428" i="2"/>
  <c r="F428" i="2"/>
  <c r="D428" i="2"/>
  <c r="C428" i="2"/>
  <c r="B428" i="2"/>
  <c r="A428" i="2"/>
  <c r="L427" i="2"/>
  <c r="K427" i="2"/>
  <c r="F427" i="2"/>
  <c r="D427" i="2"/>
  <c r="C427" i="2"/>
  <c r="B427" i="2"/>
  <c r="A427" i="2"/>
  <c r="L426" i="2"/>
  <c r="K426" i="2"/>
  <c r="F426" i="2"/>
  <c r="D426" i="2"/>
  <c r="C426" i="2"/>
  <c r="B426" i="2"/>
  <c r="A426" i="2"/>
  <c r="L425" i="2"/>
  <c r="K425" i="2"/>
  <c r="F425" i="2"/>
  <c r="D425" i="2"/>
  <c r="C425" i="2"/>
  <c r="B425" i="2"/>
  <c r="A425" i="2"/>
  <c r="L424" i="2"/>
  <c r="K424" i="2"/>
  <c r="F424" i="2"/>
  <c r="D424" i="2"/>
  <c r="C424" i="2"/>
  <c r="B424" i="2"/>
  <c r="A424" i="2"/>
  <c r="L423" i="2"/>
  <c r="K423" i="2"/>
  <c r="F423" i="2"/>
  <c r="D423" i="2"/>
  <c r="C423" i="2"/>
  <c r="B423" i="2"/>
  <c r="A423" i="2"/>
  <c r="L422" i="2"/>
  <c r="K422" i="2"/>
  <c r="F422" i="2"/>
  <c r="D422" i="2"/>
  <c r="C422" i="2"/>
  <c r="B422" i="2"/>
  <c r="A422" i="2"/>
  <c r="L421" i="2"/>
  <c r="K421" i="2"/>
  <c r="F421" i="2"/>
  <c r="D421" i="2"/>
  <c r="C421" i="2"/>
  <c r="B421" i="2"/>
  <c r="A421" i="2"/>
  <c r="L420" i="2"/>
  <c r="K420" i="2"/>
  <c r="F420" i="2"/>
  <c r="D420" i="2"/>
  <c r="C420" i="2"/>
  <c r="B420" i="2"/>
  <c r="A420" i="2"/>
  <c r="L419" i="2"/>
  <c r="K419" i="2"/>
  <c r="F419" i="2"/>
  <c r="D419" i="2"/>
  <c r="C419" i="2"/>
  <c r="B419" i="2"/>
  <c r="A419" i="2"/>
  <c r="L418" i="2"/>
  <c r="K418" i="2"/>
  <c r="F418" i="2"/>
  <c r="D418" i="2"/>
  <c r="C418" i="2"/>
  <c r="B418" i="2"/>
  <c r="A418" i="2"/>
  <c r="L417" i="2"/>
  <c r="K417" i="2"/>
  <c r="F417" i="2"/>
  <c r="D417" i="2"/>
  <c r="C417" i="2"/>
  <c r="B417" i="2"/>
  <c r="A417" i="2"/>
  <c r="L416" i="2"/>
  <c r="K416" i="2"/>
  <c r="F416" i="2"/>
  <c r="D416" i="2"/>
  <c r="C416" i="2"/>
  <c r="B416" i="2"/>
  <c r="A416" i="2"/>
  <c r="L415" i="2"/>
  <c r="K415" i="2"/>
  <c r="F415" i="2"/>
  <c r="D415" i="2"/>
  <c r="C415" i="2"/>
  <c r="B415" i="2"/>
  <c r="A415" i="2"/>
  <c r="L414" i="2"/>
  <c r="K414" i="2"/>
  <c r="F414" i="2"/>
  <c r="D414" i="2"/>
  <c r="C414" i="2"/>
  <c r="B414" i="2"/>
  <c r="A414" i="2"/>
  <c r="L413" i="2"/>
  <c r="K413" i="2"/>
  <c r="F413" i="2"/>
  <c r="D413" i="2"/>
  <c r="C413" i="2"/>
  <c r="B413" i="2"/>
  <c r="A413" i="2"/>
  <c r="L412" i="2"/>
  <c r="K412" i="2"/>
  <c r="F412" i="2"/>
  <c r="D412" i="2"/>
  <c r="C412" i="2"/>
  <c r="B412" i="2"/>
  <c r="A412" i="2"/>
  <c r="L411" i="2"/>
  <c r="K411" i="2"/>
  <c r="F411" i="2"/>
  <c r="D411" i="2"/>
  <c r="C411" i="2"/>
  <c r="B411" i="2"/>
  <c r="A411" i="2"/>
  <c r="L410" i="2"/>
  <c r="K410" i="2"/>
  <c r="F410" i="2"/>
  <c r="D410" i="2"/>
  <c r="C410" i="2"/>
  <c r="B410" i="2"/>
  <c r="A410" i="2"/>
  <c r="L409" i="2"/>
  <c r="K409" i="2"/>
  <c r="F409" i="2"/>
  <c r="D409" i="2"/>
  <c r="C409" i="2"/>
  <c r="B409" i="2"/>
  <c r="A409" i="2"/>
  <c r="L408" i="2"/>
  <c r="K408" i="2"/>
  <c r="F408" i="2"/>
  <c r="D408" i="2"/>
  <c r="C408" i="2"/>
  <c r="B408" i="2"/>
  <c r="A408" i="2"/>
  <c r="L407" i="2"/>
  <c r="K407" i="2"/>
  <c r="F407" i="2"/>
  <c r="D407" i="2"/>
  <c r="C407" i="2"/>
  <c r="B407" i="2"/>
  <c r="A407" i="2"/>
  <c r="L406" i="2"/>
  <c r="K406" i="2"/>
  <c r="F406" i="2"/>
  <c r="D406" i="2"/>
  <c r="C406" i="2"/>
  <c r="B406" i="2"/>
  <c r="A406" i="2"/>
  <c r="L405" i="2"/>
  <c r="K405" i="2"/>
  <c r="F405" i="2"/>
  <c r="D405" i="2"/>
  <c r="C405" i="2"/>
  <c r="B405" i="2"/>
  <c r="A405" i="2"/>
  <c r="L404" i="2"/>
  <c r="K404" i="2"/>
  <c r="F404" i="2"/>
  <c r="D404" i="2"/>
  <c r="C404" i="2"/>
  <c r="B404" i="2"/>
  <c r="A404" i="2"/>
  <c r="L403" i="2"/>
  <c r="K403" i="2"/>
  <c r="F403" i="2"/>
  <c r="D403" i="2"/>
  <c r="C403" i="2"/>
  <c r="B403" i="2"/>
  <c r="A403" i="2"/>
  <c r="L402" i="2"/>
  <c r="K402" i="2"/>
  <c r="F402" i="2"/>
  <c r="D402" i="2"/>
  <c r="C402" i="2"/>
  <c r="B402" i="2"/>
  <c r="A402" i="2"/>
  <c r="L401" i="2"/>
  <c r="K401" i="2"/>
  <c r="F401" i="2"/>
  <c r="D401" i="2"/>
  <c r="C401" i="2"/>
  <c r="B401" i="2"/>
  <c r="A401" i="2"/>
  <c r="L400" i="2"/>
  <c r="K400" i="2"/>
  <c r="F400" i="2"/>
  <c r="D400" i="2"/>
  <c r="C400" i="2"/>
  <c r="B400" i="2"/>
  <c r="A400" i="2"/>
  <c r="L399" i="2"/>
  <c r="K399" i="2"/>
  <c r="F399" i="2"/>
  <c r="D399" i="2"/>
  <c r="C399" i="2"/>
  <c r="B399" i="2"/>
  <c r="A399" i="2"/>
  <c r="L398" i="2"/>
  <c r="K398" i="2"/>
  <c r="F398" i="2"/>
  <c r="D398" i="2"/>
  <c r="C398" i="2"/>
  <c r="B398" i="2"/>
  <c r="A398" i="2"/>
  <c r="L397" i="2"/>
  <c r="K397" i="2"/>
  <c r="F397" i="2"/>
  <c r="D397" i="2"/>
  <c r="C397" i="2"/>
  <c r="B397" i="2"/>
  <c r="A397" i="2"/>
  <c r="L396" i="2"/>
  <c r="K396" i="2"/>
  <c r="F396" i="2"/>
  <c r="D396" i="2"/>
  <c r="C396" i="2"/>
  <c r="B396" i="2"/>
  <c r="A396" i="2"/>
  <c r="L395" i="2"/>
  <c r="K395" i="2"/>
  <c r="F395" i="2"/>
  <c r="D395" i="2"/>
  <c r="C395" i="2"/>
  <c r="B395" i="2"/>
  <c r="A395" i="2"/>
  <c r="L394" i="2"/>
  <c r="K394" i="2"/>
  <c r="F394" i="2"/>
  <c r="D394" i="2"/>
  <c r="C394" i="2"/>
  <c r="B394" i="2"/>
  <c r="A394" i="2"/>
  <c r="L393" i="2"/>
  <c r="K393" i="2"/>
  <c r="F393" i="2"/>
  <c r="D393" i="2"/>
  <c r="C393" i="2"/>
  <c r="B393" i="2"/>
  <c r="A393" i="2"/>
  <c r="L392" i="2"/>
  <c r="K392" i="2"/>
  <c r="F392" i="2"/>
  <c r="D392" i="2"/>
  <c r="C392" i="2"/>
  <c r="B392" i="2"/>
  <c r="A392" i="2"/>
  <c r="L391" i="2"/>
  <c r="K391" i="2"/>
  <c r="F391" i="2"/>
  <c r="D391" i="2"/>
  <c r="C391" i="2"/>
  <c r="B391" i="2"/>
  <c r="A391" i="2"/>
  <c r="L390" i="2"/>
  <c r="K390" i="2"/>
  <c r="F390" i="2"/>
  <c r="D390" i="2"/>
  <c r="C390" i="2"/>
  <c r="B390" i="2"/>
  <c r="A390" i="2"/>
  <c r="L389" i="2"/>
  <c r="K389" i="2"/>
  <c r="F389" i="2"/>
  <c r="D389" i="2"/>
  <c r="C389" i="2"/>
  <c r="B389" i="2"/>
  <c r="A389" i="2"/>
  <c r="L388" i="2"/>
  <c r="K388" i="2"/>
  <c r="F388" i="2"/>
  <c r="D388" i="2"/>
  <c r="C388" i="2"/>
  <c r="B388" i="2"/>
  <c r="A388" i="2"/>
  <c r="L387" i="2"/>
  <c r="K387" i="2"/>
  <c r="F387" i="2"/>
  <c r="D387" i="2"/>
  <c r="C387" i="2"/>
  <c r="B387" i="2"/>
  <c r="A387" i="2"/>
  <c r="L386" i="2"/>
  <c r="K386" i="2"/>
  <c r="F386" i="2"/>
  <c r="D386" i="2"/>
  <c r="C386" i="2"/>
  <c r="B386" i="2"/>
  <c r="A386" i="2"/>
  <c r="L385" i="2"/>
  <c r="K385" i="2"/>
  <c r="F385" i="2"/>
  <c r="D385" i="2"/>
  <c r="C385" i="2"/>
  <c r="B385" i="2"/>
  <c r="A385" i="2"/>
  <c r="L384" i="2"/>
  <c r="K384" i="2"/>
  <c r="F384" i="2"/>
  <c r="D384" i="2"/>
  <c r="C384" i="2"/>
  <c r="B384" i="2"/>
  <c r="A384" i="2"/>
  <c r="L383" i="2"/>
  <c r="K383" i="2"/>
  <c r="F383" i="2"/>
  <c r="D383" i="2"/>
  <c r="C383" i="2"/>
  <c r="B383" i="2"/>
  <c r="A383" i="2"/>
  <c r="L382" i="2"/>
  <c r="K382" i="2"/>
  <c r="F382" i="2"/>
  <c r="D382" i="2"/>
  <c r="C382" i="2"/>
  <c r="B382" i="2"/>
  <c r="A382" i="2"/>
  <c r="L381" i="2"/>
  <c r="K381" i="2"/>
  <c r="F381" i="2"/>
  <c r="D381" i="2"/>
  <c r="C381" i="2"/>
  <c r="B381" i="2"/>
  <c r="A381" i="2"/>
  <c r="L380" i="2"/>
  <c r="K380" i="2"/>
  <c r="F380" i="2"/>
  <c r="D380" i="2"/>
  <c r="C380" i="2"/>
  <c r="B380" i="2"/>
  <c r="A380" i="2"/>
  <c r="L379" i="2"/>
  <c r="K379" i="2"/>
  <c r="F379" i="2"/>
  <c r="D379" i="2"/>
  <c r="C379" i="2"/>
  <c r="B379" i="2"/>
  <c r="A379" i="2"/>
  <c r="L378" i="2"/>
  <c r="K378" i="2"/>
  <c r="F378" i="2"/>
  <c r="D378" i="2"/>
  <c r="C378" i="2"/>
  <c r="B378" i="2"/>
  <c r="A378" i="2"/>
  <c r="L377" i="2"/>
  <c r="K377" i="2"/>
  <c r="F377" i="2"/>
  <c r="D377" i="2"/>
  <c r="C377" i="2"/>
  <c r="B377" i="2"/>
  <c r="A377" i="2"/>
  <c r="L376" i="2"/>
  <c r="K376" i="2"/>
  <c r="F376" i="2"/>
  <c r="D376" i="2"/>
  <c r="C376" i="2"/>
  <c r="B376" i="2"/>
  <c r="A376" i="2"/>
  <c r="L375" i="2"/>
  <c r="K375" i="2"/>
  <c r="F375" i="2"/>
  <c r="D375" i="2"/>
  <c r="C375" i="2"/>
  <c r="B375" i="2"/>
  <c r="A375" i="2"/>
  <c r="L374" i="2"/>
  <c r="K374" i="2"/>
  <c r="F374" i="2"/>
  <c r="D374" i="2"/>
  <c r="C374" i="2"/>
  <c r="B374" i="2"/>
  <c r="A374" i="2"/>
  <c r="L373" i="2"/>
  <c r="K373" i="2"/>
  <c r="F373" i="2"/>
  <c r="D373" i="2"/>
  <c r="C373" i="2"/>
  <c r="B373" i="2"/>
  <c r="A373" i="2"/>
  <c r="L372" i="2"/>
  <c r="K372" i="2"/>
  <c r="F372" i="2"/>
  <c r="D372" i="2"/>
  <c r="C372" i="2"/>
  <c r="B372" i="2"/>
  <c r="A372" i="2"/>
  <c r="L371" i="2"/>
  <c r="K371" i="2"/>
  <c r="F371" i="2"/>
  <c r="D371" i="2"/>
  <c r="C371" i="2"/>
  <c r="B371" i="2"/>
  <c r="A371" i="2"/>
  <c r="L370" i="2"/>
  <c r="K370" i="2"/>
  <c r="F370" i="2"/>
  <c r="D370" i="2"/>
  <c r="C370" i="2"/>
  <c r="B370" i="2"/>
  <c r="A370" i="2"/>
  <c r="L369" i="2"/>
  <c r="K369" i="2"/>
  <c r="F369" i="2"/>
  <c r="D369" i="2"/>
  <c r="C369" i="2"/>
  <c r="B369" i="2"/>
  <c r="A369" i="2"/>
  <c r="L368" i="2"/>
  <c r="K368" i="2"/>
  <c r="F368" i="2"/>
  <c r="D368" i="2"/>
  <c r="C368" i="2"/>
  <c r="B368" i="2"/>
  <c r="A368" i="2"/>
  <c r="L367" i="2"/>
  <c r="K367" i="2"/>
  <c r="F367" i="2"/>
  <c r="D367" i="2"/>
  <c r="C367" i="2"/>
  <c r="B367" i="2"/>
  <c r="A367" i="2"/>
  <c r="L366" i="2"/>
  <c r="K366" i="2"/>
  <c r="F366" i="2"/>
  <c r="D366" i="2"/>
  <c r="C366" i="2"/>
  <c r="B366" i="2"/>
  <c r="A366" i="2"/>
  <c r="L365" i="2"/>
  <c r="K365" i="2"/>
  <c r="F365" i="2"/>
  <c r="D365" i="2"/>
  <c r="C365" i="2"/>
  <c r="B365" i="2"/>
  <c r="A365" i="2"/>
  <c r="L364" i="2"/>
  <c r="K364" i="2"/>
  <c r="F364" i="2"/>
  <c r="D364" i="2"/>
  <c r="C364" i="2"/>
  <c r="B364" i="2"/>
  <c r="A364" i="2"/>
  <c r="L363" i="2"/>
  <c r="K363" i="2"/>
  <c r="F363" i="2"/>
  <c r="D363" i="2"/>
  <c r="C363" i="2"/>
  <c r="B363" i="2"/>
  <c r="A363" i="2"/>
  <c r="L362" i="2"/>
  <c r="K362" i="2"/>
  <c r="F362" i="2"/>
  <c r="D362" i="2"/>
  <c r="C362" i="2"/>
  <c r="B362" i="2"/>
  <c r="A362" i="2"/>
  <c r="L361" i="2"/>
  <c r="K361" i="2"/>
  <c r="F361" i="2"/>
  <c r="D361" i="2"/>
  <c r="C361" i="2"/>
  <c r="B361" i="2"/>
  <c r="A361" i="2"/>
  <c r="L360" i="2"/>
  <c r="K360" i="2"/>
  <c r="F360" i="2"/>
  <c r="D360" i="2"/>
  <c r="C360" i="2"/>
  <c r="B360" i="2"/>
  <c r="A360" i="2"/>
  <c r="L359" i="2"/>
  <c r="K359" i="2"/>
  <c r="F359" i="2"/>
  <c r="D359" i="2"/>
  <c r="C359" i="2"/>
  <c r="B359" i="2"/>
  <c r="A359" i="2"/>
  <c r="L358" i="2"/>
  <c r="K358" i="2"/>
  <c r="F358" i="2"/>
  <c r="D358" i="2"/>
  <c r="C358" i="2"/>
  <c r="B358" i="2"/>
  <c r="A358" i="2"/>
  <c r="L357" i="2"/>
  <c r="K357" i="2"/>
  <c r="F357" i="2"/>
  <c r="D357" i="2"/>
  <c r="C357" i="2"/>
  <c r="B357" i="2"/>
  <c r="A357" i="2"/>
  <c r="L356" i="2"/>
  <c r="K356" i="2"/>
  <c r="F356" i="2"/>
  <c r="D356" i="2"/>
  <c r="C356" i="2"/>
  <c r="B356" i="2"/>
  <c r="A356" i="2"/>
  <c r="L355" i="2"/>
  <c r="K355" i="2"/>
  <c r="F355" i="2"/>
  <c r="D355" i="2"/>
  <c r="C355" i="2"/>
  <c r="B355" i="2"/>
  <c r="A355" i="2"/>
  <c r="L354" i="2"/>
  <c r="K354" i="2"/>
  <c r="F354" i="2"/>
  <c r="D354" i="2"/>
  <c r="C354" i="2"/>
  <c r="B354" i="2"/>
  <c r="A354" i="2"/>
  <c r="L353" i="2"/>
  <c r="K353" i="2"/>
  <c r="F353" i="2"/>
  <c r="D353" i="2"/>
  <c r="C353" i="2"/>
  <c r="B353" i="2"/>
  <c r="A353" i="2"/>
  <c r="L352" i="2"/>
  <c r="K352" i="2"/>
  <c r="F352" i="2"/>
  <c r="D352" i="2"/>
  <c r="C352" i="2"/>
  <c r="B352" i="2"/>
  <c r="A352" i="2"/>
  <c r="L351" i="2"/>
  <c r="K351" i="2"/>
  <c r="F351" i="2"/>
  <c r="D351" i="2"/>
  <c r="C351" i="2"/>
  <c r="B351" i="2"/>
  <c r="A351" i="2"/>
  <c r="L350" i="2"/>
  <c r="K350" i="2"/>
  <c r="F350" i="2"/>
  <c r="D350" i="2"/>
  <c r="C350" i="2"/>
  <c r="B350" i="2"/>
  <c r="A350" i="2"/>
  <c r="L349" i="2"/>
  <c r="K349" i="2"/>
  <c r="F349" i="2"/>
  <c r="D349" i="2"/>
  <c r="C349" i="2"/>
  <c r="B349" i="2"/>
  <c r="A349" i="2"/>
  <c r="L348" i="2"/>
  <c r="K348" i="2"/>
  <c r="F348" i="2"/>
  <c r="D348" i="2"/>
  <c r="C348" i="2"/>
  <c r="B348" i="2"/>
  <c r="A348" i="2"/>
  <c r="L347" i="2"/>
  <c r="K347" i="2"/>
  <c r="F347" i="2"/>
  <c r="D347" i="2"/>
  <c r="C347" i="2"/>
  <c r="B347" i="2"/>
  <c r="A347" i="2"/>
  <c r="L346" i="2"/>
  <c r="K346" i="2"/>
  <c r="F346" i="2"/>
  <c r="D346" i="2"/>
  <c r="C346" i="2"/>
  <c r="B346" i="2"/>
  <c r="A346" i="2"/>
  <c r="L345" i="2"/>
  <c r="K345" i="2"/>
  <c r="F345" i="2"/>
  <c r="D345" i="2"/>
  <c r="C345" i="2"/>
  <c r="B345" i="2"/>
  <c r="A345" i="2"/>
  <c r="L344" i="2"/>
  <c r="K344" i="2"/>
  <c r="F344" i="2"/>
  <c r="D344" i="2"/>
  <c r="C344" i="2"/>
  <c r="B344" i="2"/>
  <c r="A344" i="2"/>
  <c r="L343" i="2"/>
  <c r="K343" i="2"/>
  <c r="F343" i="2"/>
  <c r="D343" i="2"/>
  <c r="C343" i="2"/>
  <c r="B343" i="2"/>
  <c r="A343" i="2"/>
  <c r="L342" i="2"/>
  <c r="K342" i="2"/>
  <c r="F342" i="2"/>
  <c r="D342" i="2"/>
  <c r="C342" i="2"/>
  <c r="B342" i="2"/>
  <c r="A342" i="2"/>
  <c r="L341" i="2"/>
  <c r="K341" i="2"/>
  <c r="F341" i="2"/>
  <c r="D341" i="2"/>
  <c r="C341" i="2"/>
  <c r="B341" i="2"/>
  <c r="A341" i="2"/>
  <c r="L340" i="2"/>
  <c r="K340" i="2"/>
  <c r="F340" i="2"/>
  <c r="D340" i="2"/>
  <c r="C340" i="2"/>
  <c r="B340" i="2"/>
  <c r="A340" i="2"/>
  <c r="L339" i="2"/>
  <c r="K339" i="2"/>
  <c r="F339" i="2"/>
  <c r="D339" i="2"/>
  <c r="C339" i="2"/>
  <c r="B339" i="2"/>
  <c r="A339" i="2"/>
  <c r="L338" i="2"/>
  <c r="K338" i="2"/>
  <c r="F338" i="2"/>
  <c r="D338" i="2"/>
  <c r="C338" i="2"/>
  <c r="B338" i="2"/>
  <c r="A338" i="2"/>
  <c r="L337" i="2"/>
  <c r="K337" i="2"/>
  <c r="F337" i="2"/>
  <c r="D337" i="2"/>
  <c r="C337" i="2"/>
  <c r="B337" i="2"/>
  <c r="A337" i="2"/>
  <c r="L336" i="2"/>
  <c r="K336" i="2"/>
  <c r="F336" i="2"/>
  <c r="D336" i="2"/>
  <c r="C336" i="2"/>
  <c r="B336" i="2"/>
  <c r="A336" i="2"/>
  <c r="L335" i="2"/>
  <c r="K335" i="2"/>
  <c r="F335" i="2"/>
  <c r="D335" i="2"/>
  <c r="C335" i="2"/>
  <c r="B335" i="2"/>
  <c r="A335" i="2"/>
  <c r="L334" i="2"/>
  <c r="K334" i="2"/>
  <c r="F334" i="2"/>
  <c r="D334" i="2"/>
  <c r="C334" i="2"/>
  <c r="B334" i="2"/>
  <c r="A334" i="2"/>
  <c r="L333" i="2"/>
  <c r="K333" i="2"/>
  <c r="F333" i="2"/>
  <c r="D333" i="2"/>
  <c r="C333" i="2"/>
  <c r="B333" i="2"/>
  <c r="A333" i="2"/>
  <c r="L332" i="2"/>
  <c r="K332" i="2"/>
  <c r="F332" i="2"/>
  <c r="D332" i="2"/>
  <c r="C332" i="2"/>
  <c r="B332" i="2"/>
  <c r="A332" i="2"/>
  <c r="L331" i="2"/>
  <c r="K331" i="2"/>
  <c r="F331" i="2"/>
  <c r="D331" i="2"/>
  <c r="C331" i="2"/>
  <c r="B331" i="2"/>
  <c r="A331" i="2"/>
  <c r="L330" i="2"/>
  <c r="K330" i="2"/>
  <c r="F330" i="2"/>
  <c r="D330" i="2"/>
  <c r="C330" i="2"/>
  <c r="B330" i="2"/>
  <c r="A330" i="2"/>
  <c r="L329" i="2"/>
  <c r="K329" i="2"/>
  <c r="F329" i="2"/>
  <c r="D329" i="2"/>
  <c r="C329" i="2"/>
  <c r="B329" i="2"/>
  <c r="A329" i="2"/>
  <c r="L328" i="2"/>
  <c r="K328" i="2"/>
  <c r="F328" i="2"/>
  <c r="D328" i="2"/>
  <c r="C328" i="2"/>
  <c r="B328" i="2"/>
  <c r="A328" i="2"/>
  <c r="L327" i="2"/>
  <c r="K327" i="2"/>
  <c r="F327" i="2"/>
  <c r="D327" i="2"/>
  <c r="C327" i="2"/>
  <c r="B327" i="2"/>
  <c r="A327" i="2"/>
  <c r="L326" i="2"/>
  <c r="K326" i="2"/>
  <c r="F326" i="2"/>
  <c r="D326" i="2"/>
  <c r="C326" i="2"/>
  <c r="B326" i="2"/>
  <c r="A326" i="2"/>
  <c r="L325" i="2"/>
  <c r="K325" i="2"/>
  <c r="F325" i="2"/>
  <c r="D325" i="2"/>
  <c r="C325" i="2"/>
  <c r="B325" i="2"/>
  <c r="A325" i="2"/>
  <c r="L324" i="2"/>
  <c r="K324" i="2"/>
  <c r="F324" i="2"/>
  <c r="D324" i="2"/>
  <c r="C324" i="2"/>
  <c r="B324" i="2"/>
  <c r="A324" i="2"/>
  <c r="L323" i="2"/>
  <c r="K323" i="2"/>
  <c r="F323" i="2"/>
  <c r="D323" i="2"/>
  <c r="C323" i="2"/>
  <c r="B323" i="2"/>
  <c r="A323" i="2"/>
  <c r="L322" i="2"/>
  <c r="K322" i="2"/>
  <c r="F322" i="2"/>
  <c r="D322" i="2"/>
  <c r="C322" i="2"/>
  <c r="B322" i="2"/>
  <c r="A322" i="2"/>
  <c r="L321" i="2"/>
  <c r="K321" i="2"/>
  <c r="F321" i="2"/>
  <c r="D321" i="2"/>
  <c r="C321" i="2"/>
  <c r="B321" i="2"/>
  <c r="A321" i="2"/>
  <c r="L320" i="2"/>
  <c r="K320" i="2"/>
  <c r="F320" i="2"/>
  <c r="D320" i="2"/>
  <c r="C320" i="2"/>
  <c r="B320" i="2"/>
  <c r="A320" i="2"/>
  <c r="L319" i="2"/>
  <c r="K319" i="2"/>
  <c r="F319" i="2"/>
  <c r="D319" i="2"/>
  <c r="C319" i="2"/>
  <c r="B319" i="2"/>
  <c r="A319" i="2"/>
  <c r="L318" i="2"/>
  <c r="K318" i="2"/>
  <c r="F318" i="2"/>
  <c r="D318" i="2"/>
  <c r="C318" i="2"/>
  <c r="B318" i="2"/>
  <c r="A318" i="2"/>
  <c r="L317" i="2"/>
  <c r="K317" i="2"/>
  <c r="F317" i="2"/>
  <c r="D317" i="2"/>
  <c r="C317" i="2"/>
  <c r="B317" i="2"/>
  <c r="A317" i="2"/>
  <c r="L316" i="2"/>
  <c r="K316" i="2"/>
  <c r="F316" i="2"/>
  <c r="D316" i="2"/>
  <c r="C316" i="2"/>
  <c r="B316" i="2"/>
  <c r="A316" i="2"/>
  <c r="L315" i="2"/>
  <c r="K315" i="2"/>
  <c r="F315" i="2"/>
  <c r="D315" i="2"/>
  <c r="C315" i="2"/>
  <c r="B315" i="2"/>
  <c r="A315" i="2"/>
  <c r="L314" i="2"/>
  <c r="K314" i="2"/>
  <c r="F314" i="2"/>
  <c r="D314" i="2"/>
  <c r="C314" i="2"/>
  <c r="B314" i="2"/>
  <c r="A314" i="2"/>
  <c r="L313" i="2"/>
  <c r="K313" i="2"/>
  <c r="F313" i="2"/>
  <c r="D313" i="2"/>
  <c r="C313" i="2"/>
  <c r="B313" i="2"/>
  <c r="A313" i="2"/>
  <c r="L312" i="2"/>
  <c r="K312" i="2"/>
  <c r="F312" i="2"/>
  <c r="D312" i="2"/>
  <c r="C312" i="2"/>
  <c r="B312" i="2"/>
  <c r="A312" i="2"/>
  <c r="L311" i="2"/>
  <c r="K311" i="2"/>
  <c r="F311" i="2"/>
  <c r="D311" i="2"/>
  <c r="C311" i="2"/>
  <c r="B311" i="2"/>
  <c r="A311" i="2"/>
  <c r="L310" i="2"/>
  <c r="K310" i="2"/>
  <c r="F310" i="2"/>
  <c r="D310" i="2"/>
  <c r="C310" i="2"/>
  <c r="B310" i="2"/>
  <c r="A310" i="2"/>
  <c r="L309" i="2"/>
  <c r="K309" i="2"/>
  <c r="F309" i="2"/>
  <c r="D309" i="2"/>
  <c r="C309" i="2"/>
  <c r="B309" i="2"/>
  <c r="A309" i="2"/>
  <c r="L308" i="2"/>
  <c r="K308" i="2"/>
  <c r="F308" i="2"/>
  <c r="D308" i="2"/>
  <c r="C308" i="2"/>
  <c r="B308" i="2"/>
  <c r="A308" i="2"/>
  <c r="L307" i="2"/>
  <c r="K307" i="2"/>
  <c r="F307" i="2"/>
  <c r="D307" i="2"/>
  <c r="C307" i="2"/>
  <c r="B307" i="2"/>
  <c r="A307" i="2"/>
  <c r="L306" i="2"/>
  <c r="K306" i="2"/>
  <c r="F306" i="2"/>
  <c r="D306" i="2"/>
  <c r="C306" i="2"/>
  <c r="B306" i="2"/>
  <c r="A306" i="2"/>
  <c r="L305" i="2"/>
  <c r="K305" i="2"/>
  <c r="F305" i="2"/>
  <c r="D305" i="2"/>
  <c r="C305" i="2"/>
  <c r="B305" i="2"/>
  <c r="A305" i="2"/>
  <c r="L304" i="2"/>
  <c r="K304" i="2"/>
  <c r="F304" i="2"/>
  <c r="D304" i="2"/>
  <c r="C304" i="2"/>
  <c r="B304" i="2"/>
  <c r="A304" i="2"/>
  <c r="L303" i="2"/>
  <c r="K303" i="2"/>
  <c r="F303" i="2"/>
  <c r="D303" i="2"/>
  <c r="C303" i="2"/>
  <c r="B303" i="2"/>
  <c r="A303" i="2"/>
  <c r="L302" i="2"/>
  <c r="K302" i="2"/>
  <c r="F302" i="2"/>
  <c r="D302" i="2"/>
  <c r="C302" i="2"/>
  <c r="B302" i="2"/>
  <c r="A302" i="2"/>
  <c r="L301" i="2"/>
  <c r="K301" i="2"/>
  <c r="F301" i="2"/>
  <c r="D301" i="2"/>
  <c r="C301" i="2"/>
  <c r="B301" i="2"/>
  <c r="A301" i="2"/>
  <c r="L300" i="2"/>
  <c r="K300" i="2"/>
  <c r="F300" i="2"/>
  <c r="D300" i="2"/>
  <c r="C300" i="2"/>
  <c r="B300" i="2"/>
  <c r="A300" i="2"/>
  <c r="L299" i="2"/>
  <c r="K299" i="2"/>
  <c r="F299" i="2"/>
  <c r="D299" i="2"/>
  <c r="C299" i="2"/>
  <c r="B299" i="2"/>
  <c r="A299" i="2"/>
  <c r="L298" i="2"/>
  <c r="K298" i="2"/>
  <c r="F298" i="2"/>
  <c r="D298" i="2"/>
  <c r="C298" i="2"/>
  <c r="B298" i="2"/>
  <c r="A298" i="2"/>
  <c r="L297" i="2"/>
  <c r="K297" i="2"/>
  <c r="F297" i="2"/>
  <c r="D297" i="2"/>
  <c r="C297" i="2"/>
  <c r="B297" i="2"/>
  <c r="A297" i="2"/>
  <c r="L296" i="2"/>
  <c r="K296" i="2"/>
  <c r="F296" i="2"/>
  <c r="D296" i="2"/>
  <c r="C296" i="2"/>
  <c r="B296" i="2"/>
  <c r="A296" i="2"/>
  <c r="L295" i="2"/>
  <c r="K295" i="2"/>
  <c r="F295" i="2"/>
  <c r="D295" i="2"/>
  <c r="C295" i="2"/>
  <c r="B295" i="2"/>
  <c r="A295" i="2"/>
  <c r="L294" i="2"/>
  <c r="K294" i="2"/>
  <c r="F294" i="2"/>
  <c r="D294" i="2"/>
  <c r="C294" i="2"/>
  <c r="B294" i="2"/>
  <c r="A294" i="2"/>
  <c r="L293" i="2"/>
  <c r="K293" i="2"/>
  <c r="F293" i="2"/>
  <c r="D293" i="2"/>
  <c r="C293" i="2"/>
  <c r="B293" i="2"/>
  <c r="A293" i="2"/>
  <c r="L292" i="2"/>
  <c r="K292" i="2"/>
  <c r="F292" i="2"/>
  <c r="D292" i="2"/>
  <c r="C292" i="2"/>
  <c r="B292" i="2"/>
  <c r="A292" i="2"/>
  <c r="L291" i="2"/>
  <c r="K291" i="2"/>
  <c r="F291" i="2"/>
  <c r="D291" i="2"/>
  <c r="C291" i="2"/>
  <c r="B291" i="2"/>
  <c r="A291" i="2"/>
  <c r="L290" i="2"/>
  <c r="K290" i="2"/>
  <c r="F290" i="2"/>
  <c r="D290" i="2"/>
  <c r="C290" i="2"/>
  <c r="B290" i="2"/>
  <c r="A290" i="2"/>
  <c r="L289" i="2"/>
  <c r="K289" i="2"/>
  <c r="F289" i="2"/>
  <c r="D289" i="2"/>
  <c r="C289" i="2"/>
  <c r="B289" i="2"/>
  <c r="A289" i="2"/>
  <c r="L288" i="2"/>
  <c r="K288" i="2"/>
  <c r="F288" i="2"/>
  <c r="D288" i="2"/>
  <c r="C288" i="2"/>
  <c r="B288" i="2"/>
  <c r="A288" i="2"/>
  <c r="L287" i="2"/>
  <c r="K287" i="2"/>
  <c r="F287" i="2"/>
  <c r="D287" i="2"/>
  <c r="C287" i="2"/>
  <c r="B287" i="2"/>
  <c r="A287" i="2"/>
  <c r="L286" i="2"/>
  <c r="K286" i="2"/>
  <c r="F286" i="2"/>
  <c r="D286" i="2"/>
  <c r="C286" i="2"/>
  <c r="B286" i="2"/>
  <c r="A286" i="2"/>
  <c r="L285" i="2"/>
  <c r="K285" i="2"/>
  <c r="F285" i="2"/>
  <c r="D285" i="2"/>
  <c r="C285" i="2"/>
  <c r="B285" i="2"/>
  <c r="A285" i="2"/>
  <c r="L284" i="2"/>
  <c r="K284" i="2"/>
  <c r="F284" i="2"/>
  <c r="D284" i="2"/>
  <c r="C284" i="2"/>
  <c r="B284" i="2"/>
  <c r="A284" i="2"/>
  <c r="L283" i="2"/>
  <c r="K283" i="2"/>
  <c r="F283" i="2"/>
  <c r="D283" i="2"/>
  <c r="C283" i="2"/>
  <c r="B283" i="2"/>
  <c r="A283" i="2"/>
  <c r="L282" i="2"/>
  <c r="K282" i="2"/>
  <c r="F282" i="2"/>
  <c r="D282" i="2"/>
  <c r="C282" i="2"/>
  <c r="B282" i="2"/>
  <c r="A282" i="2"/>
  <c r="L281" i="2"/>
  <c r="K281" i="2"/>
  <c r="F281" i="2"/>
  <c r="D281" i="2"/>
  <c r="C281" i="2"/>
  <c r="B281" i="2"/>
  <c r="A281" i="2"/>
  <c r="L280" i="2"/>
  <c r="K280" i="2"/>
  <c r="F280" i="2"/>
  <c r="D280" i="2"/>
  <c r="C280" i="2"/>
  <c r="B280" i="2"/>
  <c r="A280" i="2"/>
  <c r="L279" i="2"/>
  <c r="K279" i="2"/>
  <c r="F279" i="2"/>
  <c r="D279" i="2"/>
  <c r="C279" i="2"/>
  <c r="B279" i="2"/>
  <c r="A279" i="2"/>
  <c r="L278" i="2"/>
  <c r="K278" i="2"/>
  <c r="F278" i="2"/>
  <c r="D278" i="2"/>
  <c r="C278" i="2"/>
  <c r="B278" i="2"/>
  <c r="A278" i="2"/>
  <c r="L277" i="2"/>
  <c r="K277" i="2"/>
  <c r="F277" i="2"/>
  <c r="D277" i="2"/>
  <c r="C277" i="2"/>
  <c r="B277" i="2"/>
  <c r="A277" i="2"/>
  <c r="L276" i="2"/>
  <c r="K276" i="2"/>
  <c r="F276" i="2"/>
  <c r="D276" i="2"/>
  <c r="C276" i="2"/>
  <c r="B276" i="2"/>
  <c r="A276" i="2"/>
  <c r="L275" i="2"/>
  <c r="K275" i="2"/>
  <c r="F275" i="2"/>
  <c r="D275" i="2"/>
  <c r="C275" i="2"/>
  <c r="B275" i="2"/>
  <c r="A275" i="2"/>
  <c r="L274" i="2"/>
  <c r="K274" i="2"/>
  <c r="F274" i="2"/>
  <c r="D274" i="2"/>
  <c r="C274" i="2"/>
  <c r="B274" i="2"/>
  <c r="A274" i="2"/>
  <c r="L273" i="2"/>
  <c r="K273" i="2"/>
  <c r="F273" i="2"/>
  <c r="D273" i="2"/>
  <c r="C273" i="2"/>
  <c r="B273" i="2"/>
  <c r="A273" i="2"/>
  <c r="L272" i="2"/>
  <c r="K272" i="2"/>
  <c r="F272" i="2"/>
  <c r="D272" i="2"/>
  <c r="C272" i="2"/>
  <c r="B272" i="2"/>
  <c r="A272" i="2"/>
  <c r="L271" i="2"/>
  <c r="K271" i="2"/>
  <c r="F271" i="2"/>
  <c r="D271" i="2"/>
  <c r="C271" i="2"/>
  <c r="B271" i="2"/>
  <c r="A271" i="2"/>
  <c r="L270" i="2"/>
  <c r="K270" i="2"/>
  <c r="F270" i="2"/>
  <c r="D270" i="2"/>
  <c r="C270" i="2"/>
  <c r="B270" i="2"/>
  <c r="A270" i="2"/>
  <c r="L269" i="2"/>
  <c r="K269" i="2"/>
  <c r="F269" i="2"/>
  <c r="D269" i="2"/>
  <c r="C269" i="2"/>
  <c r="B269" i="2"/>
  <c r="A269" i="2"/>
  <c r="L268" i="2"/>
  <c r="K268" i="2"/>
  <c r="F268" i="2"/>
  <c r="D268" i="2"/>
  <c r="C268" i="2"/>
  <c r="B268" i="2"/>
  <c r="A268" i="2"/>
  <c r="L267" i="2"/>
  <c r="K267" i="2"/>
  <c r="F267" i="2"/>
  <c r="D267" i="2"/>
  <c r="C267" i="2"/>
  <c r="B267" i="2"/>
  <c r="A267" i="2"/>
  <c r="L266" i="2"/>
  <c r="K266" i="2"/>
  <c r="F266" i="2"/>
  <c r="D266" i="2"/>
  <c r="C266" i="2"/>
  <c r="B266" i="2"/>
  <c r="A266" i="2"/>
  <c r="L265" i="2"/>
  <c r="K265" i="2"/>
  <c r="F265" i="2"/>
  <c r="D265" i="2"/>
  <c r="C265" i="2"/>
  <c r="B265" i="2"/>
  <c r="A265" i="2"/>
  <c r="L264" i="2"/>
  <c r="K264" i="2"/>
  <c r="F264" i="2"/>
  <c r="D264" i="2"/>
  <c r="C264" i="2"/>
  <c r="B264" i="2"/>
  <c r="A264" i="2"/>
  <c r="L263" i="2"/>
  <c r="K263" i="2"/>
  <c r="F263" i="2"/>
  <c r="D263" i="2"/>
  <c r="C263" i="2"/>
  <c r="B263" i="2"/>
  <c r="A263" i="2"/>
  <c r="L262" i="2"/>
  <c r="K262" i="2"/>
  <c r="F262" i="2"/>
  <c r="D262" i="2"/>
  <c r="C262" i="2"/>
  <c r="B262" i="2"/>
  <c r="A262" i="2"/>
  <c r="L261" i="2"/>
  <c r="K261" i="2"/>
  <c r="F261" i="2"/>
  <c r="D261" i="2"/>
  <c r="C261" i="2"/>
  <c r="B261" i="2"/>
  <c r="A261" i="2"/>
  <c r="L260" i="2"/>
  <c r="K260" i="2"/>
  <c r="F260" i="2"/>
  <c r="D260" i="2"/>
  <c r="C260" i="2"/>
  <c r="B260" i="2"/>
  <c r="A260" i="2"/>
  <c r="L259" i="2"/>
  <c r="K259" i="2"/>
  <c r="F259" i="2"/>
  <c r="D259" i="2"/>
  <c r="C259" i="2"/>
  <c r="B259" i="2"/>
  <c r="A259" i="2"/>
  <c r="L258" i="2"/>
  <c r="K258" i="2"/>
  <c r="F258" i="2"/>
  <c r="D258" i="2"/>
  <c r="C258" i="2"/>
  <c r="B258" i="2"/>
  <c r="A258" i="2"/>
  <c r="L257" i="2"/>
  <c r="K257" i="2"/>
  <c r="F257" i="2"/>
  <c r="D257" i="2"/>
  <c r="C257" i="2"/>
  <c r="B257" i="2"/>
  <c r="A257" i="2"/>
  <c r="L256" i="2"/>
  <c r="K256" i="2"/>
  <c r="F256" i="2"/>
  <c r="D256" i="2"/>
  <c r="C256" i="2"/>
  <c r="B256" i="2"/>
  <c r="A256" i="2"/>
  <c r="L255" i="2"/>
  <c r="K255" i="2"/>
  <c r="F255" i="2"/>
  <c r="D255" i="2"/>
  <c r="C255" i="2"/>
  <c r="B255" i="2"/>
  <c r="A255" i="2"/>
  <c r="L254" i="2"/>
  <c r="K254" i="2"/>
  <c r="F254" i="2"/>
  <c r="D254" i="2"/>
  <c r="C254" i="2"/>
  <c r="B254" i="2"/>
  <c r="A254" i="2"/>
  <c r="L253" i="2"/>
  <c r="K253" i="2"/>
  <c r="F253" i="2"/>
  <c r="D253" i="2"/>
  <c r="C253" i="2"/>
  <c r="B253" i="2"/>
  <c r="A253" i="2"/>
  <c r="L252" i="2"/>
  <c r="K252" i="2"/>
  <c r="F252" i="2"/>
  <c r="D252" i="2"/>
  <c r="C252" i="2"/>
  <c r="B252" i="2"/>
  <c r="A252" i="2"/>
  <c r="L251" i="2"/>
  <c r="K251" i="2"/>
  <c r="F251" i="2"/>
  <c r="D251" i="2"/>
  <c r="C251" i="2"/>
  <c r="B251" i="2"/>
  <c r="A251" i="2"/>
  <c r="L250" i="2"/>
  <c r="K250" i="2"/>
  <c r="F250" i="2"/>
  <c r="D250" i="2"/>
  <c r="C250" i="2"/>
  <c r="B250" i="2"/>
  <c r="A250" i="2"/>
  <c r="L249" i="2"/>
  <c r="K249" i="2"/>
  <c r="F249" i="2"/>
  <c r="D249" i="2"/>
  <c r="C249" i="2"/>
  <c r="B249" i="2"/>
  <c r="A249" i="2"/>
  <c r="L248" i="2"/>
  <c r="K248" i="2"/>
  <c r="F248" i="2"/>
  <c r="D248" i="2"/>
  <c r="C248" i="2"/>
  <c r="B248" i="2"/>
  <c r="A248" i="2"/>
  <c r="L247" i="2"/>
  <c r="K247" i="2"/>
  <c r="F247" i="2"/>
  <c r="D247" i="2"/>
  <c r="C247" i="2"/>
  <c r="B247" i="2"/>
  <c r="A247" i="2"/>
  <c r="L246" i="2"/>
  <c r="K246" i="2"/>
  <c r="F246" i="2"/>
  <c r="D246" i="2"/>
  <c r="C246" i="2"/>
  <c r="B246" i="2"/>
  <c r="A246" i="2"/>
  <c r="L245" i="2"/>
  <c r="K245" i="2"/>
  <c r="F245" i="2"/>
  <c r="D245" i="2"/>
  <c r="C245" i="2"/>
  <c r="B245" i="2"/>
  <c r="A245" i="2"/>
  <c r="L244" i="2"/>
  <c r="K244" i="2"/>
  <c r="F244" i="2"/>
  <c r="D244" i="2"/>
  <c r="C244" i="2"/>
  <c r="B244" i="2"/>
  <c r="A244" i="2"/>
  <c r="L243" i="2"/>
  <c r="K243" i="2"/>
  <c r="F243" i="2"/>
  <c r="D243" i="2"/>
  <c r="C243" i="2"/>
  <c r="B243" i="2"/>
  <c r="A243" i="2"/>
  <c r="L242" i="2"/>
  <c r="K242" i="2"/>
  <c r="F242" i="2"/>
  <c r="D242" i="2"/>
  <c r="C242" i="2"/>
  <c r="B242" i="2"/>
  <c r="A242" i="2"/>
  <c r="L241" i="2"/>
  <c r="K241" i="2"/>
  <c r="F241" i="2"/>
  <c r="D241" i="2"/>
  <c r="C241" i="2"/>
  <c r="B241" i="2"/>
  <c r="A241" i="2"/>
  <c r="L240" i="2"/>
  <c r="K240" i="2"/>
  <c r="F240" i="2"/>
  <c r="D240" i="2"/>
  <c r="C240" i="2"/>
  <c r="B240" i="2"/>
  <c r="A240" i="2"/>
  <c r="L239" i="2"/>
  <c r="K239" i="2"/>
  <c r="F239" i="2"/>
  <c r="D239" i="2"/>
  <c r="C239" i="2"/>
  <c r="B239" i="2"/>
  <c r="A239" i="2"/>
  <c r="L238" i="2"/>
  <c r="K238" i="2"/>
  <c r="F238" i="2"/>
  <c r="D238" i="2"/>
  <c r="C238" i="2"/>
  <c r="B238" i="2"/>
  <c r="A238" i="2"/>
  <c r="L237" i="2"/>
  <c r="K237" i="2"/>
  <c r="F237" i="2"/>
  <c r="D237" i="2"/>
  <c r="C237" i="2"/>
  <c r="B237" i="2"/>
  <c r="A237" i="2"/>
  <c r="L236" i="2"/>
  <c r="K236" i="2"/>
  <c r="F236" i="2"/>
  <c r="D236" i="2"/>
  <c r="C236" i="2"/>
  <c r="B236" i="2"/>
  <c r="A236" i="2"/>
  <c r="L235" i="2"/>
  <c r="K235" i="2"/>
  <c r="F235" i="2"/>
  <c r="D235" i="2"/>
  <c r="C235" i="2"/>
  <c r="B235" i="2"/>
  <c r="A235" i="2"/>
  <c r="L234" i="2"/>
  <c r="K234" i="2"/>
  <c r="F234" i="2"/>
  <c r="D234" i="2"/>
  <c r="C234" i="2"/>
  <c r="B234" i="2"/>
  <c r="A234" i="2"/>
  <c r="L233" i="2"/>
  <c r="K233" i="2"/>
  <c r="F233" i="2"/>
  <c r="D233" i="2"/>
  <c r="C233" i="2"/>
  <c r="B233" i="2"/>
  <c r="A233" i="2"/>
  <c r="L232" i="2"/>
  <c r="K232" i="2"/>
  <c r="F232" i="2"/>
  <c r="D232" i="2"/>
  <c r="C232" i="2"/>
  <c r="B232" i="2"/>
  <c r="A232" i="2"/>
  <c r="L231" i="2"/>
  <c r="K231" i="2"/>
  <c r="F231" i="2"/>
  <c r="D231" i="2"/>
  <c r="C231" i="2"/>
  <c r="B231" i="2"/>
  <c r="A231" i="2"/>
  <c r="L230" i="2"/>
  <c r="K230" i="2"/>
  <c r="F230" i="2"/>
  <c r="D230" i="2"/>
  <c r="C230" i="2"/>
  <c r="B230" i="2"/>
  <c r="A230" i="2"/>
  <c r="L229" i="2"/>
  <c r="K229" i="2"/>
  <c r="F229" i="2"/>
  <c r="D229" i="2"/>
  <c r="C229" i="2"/>
  <c r="B229" i="2"/>
  <c r="A229" i="2"/>
  <c r="L228" i="2"/>
  <c r="K228" i="2"/>
  <c r="F228" i="2"/>
  <c r="D228" i="2"/>
  <c r="C228" i="2"/>
  <c r="B228" i="2"/>
  <c r="A228" i="2"/>
  <c r="L227" i="2"/>
  <c r="K227" i="2"/>
  <c r="F227" i="2"/>
  <c r="D227" i="2"/>
  <c r="C227" i="2"/>
  <c r="B227" i="2"/>
  <c r="A227" i="2"/>
  <c r="L226" i="2"/>
  <c r="K226" i="2"/>
  <c r="F226" i="2"/>
  <c r="D226" i="2"/>
  <c r="C226" i="2"/>
  <c r="B226" i="2"/>
  <c r="A226" i="2"/>
  <c r="L225" i="2"/>
  <c r="K225" i="2"/>
  <c r="F225" i="2"/>
  <c r="D225" i="2"/>
  <c r="C225" i="2"/>
  <c r="B225" i="2"/>
  <c r="A225" i="2"/>
  <c r="L224" i="2"/>
  <c r="K224" i="2"/>
  <c r="F224" i="2"/>
  <c r="D224" i="2"/>
  <c r="C224" i="2"/>
  <c r="B224" i="2"/>
  <c r="A224" i="2"/>
  <c r="L223" i="2"/>
  <c r="K223" i="2"/>
  <c r="F223" i="2"/>
  <c r="D223" i="2"/>
  <c r="C223" i="2"/>
  <c r="B223" i="2"/>
  <c r="A223" i="2"/>
  <c r="L222" i="2"/>
  <c r="K222" i="2"/>
  <c r="F222" i="2"/>
  <c r="D222" i="2"/>
  <c r="C222" i="2"/>
  <c r="B222" i="2"/>
  <c r="A222" i="2"/>
  <c r="L221" i="2"/>
  <c r="K221" i="2"/>
  <c r="F221" i="2"/>
  <c r="D221" i="2"/>
  <c r="C221" i="2"/>
  <c r="B221" i="2"/>
  <c r="A221" i="2"/>
  <c r="L220" i="2"/>
  <c r="K220" i="2"/>
  <c r="F220" i="2"/>
  <c r="D220" i="2"/>
  <c r="C220" i="2"/>
  <c r="B220" i="2"/>
  <c r="A220" i="2"/>
  <c r="L219" i="2"/>
  <c r="K219" i="2"/>
  <c r="F219" i="2"/>
  <c r="D219" i="2"/>
  <c r="C219" i="2"/>
  <c r="B219" i="2"/>
  <c r="A219" i="2"/>
  <c r="L218" i="2"/>
  <c r="K218" i="2"/>
  <c r="F218" i="2"/>
  <c r="D218" i="2"/>
  <c r="C218" i="2"/>
  <c r="B218" i="2"/>
  <c r="A218" i="2"/>
  <c r="L217" i="2"/>
  <c r="K217" i="2"/>
  <c r="F217" i="2"/>
  <c r="D217" i="2"/>
  <c r="C217" i="2"/>
  <c r="B217" i="2"/>
  <c r="A217" i="2"/>
  <c r="L216" i="2"/>
  <c r="K216" i="2"/>
  <c r="F216" i="2"/>
  <c r="D216" i="2"/>
  <c r="C216" i="2"/>
  <c r="B216" i="2"/>
  <c r="A216" i="2"/>
  <c r="L215" i="2"/>
  <c r="K215" i="2"/>
  <c r="F215" i="2"/>
  <c r="D215" i="2"/>
  <c r="C215" i="2"/>
  <c r="B215" i="2"/>
  <c r="A215" i="2"/>
  <c r="L214" i="2"/>
  <c r="K214" i="2"/>
  <c r="F214" i="2"/>
  <c r="D214" i="2"/>
  <c r="C214" i="2"/>
  <c r="B214" i="2"/>
  <c r="A214" i="2"/>
  <c r="L213" i="2"/>
  <c r="K213" i="2"/>
  <c r="F213" i="2"/>
  <c r="D213" i="2"/>
  <c r="C213" i="2"/>
  <c r="B213" i="2"/>
  <c r="A213" i="2"/>
  <c r="L212" i="2"/>
  <c r="K212" i="2"/>
  <c r="F212" i="2"/>
  <c r="D212" i="2"/>
  <c r="C212" i="2"/>
  <c r="B212" i="2"/>
  <c r="A212" i="2"/>
  <c r="L211" i="2"/>
  <c r="K211" i="2"/>
  <c r="F211" i="2"/>
  <c r="D211" i="2"/>
  <c r="C211" i="2"/>
  <c r="B211" i="2"/>
  <c r="A211" i="2"/>
  <c r="L210" i="2"/>
  <c r="K210" i="2"/>
  <c r="F210" i="2"/>
  <c r="D210" i="2"/>
  <c r="C210" i="2"/>
  <c r="B210" i="2"/>
  <c r="A210" i="2"/>
  <c r="L209" i="2"/>
  <c r="K209" i="2"/>
  <c r="F209" i="2"/>
  <c r="D209" i="2"/>
  <c r="C209" i="2"/>
  <c r="B209" i="2"/>
  <c r="A209" i="2"/>
  <c r="L208" i="2"/>
  <c r="K208" i="2"/>
  <c r="F208" i="2"/>
  <c r="D208" i="2"/>
  <c r="C208" i="2"/>
  <c r="B208" i="2"/>
  <c r="A208" i="2"/>
  <c r="L207" i="2"/>
  <c r="K207" i="2"/>
  <c r="F207" i="2"/>
  <c r="D207" i="2"/>
  <c r="C207" i="2"/>
  <c r="B207" i="2"/>
  <c r="A207" i="2"/>
  <c r="L206" i="2"/>
  <c r="K206" i="2"/>
  <c r="F206" i="2"/>
  <c r="D206" i="2"/>
  <c r="C206" i="2"/>
  <c r="B206" i="2"/>
  <c r="A206" i="2"/>
  <c r="L205" i="2"/>
  <c r="K205" i="2"/>
  <c r="F205" i="2"/>
  <c r="D205" i="2"/>
  <c r="C205" i="2"/>
  <c r="B205" i="2"/>
  <c r="A205" i="2"/>
  <c r="L204" i="2"/>
  <c r="K204" i="2"/>
  <c r="F204" i="2"/>
  <c r="D204" i="2"/>
  <c r="C204" i="2"/>
  <c r="B204" i="2"/>
  <c r="A204" i="2"/>
  <c r="L203" i="2"/>
  <c r="K203" i="2"/>
  <c r="F203" i="2"/>
  <c r="D203" i="2"/>
  <c r="C203" i="2"/>
  <c r="B203" i="2"/>
  <c r="A203" i="2"/>
  <c r="L202" i="2"/>
  <c r="K202" i="2"/>
  <c r="F202" i="2"/>
  <c r="D202" i="2"/>
  <c r="C202" i="2"/>
  <c r="B202" i="2"/>
  <c r="A202" i="2"/>
  <c r="L201" i="2"/>
  <c r="K201" i="2"/>
  <c r="F201" i="2"/>
  <c r="D201" i="2"/>
  <c r="C201" i="2"/>
  <c r="B201" i="2"/>
  <c r="A201" i="2"/>
  <c r="L200" i="2"/>
  <c r="K200" i="2"/>
  <c r="F200" i="2"/>
  <c r="D200" i="2"/>
  <c r="C200" i="2"/>
  <c r="B200" i="2"/>
  <c r="A200" i="2"/>
  <c r="L199" i="2"/>
  <c r="K199" i="2"/>
  <c r="F199" i="2"/>
  <c r="D199" i="2"/>
  <c r="C199" i="2"/>
  <c r="B199" i="2"/>
  <c r="A199" i="2"/>
  <c r="L198" i="2"/>
  <c r="K198" i="2"/>
  <c r="F198" i="2"/>
  <c r="D198" i="2"/>
  <c r="C198" i="2"/>
  <c r="B198" i="2"/>
  <c r="A198" i="2"/>
  <c r="L197" i="2"/>
  <c r="K197" i="2"/>
  <c r="F197" i="2"/>
  <c r="D197" i="2"/>
  <c r="C197" i="2"/>
  <c r="B197" i="2"/>
  <c r="A197" i="2"/>
  <c r="L196" i="2"/>
  <c r="K196" i="2"/>
  <c r="F196" i="2"/>
  <c r="D196" i="2"/>
  <c r="C196" i="2"/>
  <c r="B196" i="2"/>
  <c r="A196" i="2"/>
  <c r="L195" i="2"/>
  <c r="K195" i="2"/>
  <c r="F195" i="2"/>
  <c r="D195" i="2"/>
  <c r="C195" i="2"/>
  <c r="B195" i="2"/>
  <c r="A195" i="2"/>
  <c r="L194" i="2"/>
  <c r="K194" i="2"/>
  <c r="F194" i="2"/>
  <c r="D194" i="2"/>
  <c r="C194" i="2"/>
  <c r="B194" i="2"/>
  <c r="A194" i="2"/>
  <c r="L193" i="2"/>
  <c r="K193" i="2"/>
  <c r="F193" i="2"/>
  <c r="D193" i="2"/>
  <c r="C193" i="2"/>
  <c r="B193" i="2"/>
  <c r="A193" i="2"/>
  <c r="L192" i="2"/>
  <c r="K192" i="2"/>
  <c r="F192" i="2"/>
  <c r="D192" i="2"/>
  <c r="C192" i="2"/>
  <c r="B192" i="2"/>
  <c r="A192" i="2"/>
  <c r="L191" i="2"/>
  <c r="K191" i="2"/>
  <c r="F191" i="2"/>
  <c r="D191" i="2"/>
  <c r="C191" i="2"/>
  <c r="B191" i="2"/>
  <c r="A191" i="2"/>
  <c r="L190" i="2"/>
  <c r="K190" i="2"/>
  <c r="F190" i="2"/>
  <c r="D190" i="2"/>
  <c r="C190" i="2"/>
  <c r="B190" i="2"/>
  <c r="A190" i="2"/>
  <c r="L189" i="2"/>
  <c r="K189" i="2"/>
  <c r="F189" i="2"/>
  <c r="D189" i="2"/>
  <c r="C189" i="2"/>
  <c r="B189" i="2"/>
  <c r="A189" i="2"/>
  <c r="L188" i="2"/>
  <c r="K188" i="2"/>
  <c r="F188" i="2"/>
  <c r="D188" i="2"/>
  <c r="C188" i="2"/>
  <c r="B188" i="2"/>
  <c r="A188" i="2"/>
  <c r="L187" i="2"/>
  <c r="K187" i="2"/>
  <c r="F187" i="2"/>
  <c r="D187" i="2"/>
  <c r="C187" i="2"/>
  <c r="B187" i="2"/>
  <c r="A187" i="2"/>
  <c r="L186" i="2"/>
  <c r="K186" i="2"/>
  <c r="F186" i="2"/>
  <c r="D186" i="2"/>
  <c r="C186" i="2"/>
  <c r="B186" i="2"/>
  <c r="A186" i="2"/>
  <c r="L185" i="2"/>
  <c r="K185" i="2"/>
  <c r="F185" i="2"/>
  <c r="D185" i="2"/>
  <c r="C185" i="2"/>
  <c r="B185" i="2"/>
  <c r="A185" i="2"/>
  <c r="L184" i="2"/>
  <c r="K184" i="2"/>
  <c r="F184" i="2"/>
  <c r="D184" i="2"/>
  <c r="C184" i="2"/>
  <c r="B184" i="2"/>
  <c r="A184" i="2"/>
  <c r="L183" i="2"/>
  <c r="K183" i="2"/>
  <c r="F183" i="2"/>
  <c r="D183" i="2"/>
  <c r="C183" i="2"/>
  <c r="B183" i="2"/>
  <c r="A183" i="2"/>
  <c r="L182" i="2"/>
  <c r="K182" i="2"/>
  <c r="F182" i="2"/>
  <c r="D182" i="2"/>
  <c r="C182" i="2"/>
  <c r="B182" i="2"/>
  <c r="A182" i="2"/>
  <c r="L181" i="2"/>
  <c r="K181" i="2"/>
  <c r="F181" i="2"/>
  <c r="D181" i="2"/>
  <c r="C181" i="2"/>
  <c r="B181" i="2"/>
  <c r="A181" i="2"/>
  <c r="L180" i="2"/>
  <c r="K180" i="2"/>
  <c r="F180" i="2"/>
  <c r="D180" i="2"/>
  <c r="C180" i="2"/>
  <c r="B180" i="2"/>
  <c r="A180" i="2"/>
  <c r="L179" i="2"/>
  <c r="K179" i="2"/>
  <c r="F179" i="2"/>
  <c r="D179" i="2"/>
  <c r="C179" i="2"/>
  <c r="B179" i="2"/>
  <c r="A179" i="2"/>
  <c r="L178" i="2"/>
  <c r="K178" i="2"/>
  <c r="F178" i="2"/>
  <c r="D178" i="2"/>
  <c r="C178" i="2"/>
  <c r="B178" i="2"/>
  <c r="A178" i="2"/>
  <c r="L177" i="2"/>
  <c r="K177" i="2"/>
  <c r="F177" i="2"/>
  <c r="D177" i="2"/>
  <c r="C177" i="2"/>
  <c r="B177" i="2"/>
  <c r="A177" i="2"/>
  <c r="L176" i="2"/>
  <c r="K176" i="2"/>
  <c r="F176" i="2"/>
  <c r="D176" i="2"/>
  <c r="C176" i="2"/>
  <c r="B176" i="2"/>
  <c r="A176" i="2"/>
  <c r="L175" i="2"/>
  <c r="K175" i="2"/>
  <c r="F175" i="2"/>
  <c r="D175" i="2"/>
  <c r="C175" i="2"/>
  <c r="B175" i="2"/>
  <c r="A175" i="2"/>
  <c r="L174" i="2"/>
  <c r="K174" i="2"/>
  <c r="F174" i="2"/>
  <c r="D174" i="2"/>
  <c r="C174" i="2"/>
  <c r="B174" i="2"/>
  <c r="A174" i="2"/>
  <c r="L173" i="2"/>
  <c r="K173" i="2"/>
  <c r="F173" i="2"/>
  <c r="D173" i="2"/>
  <c r="C173" i="2"/>
  <c r="B173" i="2"/>
  <c r="A173" i="2"/>
  <c r="L172" i="2"/>
  <c r="K172" i="2"/>
  <c r="F172" i="2"/>
  <c r="D172" i="2"/>
  <c r="C172" i="2"/>
  <c r="B172" i="2"/>
  <c r="A172" i="2"/>
  <c r="L171" i="2"/>
  <c r="K171" i="2"/>
  <c r="F171" i="2"/>
  <c r="D171" i="2"/>
  <c r="C171" i="2"/>
  <c r="B171" i="2"/>
  <c r="A171" i="2"/>
  <c r="L170" i="2"/>
  <c r="K170" i="2"/>
  <c r="F170" i="2"/>
  <c r="D170" i="2"/>
  <c r="C170" i="2"/>
  <c r="B170" i="2"/>
  <c r="A170" i="2"/>
  <c r="L169" i="2"/>
  <c r="K169" i="2"/>
  <c r="F169" i="2"/>
  <c r="D169" i="2"/>
  <c r="C169" i="2"/>
  <c r="B169" i="2"/>
  <c r="A169" i="2"/>
  <c r="L168" i="2"/>
  <c r="K168" i="2"/>
  <c r="F168" i="2"/>
  <c r="D168" i="2"/>
  <c r="C168" i="2"/>
  <c r="B168" i="2"/>
  <c r="A168" i="2"/>
  <c r="L167" i="2"/>
  <c r="K167" i="2"/>
  <c r="F167" i="2"/>
  <c r="D167" i="2"/>
  <c r="C167" i="2"/>
  <c r="B167" i="2"/>
  <c r="A167" i="2"/>
  <c r="L166" i="2"/>
  <c r="K166" i="2"/>
  <c r="F166" i="2"/>
  <c r="D166" i="2"/>
  <c r="C166" i="2"/>
  <c r="B166" i="2"/>
  <c r="A166" i="2"/>
  <c r="L165" i="2"/>
  <c r="K165" i="2"/>
  <c r="F165" i="2"/>
  <c r="D165" i="2"/>
  <c r="C165" i="2"/>
  <c r="B165" i="2"/>
  <c r="A165" i="2"/>
  <c r="L164" i="2"/>
  <c r="K164" i="2"/>
  <c r="F164" i="2"/>
  <c r="D164" i="2"/>
  <c r="C164" i="2"/>
  <c r="B164" i="2"/>
  <c r="A164" i="2"/>
  <c r="L163" i="2"/>
  <c r="K163" i="2"/>
  <c r="F163" i="2"/>
  <c r="D163" i="2"/>
  <c r="C163" i="2"/>
  <c r="B163" i="2"/>
  <c r="A163" i="2"/>
  <c r="L162" i="2"/>
  <c r="K162" i="2"/>
  <c r="F162" i="2"/>
  <c r="D162" i="2"/>
  <c r="C162" i="2"/>
  <c r="B162" i="2"/>
  <c r="A162" i="2"/>
  <c r="L161" i="2"/>
  <c r="K161" i="2"/>
  <c r="F161" i="2"/>
  <c r="D161" i="2"/>
  <c r="C161" i="2"/>
  <c r="B161" i="2"/>
  <c r="A161" i="2"/>
  <c r="L160" i="2"/>
  <c r="K160" i="2"/>
  <c r="F160" i="2"/>
  <c r="D160" i="2"/>
  <c r="C160" i="2"/>
  <c r="B160" i="2"/>
  <c r="A160" i="2"/>
  <c r="L159" i="2"/>
  <c r="K159" i="2"/>
  <c r="F159" i="2"/>
  <c r="D159" i="2"/>
  <c r="C159" i="2"/>
  <c r="B159" i="2"/>
  <c r="A159" i="2"/>
  <c r="L158" i="2"/>
  <c r="K158" i="2"/>
  <c r="F158" i="2"/>
  <c r="D158" i="2"/>
  <c r="C158" i="2"/>
  <c r="B158" i="2"/>
  <c r="A158" i="2"/>
  <c r="L157" i="2"/>
  <c r="K157" i="2"/>
  <c r="F157" i="2"/>
  <c r="D157" i="2"/>
  <c r="C157" i="2"/>
  <c r="B157" i="2"/>
  <c r="A157" i="2"/>
  <c r="L156" i="2"/>
  <c r="K156" i="2"/>
  <c r="F156" i="2"/>
  <c r="D156" i="2"/>
  <c r="C156" i="2"/>
  <c r="B156" i="2"/>
  <c r="A156" i="2"/>
  <c r="L155" i="2"/>
  <c r="K155" i="2"/>
  <c r="F155" i="2"/>
  <c r="D155" i="2"/>
  <c r="C155" i="2"/>
  <c r="B155" i="2"/>
  <c r="A155" i="2"/>
  <c r="L154" i="2"/>
  <c r="K154" i="2"/>
  <c r="F154" i="2"/>
  <c r="D154" i="2"/>
  <c r="C154" i="2"/>
  <c r="B154" i="2"/>
  <c r="A154" i="2"/>
  <c r="L153" i="2"/>
  <c r="K153" i="2"/>
  <c r="F153" i="2"/>
  <c r="D153" i="2"/>
  <c r="C153" i="2"/>
  <c r="B153" i="2"/>
  <c r="A153" i="2"/>
  <c r="L152" i="2"/>
  <c r="K152" i="2"/>
  <c r="F152" i="2"/>
  <c r="D152" i="2"/>
  <c r="C152" i="2"/>
  <c r="B152" i="2"/>
  <c r="A152" i="2"/>
  <c r="L151" i="2"/>
  <c r="K151" i="2"/>
  <c r="F151" i="2"/>
  <c r="D151" i="2"/>
  <c r="C151" i="2"/>
  <c r="B151" i="2"/>
  <c r="A151" i="2"/>
  <c r="L150" i="2"/>
  <c r="K150" i="2"/>
  <c r="F150" i="2"/>
  <c r="D150" i="2"/>
  <c r="C150" i="2"/>
  <c r="B150" i="2"/>
  <c r="A150" i="2"/>
  <c r="L149" i="2"/>
  <c r="K149" i="2"/>
  <c r="F149" i="2"/>
  <c r="D149" i="2"/>
  <c r="C149" i="2"/>
  <c r="B149" i="2"/>
  <c r="A149" i="2"/>
  <c r="L148" i="2"/>
  <c r="K148" i="2"/>
  <c r="F148" i="2"/>
  <c r="D148" i="2"/>
  <c r="C148" i="2"/>
  <c r="B148" i="2"/>
  <c r="A148" i="2"/>
  <c r="L147" i="2"/>
  <c r="K147" i="2"/>
  <c r="F147" i="2"/>
  <c r="D147" i="2"/>
  <c r="C147" i="2"/>
  <c r="B147" i="2"/>
  <c r="A147" i="2"/>
  <c r="L146" i="2"/>
  <c r="K146" i="2"/>
  <c r="F146" i="2"/>
  <c r="D146" i="2"/>
  <c r="C146" i="2"/>
  <c r="B146" i="2"/>
  <c r="A146" i="2"/>
  <c r="L145" i="2"/>
  <c r="K145" i="2"/>
  <c r="F145" i="2"/>
  <c r="D145" i="2"/>
  <c r="C145" i="2"/>
  <c r="B145" i="2"/>
  <c r="A145" i="2"/>
  <c r="L144" i="2"/>
  <c r="K144" i="2"/>
  <c r="F144" i="2"/>
  <c r="D144" i="2"/>
  <c r="C144" i="2"/>
  <c r="B144" i="2"/>
  <c r="A144" i="2"/>
  <c r="L143" i="2"/>
  <c r="K143" i="2"/>
  <c r="F143" i="2"/>
  <c r="D143" i="2"/>
  <c r="C143" i="2"/>
  <c r="B143" i="2"/>
  <c r="A143" i="2"/>
  <c r="L142" i="2"/>
  <c r="K142" i="2"/>
  <c r="F142" i="2"/>
  <c r="D142" i="2"/>
  <c r="C142" i="2"/>
  <c r="B142" i="2"/>
  <c r="A142" i="2"/>
  <c r="L141" i="2"/>
  <c r="K141" i="2"/>
  <c r="F141" i="2"/>
  <c r="D141" i="2"/>
  <c r="C141" i="2"/>
  <c r="B141" i="2"/>
  <c r="A141" i="2"/>
  <c r="L140" i="2"/>
  <c r="K140" i="2"/>
  <c r="F140" i="2"/>
  <c r="D140" i="2"/>
  <c r="C140" i="2"/>
  <c r="B140" i="2"/>
  <c r="A140" i="2"/>
  <c r="L139" i="2"/>
  <c r="K139" i="2"/>
  <c r="F139" i="2"/>
  <c r="D139" i="2"/>
  <c r="C139" i="2"/>
  <c r="B139" i="2"/>
  <c r="A139" i="2"/>
  <c r="L138" i="2"/>
  <c r="K138" i="2"/>
  <c r="F138" i="2"/>
  <c r="D138" i="2"/>
  <c r="C138" i="2"/>
  <c r="B138" i="2"/>
  <c r="A138" i="2"/>
  <c r="L137" i="2"/>
  <c r="K137" i="2"/>
  <c r="F137" i="2"/>
  <c r="D137" i="2"/>
  <c r="C137" i="2"/>
  <c r="B137" i="2"/>
  <c r="A137" i="2"/>
  <c r="L136" i="2"/>
  <c r="K136" i="2"/>
  <c r="F136" i="2"/>
  <c r="D136" i="2"/>
  <c r="C136" i="2"/>
  <c r="B136" i="2"/>
  <c r="A136" i="2"/>
  <c r="L135" i="2"/>
  <c r="K135" i="2"/>
  <c r="F135" i="2"/>
  <c r="D135" i="2"/>
  <c r="C135" i="2"/>
  <c r="B135" i="2"/>
  <c r="A135" i="2"/>
  <c r="L134" i="2"/>
  <c r="K134" i="2"/>
  <c r="F134" i="2"/>
  <c r="D134" i="2"/>
  <c r="C134" i="2"/>
  <c r="B134" i="2"/>
  <c r="A134" i="2"/>
  <c r="L133" i="2"/>
  <c r="K133" i="2"/>
  <c r="F133" i="2"/>
  <c r="D133" i="2"/>
  <c r="C133" i="2"/>
  <c r="B133" i="2"/>
  <c r="A133" i="2"/>
  <c r="L132" i="2"/>
  <c r="K132" i="2"/>
  <c r="F132" i="2"/>
  <c r="D132" i="2"/>
  <c r="C132" i="2"/>
  <c r="B132" i="2"/>
  <c r="A132" i="2"/>
  <c r="L131" i="2"/>
  <c r="K131" i="2"/>
  <c r="F131" i="2"/>
  <c r="D131" i="2"/>
  <c r="C131" i="2"/>
  <c r="B131" i="2"/>
  <c r="A131" i="2"/>
  <c r="L130" i="2"/>
  <c r="K130" i="2"/>
  <c r="F130" i="2"/>
  <c r="D130" i="2"/>
  <c r="C130" i="2"/>
  <c r="B130" i="2"/>
  <c r="A130" i="2"/>
  <c r="L129" i="2"/>
  <c r="K129" i="2"/>
  <c r="F129" i="2"/>
  <c r="D129" i="2"/>
  <c r="C129" i="2"/>
  <c r="B129" i="2"/>
  <c r="A129" i="2"/>
  <c r="L128" i="2"/>
  <c r="K128" i="2"/>
  <c r="F128" i="2"/>
  <c r="D128" i="2"/>
  <c r="C128" i="2"/>
  <c r="B128" i="2"/>
  <c r="A128" i="2"/>
  <c r="L127" i="2"/>
  <c r="K127" i="2"/>
  <c r="F127" i="2"/>
  <c r="D127" i="2"/>
  <c r="C127" i="2"/>
  <c r="B127" i="2"/>
  <c r="A127" i="2"/>
  <c r="L126" i="2"/>
  <c r="K126" i="2"/>
  <c r="F126" i="2"/>
  <c r="D126" i="2"/>
  <c r="C126" i="2"/>
  <c r="B126" i="2"/>
  <c r="A126" i="2"/>
  <c r="L125" i="2"/>
  <c r="K125" i="2"/>
  <c r="F125" i="2"/>
  <c r="D125" i="2"/>
  <c r="C125" i="2"/>
  <c r="B125" i="2"/>
  <c r="A125" i="2"/>
  <c r="L124" i="2"/>
  <c r="K124" i="2"/>
  <c r="F124" i="2"/>
  <c r="D124" i="2"/>
  <c r="C124" i="2"/>
  <c r="B124" i="2"/>
  <c r="A124" i="2"/>
  <c r="L123" i="2"/>
  <c r="K123" i="2"/>
  <c r="F123" i="2"/>
  <c r="D123" i="2"/>
  <c r="C123" i="2"/>
  <c r="B123" i="2"/>
  <c r="A123" i="2"/>
  <c r="L122" i="2"/>
  <c r="K122" i="2"/>
  <c r="F122" i="2"/>
  <c r="D122" i="2"/>
  <c r="C122" i="2"/>
  <c r="B122" i="2"/>
  <c r="A122" i="2"/>
  <c r="L121" i="2"/>
  <c r="K121" i="2"/>
  <c r="F121" i="2"/>
  <c r="D121" i="2"/>
  <c r="C121" i="2"/>
  <c r="B121" i="2"/>
  <c r="A121" i="2"/>
  <c r="L120" i="2"/>
  <c r="K120" i="2"/>
  <c r="F120" i="2"/>
  <c r="D120" i="2"/>
  <c r="C120" i="2"/>
  <c r="B120" i="2"/>
  <c r="A120" i="2"/>
  <c r="L119" i="2"/>
  <c r="K119" i="2"/>
  <c r="F119" i="2"/>
  <c r="D119" i="2"/>
  <c r="C119" i="2"/>
  <c r="B119" i="2"/>
  <c r="A119" i="2"/>
  <c r="L118" i="2"/>
  <c r="K118" i="2"/>
  <c r="F118" i="2"/>
  <c r="D118" i="2"/>
  <c r="C118" i="2"/>
  <c r="B118" i="2"/>
  <c r="A118" i="2"/>
  <c r="L117" i="2"/>
  <c r="K117" i="2"/>
  <c r="F117" i="2"/>
  <c r="D117" i="2"/>
  <c r="C117" i="2"/>
  <c r="B117" i="2"/>
  <c r="A117" i="2"/>
  <c r="L116" i="2"/>
  <c r="K116" i="2"/>
  <c r="F116" i="2"/>
  <c r="D116" i="2"/>
  <c r="C116" i="2"/>
  <c r="B116" i="2"/>
  <c r="A116" i="2"/>
  <c r="L115" i="2"/>
  <c r="K115" i="2"/>
  <c r="F115" i="2"/>
  <c r="D115" i="2"/>
  <c r="C115" i="2"/>
  <c r="B115" i="2"/>
  <c r="A115" i="2"/>
  <c r="L114" i="2"/>
  <c r="K114" i="2"/>
  <c r="F114" i="2"/>
  <c r="D114" i="2"/>
  <c r="C114" i="2"/>
  <c r="B114" i="2"/>
  <c r="A114" i="2"/>
  <c r="L113" i="2"/>
  <c r="K113" i="2"/>
  <c r="F113" i="2"/>
  <c r="D113" i="2"/>
  <c r="C113" i="2"/>
  <c r="B113" i="2"/>
  <c r="A113" i="2"/>
  <c r="L112" i="2"/>
  <c r="K112" i="2"/>
  <c r="F112" i="2"/>
  <c r="D112" i="2"/>
  <c r="C112" i="2"/>
  <c r="B112" i="2"/>
  <c r="A112" i="2"/>
  <c r="L111" i="2"/>
  <c r="K111" i="2"/>
  <c r="F111" i="2"/>
  <c r="D111" i="2"/>
  <c r="C111" i="2"/>
  <c r="B111" i="2"/>
  <c r="A111" i="2"/>
  <c r="L110" i="2"/>
  <c r="K110" i="2"/>
  <c r="F110" i="2"/>
  <c r="D110" i="2"/>
  <c r="C110" i="2"/>
  <c r="B110" i="2"/>
  <c r="A110" i="2"/>
  <c r="L109" i="2"/>
  <c r="K109" i="2"/>
  <c r="F109" i="2"/>
  <c r="D109" i="2"/>
  <c r="C109" i="2"/>
  <c r="B109" i="2"/>
  <c r="A109" i="2"/>
  <c r="L108" i="2"/>
  <c r="K108" i="2"/>
  <c r="F108" i="2"/>
  <c r="D108" i="2"/>
  <c r="C108" i="2"/>
  <c r="B108" i="2"/>
  <c r="A108" i="2"/>
  <c r="L107" i="2"/>
  <c r="K107" i="2"/>
  <c r="F107" i="2"/>
  <c r="D107" i="2"/>
  <c r="C107" i="2"/>
  <c r="B107" i="2"/>
  <c r="A107" i="2"/>
  <c r="L106" i="2"/>
  <c r="K106" i="2"/>
  <c r="F106" i="2"/>
  <c r="D106" i="2"/>
  <c r="C106" i="2"/>
  <c r="B106" i="2"/>
  <c r="A106" i="2"/>
  <c r="L105" i="2"/>
  <c r="K105" i="2"/>
  <c r="F105" i="2"/>
  <c r="D105" i="2"/>
  <c r="C105" i="2"/>
  <c r="B105" i="2"/>
  <c r="A105" i="2"/>
  <c r="L104" i="2"/>
  <c r="K104" i="2"/>
  <c r="F104" i="2"/>
  <c r="D104" i="2"/>
  <c r="C104" i="2"/>
  <c r="B104" i="2"/>
  <c r="A104" i="2"/>
  <c r="L103" i="2"/>
  <c r="K103" i="2"/>
  <c r="F103" i="2"/>
  <c r="D103" i="2"/>
  <c r="C103" i="2"/>
  <c r="B103" i="2"/>
  <c r="A103" i="2"/>
  <c r="L102" i="2"/>
  <c r="K102" i="2"/>
  <c r="F102" i="2"/>
  <c r="D102" i="2"/>
  <c r="C102" i="2"/>
  <c r="B102" i="2"/>
  <c r="A102" i="2"/>
  <c r="L101" i="2"/>
  <c r="K101" i="2"/>
  <c r="F101" i="2"/>
  <c r="D101" i="2"/>
  <c r="C101" i="2"/>
  <c r="B101" i="2"/>
  <c r="A101" i="2"/>
  <c r="L100" i="2"/>
  <c r="K100" i="2"/>
  <c r="F100" i="2"/>
  <c r="D100" i="2"/>
  <c r="C100" i="2"/>
  <c r="B100" i="2"/>
  <c r="A100" i="2"/>
  <c r="L99" i="2"/>
  <c r="K99" i="2"/>
  <c r="F99" i="2"/>
  <c r="D99" i="2"/>
  <c r="C99" i="2"/>
  <c r="B99" i="2"/>
  <c r="A99" i="2"/>
  <c r="L98" i="2"/>
  <c r="K98" i="2"/>
  <c r="F98" i="2"/>
  <c r="D98" i="2"/>
  <c r="C98" i="2"/>
  <c r="B98" i="2"/>
  <c r="A98" i="2"/>
  <c r="L97" i="2"/>
  <c r="K97" i="2"/>
  <c r="F97" i="2"/>
  <c r="D97" i="2"/>
  <c r="C97" i="2"/>
  <c r="B97" i="2"/>
  <c r="A97" i="2"/>
  <c r="L96" i="2"/>
  <c r="K96" i="2"/>
  <c r="F96" i="2"/>
  <c r="D96" i="2"/>
  <c r="C96" i="2"/>
  <c r="B96" i="2"/>
  <c r="A96" i="2"/>
  <c r="L95" i="2"/>
  <c r="K95" i="2"/>
  <c r="F95" i="2"/>
  <c r="D95" i="2"/>
  <c r="C95" i="2"/>
  <c r="B95" i="2"/>
  <c r="A95" i="2"/>
  <c r="L94" i="2"/>
  <c r="K94" i="2"/>
  <c r="F94" i="2"/>
  <c r="D94" i="2"/>
  <c r="C94" i="2"/>
  <c r="B94" i="2"/>
  <c r="A94" i="2"/>
  <c r="L93" i="2"/>
  <c r="K93" i="2"/>
  <c r="F93" i="2"/>
  <c r="D93" i="2"/>
  <c r="C93" i="2"/>
  <c r="B93" i="2"/>
  <c r="A93" i="2"/>
  <c r="L92" i="2"/>
  <c r="K92" i="2"/>
  <c r="F92" i="2"/>
  <c r="D92" i="2"/>
  <c r="C92" i="2"/>
  <c r="B92" i="2"/>
  <c r="A92" i="2"/>
  <c r="L91" i="2"/>
  <c r="K91" i="2"/>
  <c r="F91" i="2"/>
  <c r="D91" i="2"/>
  <c r="C91" i="2"/>
  <c r="B91" i="2"/>
  <c r="A91" i="2"/>
  <c r="L90" i="2"/>
  <c r="K90" i="2"/>
  <c r="F90" i="2"/>
  <c r="D90" i="2"/>
  <c r="C90" i="2"/>
  <c r="B90" i="2"/>
  <c r="A90" i="2"/>
  <c r="L89" i="2"/>
  <c r="K89" i="2"/>
  <c r="F89" i="2"/>
  <c r="D89" i="2"/>
  <c r="C89" i="2"/>
  <c r="B89" i="2"/>
  <c r="A89" i="2"/>
  <c r="L88" i="2"/>
  <c r="K88" i="2"/>
  <c r="F88" i="2"/>
  <c r="D88" i="2"/>
  <c r="C88" i="2"/>
  <c r="B88" i="2"/>
  <c r="A88" i="2"/>
  <c r="L87" i="2"/>
  <c r="K87" i="2"/>
  <c r="F87" i="2"/>
  <c r="D87" i="2"/>
  <c r="C87" i="2"/>
  <c r="B87" i="2"/>
  <c r="A87" i="2"/>
  <c r="L86" i="2"/>
  <c r="K86" i="2"/>
  <c r="F86" i="2"/>
  <c r="D86" i="2"/>
  <c r="C86" i="2"/>
  <c r="B86" i="2"/>
  <c r="A86" i="2"/>
  <c r="L85" i="2"/>
  <c r="K85" i="2"/>
  <c r="F85" i="2"/>
  <c r="D85" i="2"/>
  <c r="C85" i="2"/>
  <c r="B85" i="2"/>
  <c r="A85" i="2"/>
  <c r="L84" i="2"/>
  <c r="K84" i="2"/>
  <c r="F84" i="2"/>
  <c r="D84" i="2"/>
  <c r="C84" i="2"/>
  <c r="B84" i="2"/>
  <c r="A84" i="2"/>
  <c r="L83" i="2"/>
  <c r="K83" i="2"/>
  <c r="F83" i="2"/>
  <c r="D83" i="2"/>
  <c r="C83" i="2"/>
  <c r="B83" i="2"/>
  <c r="A83" i="2"/>
  <c r="L82" i="2"/>
  <c r="K82" i="2"/>
  <c r="F82" i="2"/>
  <c r="D82" i="2"/>
  <c r="C82" i="2"/>
  <c r="B82" i="2"/>
  <c r="A82" i="2"/>
  <c r="L81" i="2"/>
  <c r="K81" i="2"/>
  <c r="F81" i="2"/>
  <c r="D81" i="2"/>
  <c r="C81" i="2"/>
  <c r="B81" i="2"/>
  <c r="A81" i="2"/>
  <c r="L80" i="2"/>
  <c r="K80" i="2"/>
  <c r="F80" i="2"/>
  <c r="D80" i="2"/>
  <c r="C80" i="2"/>
  <c r="B80" i="2"/>
  <c r="A80" i="2"/>
  <c r="L79" i="2"/>
  <c r="K79" i="2"/>
  <c r="F79" i="2"/>
  <c r="D79" i="2"/>
  <c r="C79" i="2"/>
  <c r="B79" i="2"/>
  <c r="A79" i="2"/>
  <c r="L78" i="2"/>
  <c r="K78" i="2"/>
  <c r="F78" i="2"/>
  <c r="D78" i="2"/>
  <c r="C78" i="2"/>
  <c r="B78" i="2"/>
  <c r="A78" i="2"/>
  <c r="L77" i="2"/>
  <c r="K77" i="2"/>
  <c r="F77" i="2"/>
  <c r="D77" i="2"/>
  <c r="C77" i="2"/>
  <c r="B77" i="2"/>
  <c r="A77" i="2"/>
  <c r="L76" i="2"/>
  <c r="K76" i="2"/>
  <c r="F76" i="2"/>
  <c r="D76" i="2"/>
  <c r="C76" i="2"/>
  <c r="B76" i="2"/>
  <c r="A76" i="2"/>
  <c r="L75" i="2"/>
  <c r="K75" i="2"/>
  <c r="F75" i="2"/>
  <c r="D75" i="2"/>
  <c r="C75" i="2"/>
  <c r="B75" i="2"/>
  <c r="A75" i="2"/>
  <c r="L74" i="2"/>
  <c r="K74" i="2"/>
  <c r="F74" i="2"/>
  <c r="D74" i="2"/>
  <c r="C74" i="2"/>
  <c r="B74" i="2"/>
  <c r="A74" i="2"/>
  <c r="L73" i="2"/>
  <c r="K73" i="2"/>
  <c r="F73" i="2"/>
  <c r="D73" i="2"/>
  <c r="C73" i="2"/>
  <c r="B73" i="2"/>
  <c r="A73" i="2"/>
  <c r="L72" i="2"/>
  <c r="K72" i="2"/>
  <c r="F72" i="2"/>
  <c r="D72" i="2"/>
  <c r="C72" i="2"/>
  <c r="B72" i="2"/>
  <c r="A72" i="2"/>
  <c r="L71" i="2"/>
  <c r="K71" i="2"/>
  <c r="F71" i="2"/>
  <c r="D71" i="2"/>
  <c r="C71" i="2"/>
  <c r="B71" i="2"/>
  <c r="A71" i="2"/>
  <c r="L70" i="2"/>
  <c r="K70" i="2"/>
  <c r="F70" i="2"/>
  <c r="D70" i="2"/>
  <c r="C70" i="2"/>
  <c r="B70" i="2"/>
  <c r="A70" i="2"/>
  <c r="L69" i="2"/>
  <c r="K69" i="2"/>
  <c r="F69" i="2"/>
  <c r="D69" i="2"/>
  <c r="C69" i="2"/>
  <c r="B69" i="2"/>
  <c r="A69" i="2"/>
  <c r="L68" i="2"/>
  <c r="K68" i="2"/>
  <c r="F68" i="2"/>
  <c r="D68" i="2"/>
  <c r="C68" i="2"/>
  <c r="B68" i="2"/>
  <c r="A68" i="2"/>
  <c r="L67" i="2"/>
  <c r="K67" i="2"/>
  <c r="F67" i="2"/>
  <c r="D67" i="2"/>
  <c r="C67" i="2"/>
  <c r="B67" i="2"/>
  <c r="A67" i="2"/>
  <c r="L66" i="2"/>
  <c r="K66" i="2"/>
  <c r="F66" i="2"/>
  <c r="D66" i="2"/>
  <c r="C66" i="2"/>
  <c r="B66" i="2"/>
  <c r="A66" i="2"/>
  <c r="L65" i="2"/>
  <c r="K65" i="2"/>
  <c r="F65" i="2"/>
  <c r="D65" i="2"/>
  <c r="C65" i="2"/>
  <c r="B65" i="2"/>
  <c r="A65" i="2"/>
  <c r="L64" i="2"/>
  <c r="K64" i="2"/>
  <c r="F64" i="2"/>
  <c r="D64" i="2"/>
  <c r="C64" i="2"/>
  <c r="B64" i="2"/>
  <c r="A64" i="2"/>
  <c r="L63" i="2"/>
  <c r="K63" i="2"/>
  <c r="F63" i="2"/>
  <c r="D63" i="2"/>
  <c r="C63" i="2"/>
  <c r="B63" i="2"/>
  <c r="A63" i="2"/>
  <c r="L62" i="2"/>
  <c r="K62" i="2"/>
  <c r="F62" i="2"/>
  <c r="D62" i="2"/>
  <c r="C62" i="2"/>
  <c r="B62" i="2"/>
  <c r="A62" i="2"/>
  <c r="L61" i="2"/>
  <c r="K61" i="2"/>
  <c r="F61" i="2"/>
  <c r="D61" i="2"/>
  <c r="C61" i="2"/>
  <c r="B61" i="2"/>
  <c r="A61" i="2"/>
  <c r="L60" i="2"/>
  <c r="K60" i="2"/>
  <c r="F60" i="2"/>
  <c r="D60" i="2"/>
  <c r="C60" i="2"/>
  <c r="B60" i="2"/>
  <c r="A60" i="2"/>
  <c r="L59" i="2"/>
  <c r="K59" i="2"/>
  <c r="F59" i="2"/>
  <c r="D59" i="2"/>
  <c r="C59" i="2"/>
  <c r="B59" i="2"/>
  <c r="A59" i="2"/>
  <c r="L58" i="2"/>
  <c r="K58" i="2"/>
  <c r="F58" i="2"/>
  <c r="D58" i="2"/>
  <c r="C58" i="2"/>
  <c r="B58" i="2"/>
  <c r="A58" i="2"/>
  <c r="L57" i="2"/>
  <c r="K57" i="2"/>
  <c r="F57" i="2"/>
  <c r="D57" i="2"/>
  <c r="C57" i="2"/>
  <c r="B57" i="2"/>
  <c r="A57" i="2"/>
  <c r="L56" i="2"/>
  <c r="K56" i="2"/>
  <c r="F56" i="2"/>
  <c r="D56" i="2"/>
  <c r="C56" i="2"/>
  <c r="B56" i="2"/>
  <c r="A56" i="2"/>
  <c r="L55" i="2"/>
  <c r="K55" i="2"/>
  <c r="F55" i="2"/>
  <c r="D55" i="2"/>
  <c r="C55" i="2"/>
  <c r="B55" i="2"/>
  <c r="A55" i="2"/>
  <c r="L54" i="2"/>
  <c r="K54" i="2"/>
  <c r="F54" i="2"/>
  <c r="D54" i="2"/>
  <c r="C54" i="2"/>
  <c r="B54" i="2"/>
  <c r="A54" i="2"/>
  <c r="L53" i="2"/>
  <c r="K53" i="2"/>
  <c r="F53" i="2"/>
  <c r="D53" i="2"/>
  <c r="C53" i="2"/>
  <c r="B53" i="2"/>
  <c r="A53" i="2"/>
  <c r="L52" i="2"/>
  <c r="K52" i="2"/>
  <c r="F52" i="2"/>
  <c r="D52" i="2"/>
  <c r="C52" i="2"/>
  <c r="B52" i="2"/>
  <c r="A52" i="2"/>
  <c r="L51" i="2"/>
  <c r="K51" i="2"/>
  <c r="F51" i="2"/>
  <c r="D51" i="2"/>
  <c r="C51" i="2"/>
  <c r="B51" i="2"/>
  <c r="A51" i="2"/>
  <c r="L50" i="2"/>
  <c r="K50" i="2"/>
  <c r="F50" i="2"/>
  <c r="D50" i="2"/>
  <c r="C50" i="2"/>
  <c r="B50" i="2"/>
  <c r="A50" i="2"/>
  <c r="L49" i="2"/>
  <c r="K49" i="2"/>
  <c r="F49" i="2"/>
  <c r="D49" i="2"/>
  <c r="C49" i="2"/>
  <c r="B49" i="2"/>
  <c r="A49" i="2"/>
  <c r="L48" i="2"/>
  <c r="K48" i="2"/>
  <c r="F48" i="2"/>
  <c r="D48" i="2"/>
  <c r="C48" i="2"/>
  <c r="B48" i="2"/>
  <c r="A48" i="2"/>
  <c r="L47" i="2"/>
  <c r="K47" i="2"/>
  <c r="F47" i="2"/>
  <c r="D47" i="2"/>
  <c r="C47" i="2"/>
  <c r="B47" i="2"/>
  <c r="A47" i="2"/>
  <c r="L46" i="2"/>
  <c r="K46" i="2"/>
  <c r="F46" i="2"/>
  <c r="D46" i="2"/>
  <c r="C46" i="2"/>
  <c r="B46" i="2"/>
  <c r="A46" i="2"/>
  <c r="L45" i="2"/>
  <c r="K45" i="2"/>
  <c r="F45" i="2"/>
  <c r="D45" i="2"/>
  <c r="C45" i="2"/>
  <c r="B45" i="2"/>
  <c r="A45" i="2"/>
  <c r="L44" i="2"/>
  <c r="K44" i="2"/>
  <c r="F44" i="2"/>
  <c r="D44" i="2"/>
  <c r="C44" i="2"/>
  <c r="B44" i="2"/>
  <c r="A44" i="2"/>
  <c r="L43" i="2"/>
  <c r="K43" i="2"/>
  <c r="F43" i="2"/>
  <c r="D43" i="2"/>
  <c r="C43" i="2"/>
  <c r="B43" i="2"/>
  <c r="A43" i="2"/>
  <c r="L42" i="2"/>
  <c r="K42" i="2"/>
  <c r="F42" i="2"/>
  <c r="D42" i="2"/>
  <c r="C42" i="2"/>
  <c r="B42" i="2"/>
  <c r="A42" i="2"/>
  <c r="L41" i="2"/>
  <c r="K41" i="2"/>
  <c r="F41" i="2"/>
  <c r="D41" i="2"/>
  <c r="C41" i="2"/>
  <c r="B41" i="2"/>
  <c r="A41" i="2"/>
  <c r="L40" i="2"/>
  <c r="K40" i="2"/>
  <c r="F40" i="2"/>
  <c r="D40" i="2"/>
  <c r="C40" i="2"/>
  <c r="B40" i="2"/>
  <c r="A40" i="2"/>
  <c r="L39" i="2"/>
  <c r="K39" i="2"/>
  <c r="F39" i="2"/>
  <c r="D39" i="2"/>
  <c r="C39" i="2"/>
  <c r="B39" i="2"/>
  <c r="A39" i="2"/>
  <c r="L38" i="2"/>
  <c r="K38" i="2"/>
  <c r="F38" i="2"/>
  <c r="D38" i="2"/>
  <c r="C38" i="2"/>
  <c r="B38" i="2"/>
  <c r="A38" i="2"/>
  <c r="L37" i="2"/>
  <c r="K37" i="2"/>
  <c r="F37" i="2"/>
  <c r="D37" i="2"/>
  <c r="C37" i="2"/>
  <c r="B37" i="2"/>
  <c r="A37" i="2"/>
  <c r="L36" i="2"/>
  <c r="K36" i="2"/>
  <c r="F36" i="2"/>
  <c r="D36" i="2"/>
  <c r="C36" i="2"/>
  <c r="B36" i="2"/>
  <c r="A36" i="2"/>
  <c r="L35" i="2"/>
  <c r="K35" i="2"/>
  <c r="F35" i="2"/>
  <c r="D35" i="2"/>
  <c r="C35" i="2"/>
  <c r="B35" i="2"/>
  <c r="A35" i="2"/>
  <c r="L34" i="2"/>
  <c r="K34" i="2"/>
  <c r="F34" i="2"/>
  <c r="D34" i="2"/>
  <c r="C34" i="2"/>
  <c r="B34" i="2"/>
  <c r="A34" i="2"/>
  <c r="L33" i="2"/>
  <c r="K33" i="2"/>
  <c r="F33" i="2"/>
  <c r="D33" i="2"/>
  <c r="C33" i="2"/>
  <c r="B33" i="2"/>
  <c r="A33" i="2"/>
  <c r="L32" i="2"/>
  <c r="K32" i="2"/>
  <c r="F32" i="2"/>
  <c r="D32" i="2"/>
  <c r="C32" i="2"/>
  <c r="B32" i="2"/>
  <c r="A32" i="2"/>
  <c r="L31" i="2"/>
  <c r="K31" i="2"/>
  <c r="F31" i="2"/>
  <c r="D31" i="2"/>
  <c r="C31" i="2"/>
  <c r="B31" i="2"/>
  <c r="A31" i="2"/>
  <c r="L30" i="2"/>
  <c r="K30" i="2"/>
  <c r="F30" i="2"/>
  <c r="D30" i="2"/>
  <c r="C30" i="2"/>
  <c r="B30" i="2"/>
  <c r="A30" i="2"/>
  <c r="L29" i="2"/>
  <c r="K29" i="2"/>
  <c r="F29" i="2"/>
  <c r="D29" i="2"/>
  <c r="C29" i="2"/>
  <c r="B29" i="2"/>
  <c r="A29" i="2"/>
  <c r="L28" i="2"/>
  <c r="K28" i="2"/>
  <c r="F28" i="2"/>
  <c r="D28" i="2"/>
  <c r="C28" i="2"/>
  <c r="B28" i="2"/>
  <c r="A28" i="2"/>
  <c r="L27" i="2"/>
  <c r="K27" i="2"/>
  <c r="F27" i="2"/>
  <c r="D27" i="2"/>
  <c r="C27" i="2"/>
  <c r="B27" i="2"/>
  <c r="A27" i="2"/>
  <c r="L26" i="2"/>
  <c r="K26" i="2"/>
  <c r="F26" i="2"/>
  <c r="D26" i="2"/>
  <c r="C26" i="2"/>
  <c r="B26" i="2"/>
  <c r="A26" i="2"/>
  <c r="L25" i="2"/>
  <c r="K25" i="2"/>
  <c r="F25" i="2"/>
  <c r="D25" i="2"/>
  <c r="C25" i="2"/>
  <c r="B25" i="2"/>
  <c r="A25" i="2"/>
  <c r="L24" i="2"/>
  <c r="K24" i="2"/>
  <c r="F24" i="2"/>
  <c r="D24" i="2"/>
  <c r="C24" i="2"/>
  <c r="B24" i="2"/>
  <c r="A24" i="2"/>
  <c r="L23" i="2"/>
  <c r="K23" i="2"/>
  <c r="F23" i="2"/>
  <c r="D23" i="2"/>
  <c r="C23" i="2"/>
  <c r="B23" i="2"/>
  <c r="A23" i="2"/>
  <c r="L22" i="2"/>
  <c r="K22" i="2"/>
  <c r="F22" i="2"/>
  <c r="D22" i="2"/>
  <c r="C22" i="2"/>
  <c r="B22" i="2"/>
  <c r="A22" i="2"/>
  <c r="L21" i="2"/>
  <c r="K21" i="2"/>
  <c r="F21" i="2"/>
  <c r="D21" i="2"/>
  <c r="C21" i="2"/>
  <c r="B21" i="2"/>
  <c r="A21" i="2"/>
  <c r="L20" i="2"/>
  <c r="K20" i="2"/>
  <c r="F20" i="2"/>
  <c r="D20" i="2"/>
  <c r="C20" i="2"/>
  <c r="B20" i="2"/>
  <c r="A20" i="2"/>
  <c r="L19" i="2"/>
  <c r="K19" i="2"/>
  <c r="F19" i="2"/>
  <c r="D19" i="2"/>
  <c r="C19" i="2"/>
  <c r="B19" i="2"/>
  <c r="A19" i="2"/>
  <c r="L18" i="2"/>
  <c r="K18" i="2"/>
  <c r="F18" i="2"/>
  <c r="D18" i="2"/>
  <c r="C18" i="2"/>
  <c r="B18" i="2"/>
  <c r="A18" i="2"/>
  <c r="L17" i="2"/>
  <c r="K17" i="2"/>
  <c r="F17" i="2"/>
  <c r="D17" i="2"/>
  <c r="C17" i="2"/>
  <c r="B17" i="2"/>
  <c r="A17" i="2"/>
  <c r="L16" i="2"/>
  <c r="K16" i="2"/>
  <c r="F16" i="2"/>
  <c r="D16" i="2"/>
  <c r="C16" i="2"/>
  <c r="B16" i="2"/>
  <c r="A16" i="2"/>
  <c r="L15" i="2"/>
  <c r="K15" i="2"/>
  <c r="F15" i="2"/>
  <c r="D15" i="2"/>
  <c r="C15" i="2"/>
  <c r="L14" i="2"/>
  <c r="K14" i="2"/>
  <c r="F14" i="2"/>
  <c r="D14" i="2"/>
  <c r="C14" i="2"/>
  <c r="L13" i="2"/>
  <c r="K13" i="2"/>
  <c r="F13" i="2"/>
  <c r="D13" i="2"/>
  <c r="C13" i="2"/>
  <c r="L12" i="2"/>
  <c r="K12" i="2"/>
  <c r="F12" i="2"/>
  <c r="D12" i="2"/>
  <c r="C12" i="2"/>
  <c r="L11" i="2"/>
  <c r="K11" i="2"/>
  <c r="F11" i="2"/>
  <c r="D11" i="2"/>
  <c r="C11" i="2"/>
  <c r="L10" i="2"/>
  <c r="K10" i="2"/>
  <c r="F10" i="2"/>
  <c r="D10" i="2"/>
  <c r="C10" i="2"/>
  <c r="L9" i="2"/>
  <c r="K9" i="2"/>
  <c r="F9" i="2"/>
  <c r="D9" i="2"/>
  <c r="C9" i="2"/>
  <c r="L7" i="2"/>
  <c r="K7" i="2"/>
  <c r="F7" i="2"/>
  <c r="D7" i="2"/>
  <c r="C7" i="2"/>
  <c r="L6" i="2"/>
  <c r="K6" i="2"/>
  <c r="F6" i="2"/>
  <c r="D6" i="2"/>
  <c r="C6" i="2"/>
  <c r="L5" i="2"/>
  <c r="K5" i="2"/>
  <c r="F5" i="2"/>
  <c r="D5" i="2"/>
  <c r="C5" i="2"/>
  <c r="L4" i="2"/>
  <c r="K4" i="2"/>
  <c r="F4" i="2"/>
  <c r="D4" i="2"/>
  <c r="C4" i="2"/>
  <c r="L3" i="2"/>
  <c r="K3" i="2"/>
  <c r="F3" i="2"/>
  <c r="D3" i="2"/>
  <c r="C3" i="2"/>
  <c r="E1" i="2"/>
  <c r="L137" i="1"/>
  <c r="L136" i="1"/>
  <c r="L135" i="1"/>
  <c r="L134" i="1"/>
  <c r="L133" i="1"/>
  <c r="L132" i="1"/>
  <c r="L131" i="1"/>
  <c r="L130" i="1"/>
  <c r="L129" i="1"/>
  <c r="L128" i="1"/>
  <c r="L127" i="1"/>
  <c r="L126" i="1"/>
  <c r="L125" i="1"/>
  <c r="L124" i="1"/>
  <c r="L123" i="1"/>
  <c r="L122" i="1"/>
  <c r="L121" i="1"/>
  <c r="L120" i="1"/>
  <c r="L119" i="1"/>
  <c r="L118" i="1"/>
  <c r="L117" i="1"/>
  <c r="L116" i="1"/>
  <c r="L115" i="1"/>
  <c r="L114" i="1"/>
  <c r="L113" i="1"/>
  <c r="L112" i="1"/>
  <c r="L111" i="1"/>
  <c r="L110" i="1"/>
  <c r="L109" i="1"/>
  <c r="L108" i="1"/>
  <c r="L107" i="1"/>
  <c r="L106" i="1"/>
  <c r="L105" i="1"/>
  <c r="L104" i="1"/>
  <c r="L103" i="1"/>
  <c r="L102" i="1"/>
  <c r="L101" i="1"/>
  <c r="L100" i="1"/>
  <c r="L99" i="1"/>
  <c r="L98" i="1"/>
  <c r="L97" i="1"/>
  <c r="L96" i="1"/>
  <c r="L95" i="1"/>
  <c r="L94" i="1"/>
  <c r="L93" i="1"/>
  <c r="L92" i="1"/>
  <c r="L91" i="1"/>
  <c r="L90" i="1"/>
  <c r="L89" i="1"/>
  <c r="L88" i="1"/>
  <c r="L87" i="1"/>
  <c r="L86" i="1"/>
  <c r="L85" i="1"/>
  <c r="L84" i="1"/>
  <c r="L83" i="1"/>
  <c r="L82" i="1"/>
  <c r="L81" i="1"/>
  <c r="L80" i="1"/>
  <c r="L79" i="1"/>
  <c r="L78" i="1"/>
  <c r="L77" i="1"/>
  <c r="L76" i="1"/>
  <c r="L75" i="1"/>
  <c r="L74" i="1"/>
  <c r="L73" i="1"/>
  <c r="L72" i="1"/>
  <c r="L71" i="1"/>
  <c r="L70" i="1"/>
  <c r="L69" i="1"/>
  <c r="L68" i="1"/>
  <c r="L67" i="1"/>
  <c r="L66" i="1"/>
  <c r="L65" i="1"/>
  <c r="L64" i="1"/>
  <c r="L63" i="1"/>
  <c r="L62" i="1"/>
  <c r="L61" i="1"/>
  <c r="L60" i="1"/>
  <c r="L59" i="1"/>
  <c r="L58" i="1"/>
  <c r="L57" i="1"/>
  <c r="L56" i="1"/>
  <c r="L55" i="1"/>
  <c r="L54" i="1"/>
  <c r="L53" i="1"/>
  <c r="L52" i="1"/>
  <c r="L51" i="1"/>
  <c r="L50" i="1"/>
  <c r="L49" i="1"/>
  <c r="L48" i="1"/>
  <c r="L47" i="1"/>
  <c r="L46" i="1"/>
  <c r="L45" i="1"/>
  <c r="L44" i="1"/>
  <c r="L43" i="1"/>
  <c r="L42" i="1"/>
  <c r="L41" i="1"/>
  <c r="L40" i="1"/>
  <c r="L39" i="1"/>
  <c r="L38" i="1"/>
  <c r="L37" i="1"/>
  <c r="L36" i="1"/>
  <c r="L35" i="1"/>
  <c r="L34" i="1"/>
  <c r="L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9" i="1"/>
  <c r="L8" i="1"/>
  <c r="K8" i="1"/>
  <c r="K9" i="1" s="1"/>
  <c r="K10" i="1" s="1"/>
  <c r="K11" i="1" s="1"/>
  <c r="K12" i="1" s="1"/>
  <c r="K13" i="1" s="1"/>
  <c r="K14" i="1" s="1"/>
  <c r="K15" i="1" s="1"/>
  <c r="K16" i="1" s="1"/>
  <c r="K17" i="1" s="1"/>
  <c r="K18" i="1" s="1"/>
  <c r="K19" i="1" s="1"/>
  <c r="K20" i="1" s="1"/>
  <c r="K21" i="1" s="1"/>
  <c r="K22" i="1" s="1"/>
  <c r="K23" i="1" s="1"/>
  <c r="K24" i="1" s="1"/>
  <c r="K25" i="1" s="1"/>
  <c r="K26" i="1" s="1"/>
  <c r="K27" i="1" s="1"/>
  <c r="K28" i="1" s="1"/>
  <c r="K29" i="1" s="1"/>
  <c r="K30" i="1" s="1"/>
  <c r="K31" i="1" s="1"/>
  <c r="K32" i="1" s="1"/>
  <c r="K33" i="1" s="1"/>
  <c r="K34" i="1" s="1"/>
  <c r="K35" i="1" s="1"/>
  <c r="K36" i="1" s="1"/>
  <c r="K37" i="1" s="1"/>
  <c r="K38" i="1" s="1"/>
  <c r="K39" i="1" s="1"/>
  <c r="K40" i="1" s="1"/>
  <c r="K41" i="1" s="1"/>
  <c r="K42" i="1" s="1"/>
  <c r="K43" i="1" s="1"/>
  <c r="K44" i="1" s="1"/>
  <c r="K45" i="1" s="1"/>
  <c r="K46" i="1" s="1"/>
  <c r="K47" i="1" s="1"/>
  <c r="K48" i="1" s="1"/>
  <c r="K49" i="1" s="1"/>
  <c r="K50" i="1" s="1"/>
  <c r="K51" i="1" s="1"/>
  <c r="K52" i="1" s="1"/>
  <c r="K53" i="1" s="1"/>
  <c r="K54" i="1" s="1"/>
  <c r="K55" i="1" s="1"/>
  <c r="K56" i="1" s="1"/>
  <c r="K57" i="1" s="1"/>
  <c r="K58" i="1" s="1"/>
  <c r="K59" i="1" s="1"/>
  <c r="K60" i="1" s="1"/>
  <c r="K61" i="1" s="1"/>
  <c r="K62" i="1" s="1"/>
  <c r="K63" i="1" s="1"/>
  <c r="K64" i="1" s="1"/>
  <c r="K65" i="1" s="1"/>
  <c r="K66" i="1" s="1"/>
  <c r="K67" i="1" s="1"/>
  <c r="K68" i="1" s="1"/>
  <c r="K69" i="1" s="1"/>
  <c r="K70" i="1" s="1"/>
  <c r="K71" i="1" s="1"/>
  <c r="K72" i="1" s="1"/>
  <c r="K73" i="1" s="1"/>
  <c r="K74" i="1" s="1"/>
  <c r="K75" i="1" s="1"/>
  <c r="K76" i="1" s="1"/>
  <c r="K77" i="1" s="1"/>
  <c r="K78" i="1" s="1"/>
  <c r="K79" i="1" s="1"/>
  <c r="K80" i="1" s="1"/>
  <c r="K81" i="1" s="1"/>
  <c r="K82" i="1" s="1"/>
  <c r="K83" i="1" s="1"/>
  <c r="K84" i="1" s="1"/>
  <c r="K85" i="1" s="1"/>
  <c r="K86" i="1" s="1"/>
  <c r="K87" i="1" s="1"/>
  <c r="K88" i="1" s="1"/>
  <c r="K89" i="1" s="1"/>
  <c r="K90" i="1" s="1"/>
  <c r="K91" i="1" s="1"/>
  <c r="K92" i="1" s="1"/>
  <c r="K93" i="1" s="1"/>
  <c r="K94" i="1" s="1"/>
  <c r="K95" i="1" s="1"/>
  <c r="K96" i="1" s="1"/>
  <c r="K97" i="1" s="1"/>
  <c r="K98" i="1" s="1"/>
  <c r="K99" i="1" s="1"/>
  <c r="K100" i="1" s="1"/>
  <c r="K101" i="1" s="1"/>
  <c r="K102" i="1" s="1"/>
  <c r="K103" i="1" s="1"/>
  <c r="K104" i="1" s="1"/>
  <c r="K105" i="1" s="1"/>
  <c r="K106" i="1" s="1"/>
  <c r="K107" i="1" s="1"/>
  <c r="K108" i="1" s="1"/>
  <c r="K109" i="1" s="1"/>
  <c r="K110" i="1" s="1"/>
  <c r="K111" i="1" s="1"/>
  <c r="K112" i="1" s="1"/>
  <c r="K113" i="1" s="1"/>
  <c r="K114" i="1" s="1"/>
  <c r="K115" i="1" s="1"/>
  <c r="K116" i="1" s="1"/>
  <c r="K117" i="1" s="1"/>
  <c r="K118" i="1" s="1"/>
  <c r="K119" i="1" s="1"/>
  <c r="K120" i="1" s="1"/>
  <c r="K121" i="1" s="1"/>
  <c r="K122" i="1" s="1"/>
  <c r="K123" i="1" s="1"/>
  <c r="K124" i="1" s="1"/>
  <c r="K125" i="1" s="1"/>
  <c r="K126" i="1" s="1"/>
  <c r="K127" i="1" s="1"/>
  <c r="K128" i="1" s="1"/>
  <c r="K129" i="1" s="1"/>
  <c r="K130" i="1" s="1"/>
  <c r="K131" i="1" s="1"/>
  <c r="K132" i="1" s="1"/>
  <c r="K133" i="1" s="1"/>
  <c r="K134" i="1" s="1"/>
  <c r="K135" i="1" s="1"/>
  <c r="K136" i="1" s="1"/>
  <c r="K137" i="1" s="1"/>
  <c r="L7" i="1"/>
  <c r="K7" i="1"/>
  <c r="N106" i="6" l="1"/>
  <c r="V106" i="6"/>
  <c r="I79" i="5"/>
  <c r="M30" i="6"/>
  <c r="U30" i="6"/>
  <c r="H86" i="6"/>
  <c r="P86" i="6"/>
  <c r="W86" i="6"/>
  <c r="N19" i="6"/>
  <c r="P72" i="6"/>
  <c r="H80" i="6"/>
  <c r="P80" i="6"/>
  <c r="W80" i="6"/>
  <c r="U100" i="6"/>
  <c r="Q106" i="6"/>
  <c r="P53" i="6"/>
  <c r="L106" i="6"/>
  <c r="H9" i="6"/>
  <c r="N33" i="6"/>
  <c r="U15" i="6"/>
  <c r="H5" i="6"/>
  <c r="W5" i="6"/>
  <c r="H23" i="6"/>
  <c r="U59" i="6"/>
  <c r="H39" i="6"/>
  <c r="P39" i="6"/>
  <c r="W39" i="6"/>
  <c r="H92" i="6"/>
  <c r="P92" i="6"/>
  <c r="H30" i="6"/>
  <c r="P30" i="6"/>
  <c r="W30" i="6"/>
  <c r="L39" i="6"/>
  <c r="Q39" i="6"/>
  <c r="H53" i="6"/>
  <c r="M100" i="6"/>
  <c r="M15" i="6"/>
  <c r="M63" i="6"/>
  <c r="V19" i="6"/>
  <c r="P42" i="6"/>
  <c r="U42" i="6"/>
  <c r="W53" i="6"/>
  <c r="L59" i="6"/>
  <c r="Q59" i="6"/>
  <c r="N86" i="6"/>
  <c r="V86" i="6"/>
  <c r="M86" i="6"/>
  <c r="N5" i="6"/>
  <c r="V5" i="6"/>
  <c r="U5" i="6"/>
  <c r="N9" i="6"/>
  <c r="V9" i="6"/>
  <c r="N15" i="6"/>
  <c r="V15" i="6"/>
  <c r="M19" i="6"/>
  <c r="U19" i="6"/>
  <c r="V33" i="6"/>
  <c r="N53" i="6"/>
  <c r="V53" i="6"/>
  <c r="L53" i="6"/>
  <c r="Q53" i="6"/>
  <c r="U63" i="6"/>
  <c r="H72" i="6"/>
  <c r="W72" i="6"/>
  <c r="L92" i="6"/>
  <c r="Q92" i="6"/>
  <c r="W92" i="6"/>
  <c r="H100" i="6"/>
  <c r="P23" i="6"/>
  <c r="N23" i="6"/>
  <c r="V23" i="6"/>
  <c r="N30" i="6"/>
  <c r="V30" i="6"/>
  <c r="M42" i="6"/>
  <c r="M59" i="6"/>
  <c r="M80" i="6"/>
  <c r="U80" i="6"/>
  <c r="M92" i="6"/>
  <c r="L100" i="6"/>
  <c r="Q100" i="6"/>
  <c r="L5" i="6"/>
  <c r="L15" i="6"/>
  <c r="Q15" i="6"/>
  <c r="H19" i="6"/>
  <c r="P19" i="6"/>
  <c r="L33" i="6"/>
  <c r="Q33" i="6"/>
  <c r="N39" i="6"/>
  <c r="V39" i="6"/>
  <c r="H63" i="6"/>
  <c r="P63" i="6"/>
  <c r="M72" i="6"/>
  <c r="U72" i="6"/>
  <c r="L9" i="6"/>
  <c r="P9" i="6"/>
  <c r="W15" i="6"/>
  <c r="N59" i="6"/>
  <c r="V59" i="6"/>
  <c r="N92" i="6"/>
  <c r="U92" i="6"/>
  <c r="P5" i="6"/>
  <c r="M23" i="6"/>
  <c r="U23" i="6"/>
  <c r="L30" i="6"/>
  <c r="Q30" i="6"/>
  <c r="L63" i="6"/>
  <c r="Q63" i="6"/>
  <c r="W63" i="6"/>
  <c r="N63" i="6"/>
  <c r="V63" i="6"/>
  <c r="N72" i="6"/>
  <c r="V72" i="6"/>
  <c r="L72" i="6"/>
  <c r="Q72" i="6"/>
  <c r="L86" i="6"/>
  <c r="Q86" i="6"/>
  <c r="P100" i="6"/>
  <c r="W100" i="6"/>
  <c r="N100" i="6"/>
  <c r="V100" i="6"/>
  <c r="M106" i="6"/>
  <c r="U106" i="6"/>
  <c r="L23" i="6"/>
  <c r="Q23" i="6"/>
  <c r="H15" i="6"/>
  <c r="P15" i="6"/>
  <c r="L19" i="6"/>
  <c r="Q19" i="6"/>
  <c r="M33" i="6"/>
  <c r="U33" i="6"/>
  <c r="H33" i="6"/>
  <c r="P33" i="6"/>
  <c r="M39" i="6"/>
  <c r="U39" i="6"/>
  <c r="Q42" i="6"/>
  <c r="H42" i="6"/>
  <c r="W42" i="6"/>
  <c r="N42" i="6"/>
  <c r="M53" i="6"/>
  <c r="U53" i="6"/>
  <c r="H59" i="6"/>
  <c r="P59" i="6"/>
  <c r="W59" i="6"/>
  <c r="N80" i="6"/>
  <c r="V80" i="6"/>
  <c r="L80" i="6"/>
  <c r="Q80" i="6"/>
  <c r="M9" i="6"/>
  <c r="W19" i="6"/>
  <c r="V42" i="6"/>
  <c r="U9" i="6"/>
  <c r="W33" i="6"/>
  <c r="L42" i="6"/>
  <c r="U86" i="6"/>
  <c r="Q5" i="6"/>
  <c r="Q9" i="6"/>
  <c r="W23" i="6"/>
  <c r="V92" i="6"/>
  <c r="B5" i="2"/>
  <c r="A11" i="2"/>
  <c r="B3" i="2"/>
  <c r="A6" i="2"/>
  <c r="A10" i="2"/>
  <c r="B11" i="2"/>
  <c r="A13" i="2"/>
  <c r="B14" i="2"/>
  <c r="A4" i="3"/>
  <c r="B5" i="3"/>
  <c r="A6" i="3"/>
  <c r="B9" i="3"/>
  <c r="A10" i="3"/>
  <c r="B13" i="3"/>
  <c r="A14" i="3"/>
  <c r="B17" i="3"/>
  <c r="G68" i="6"/>
  <c r="G67" i="6"/>
  <c r="G66" i="6"/>
  <c r="G65" i="6"/>
  <c r="G64" i="6"/>
  <c r="G62" i="6"/>
  <c r="G61" i="6"/>
  <c r="G60" i="6"/>
  <c r="G57" i="6"/>
  <c r="G56" i="6"/>
  <c r="G55" i="6"/>
  <c r="G54" i="6"/>
  <c r="G52" i="6"/>
  <c r="G51" i="6" s="1"/>
  <c r="G50" i="6"/>
  <c r="G49" i="6" s="1"/>
  <c r="G48" i="6"/>
  <c r="G47" i="6"/>
  <c r="G46" i="6"/>
  <c r="G45" i="6"/>
  <c r="G44" i="6"/>
  <c r="G43" i="6"/>
  <c r="G41" i="6"/>
  <c r="G40" i="6"/>
  <c r="G37" i="6"/>
  <c r="G29" i="6"/>
  <c r="G25" i="6"/>
  <c r="G21" i="6"/>
  <c r="G17" i="6"/>
  <c r="G14" i="6"/>
  <c r="G36" i="6"/>
  <c r="G32" i="6"/>
  <c r="G28" i="6"/>
  <c r="G24" i="6"/>
  <c r="G20" i="6"/>
  <c r="G16" i="6"/>
  <c r="G11" i="6"/>
  <c r="G10" i="6"/>
  <c r="G8" i="6"/>
  <c r="G6" i="6"/>
  <c r="G35" i="6"/>
  <c r="G31" i="6"/>
  <c r="G27" i="6"/>
  <c r="G12" i="6"/>
  <c r="G34" i="6"/>
  <c r="G18" i="6"/>
  <c r="G13" i="6"/>
  <c r="G22" i="6"/>
  <c r="G7" i="6"/>
  <c r="G26" i="6"/>
  <c r="A20" i="3"/>
  <c r="B21" i="3"/>
  <c r="A24" i="3"/>
  <c r="B25" i="3"/>
  <c r="A28" i="3"/>
  <c r="B29" i="3"/>
  <c r="A31" i="3"/>
  <c r="B32" i="3"/>
  <c r="A35" i="3"/>
  <c r="A38" i="3"/>
  <c r="B39" i="3"/>
  <c r="A42" i="3"/>
  <c r="B43" i="3"/>
  <c r="A46" i="3"/>
  <c r="B47" i="3"/>
  <c r="B50" i="3"/>
  <c r="A53" i="3"/>
  <c r="B54" i="3"/>
  <c r="A59" i="3"/>
  <c r="B60" i="3"/>
  <c r="A63" i="3"/>
  <c r="B64" i="3"/>
  <c r="A67" i="3"/>
  <c r="B68" i="3"/>
  <c r="A71" i="3"/>
  <c r="B72" i="3"/>
  <c r="A75" i="3"/>
  <c r="B76" i="3"/>
  <c r="A79" i="3"/>
  <c r="B80" i="3"/>
  <c r="A83" i="3"/>
  <c r="B84" i="3"/>
  <c r="A87" i="3"/>
  <c r="B88" i="3"/>
  <c r="A91" i="3"/>
  <c r="B92" i="3"/>
  <c r="R108" i="6"/>
  <c r="R107" i="6"/>
  <c r="R105" i="6"/>
  <c r="R104" i="6"/>
  <c r="R103" i="6"/>
  <c r="R102" i="6"/>
  <c r="R101" i="6"/>
  <c r="R99" i="6"/>
  <c r="R98" i="6"/>
  <c r="R97" i="6"/>
  <c r="R96" i="6"/>
  <c r="R95" i="6"/>
  <c r="R94" i="6"/>
  <c r="R93" i="6"/>
  <c r="R88" i="6"/>
  <c r="R87" i="6"/>
  <c r="R85" i="6"/>
  <c r="R84" i="6"/>
  <c r="R83" i="6"/>
  <c r="R82" i="6"/>
  <c r="R81" i="6"/>
  <c r="R79" i="6"/>
  <c r="R78" i="6"/>
  <c r="R77" i="6"/>
  <c r="R76" i="6"/>
  <c r="R75" i="6"/>
  <c r="R74" i="6"/>
  <c r="R73" i="6"/>
  <c r="S108" i="6"/>
  <c r="S107" i="6"/>
  <c r="S105" i="6"/>
  <c r="S104" i="6"/>
  <c r="S103" i="6"/>
  <c r="S102" i="6"/>
  <c r="S101" i="6"/>
  <c r="S99" i="6"/>
  <c r="S98" i="6"/>
  <c r="S97" i="6"/>
  <c r="S96" i="6"/>
  <c r="S95" i="6"/>
  <c r="S94" i="6"/>
  <c r="S93" i="6"/>
  <c r="S88" i="6"/>
  <c r="S87" i="6"/>
  <c r="S85" i="6"/>
  <c r="S84" i="6"/>
  <c r="S83" i="6"/>
  <c r="S82" i="6"/>
  <c r="S81" i="6"/>
  <c r="S79" i="6"/>
  <c r="S78" i="6"/>
  <c r="S77" i="6"/>
  <c r="S76" i="6"/>
  <c r="S75" i="6"/>
  <c r="S74" i="6"/>
  <c r="S73" i="6"/>
  <c r="J108" i="6"/>
  <c r="J107" i="6"/>
  <c r="J105" i="6"/>
  <c r="J104" i="6"/>
  <c r="J103" i="6"/>
  <c r="J102" i="6"/>
  <c r="J101" i="6"/>
  <c r="J99" i="6"/>
  <c r="J98" i="6"/>
  <c r="J97" i="6"/>
  <c r="J96" i="6"/>
  <c r="J95" i="6"/>
  <c r="J88" i="6"/>
  <c r="J87" i="6"/>
  <c r="J94" i="6"/>
  <c r="J93" i="6"/>
  <c r="J85" i="6"/>
  <c r="J84" i="6"/>
  <c r="J83" i="6"/>
  <c r="J82" i="6"/>
  <c r="J81" i="6"/>
  <c r="J79" i="6"/>
  <c r="J78" i="6"/>
  <c r="J77" i="6"/>
  <c r="J76" i="6"/>
  <c r="J75" i="6"/>
  <c r="J74" i="6"/>
  <c r="J73" i="6"/>
  <c r="K68" i="6"/>
  <c r="K67" i="6"/>
  <c r="K66" i="6"/>
  <c r="K65" i="6"/>
  <c r="K64" i="6"/>
  <c r="K62" i="6"/>
  <c r="K61" i="6"/>
  <c r="K60" i="6"/>
  <c r="K57" i="6"/>
  <c r="K56" i="6"/>
  <c r="K55" i="6"/>
  <c r="K54" i="6"/>
  <c r="K52" i="6"/>
  <c r="K51" i="6" s="1"/>
  <c r="K50" i="6"/>
  <c r="K49" i="6" s="1"/>
  <c r="K48" i="6"/>
  <c r="K47" i="6"/>
  <c r="K46" i="6"/>
  <c r="K45" i="6"/>
  <c r="K44" i="6"/>
  <c r="K43" i="6"/>
  <c r="K41" i="6"/>
  <c r="K40" i="6"/>
  <c r="K35" i="6"/>
  <c r="K31" i="6"/>
  <c r="K27" i="6"/>
  <c r="K13" i="6"/>
  <c r="K34" i="6"/>
  <c r="K26" i="6"/>
  <c r="K22" i="6"/>
  <c r="K18" i="6"/>
  <c r="K14" i="6"/>
  <c r="K10" i="6"/>
  <c r="K8" i="6"/>
  <c r="K6" i="6"/>
  <c r="K37" i="6"/>
  <c r="K29" i="6"/>
  <c r="K25" i="6"/>
  <c r="K21" i="6"/>
  <c r="K17" i="6"/>
  <c r="K11" i="6"/>
  <c r="K36" i="6"/>
  <c r="K16" i="6"/>
  <c r="K20" i="6"/>
  <c r="K32" i="6"/>
  <c r="K28" i="6"/>
  <c r="K24" i="6"/>
  <c r="K12" i="6"/>
  <c r="K7" i="6"/>
  <c r="E11" i="5"/>
  <c r="I11" i="5"/>
  <c r="M11" i="5"/>
  <c r="Q11" i="5"/>
  <c r="U11" i="5"/>
  <c r="E12" i="5"/>
  <c r="I12" i="5"/>
  <c r="M12" i="5"/>
  <c r="Q12" i="5"/>
  <c r="U12" i="5"/>
  <c r="E13" i="5"/>
  <c r="I13" i="5"/>
  <c r="N13" i="5"/>
  <c r="V13" i="5"/>
  <c r="O14" i="5"/>
  <c r="K15" i="5"/>
  <c r="G16" i="5"/>
  <c r="W16" i="5"/>
  <c r="S17" i="5"/>
  <c r="O18" i="5"/>
  <c r="M19" i="5"/>
  <c r="N20" i="5"/>
  <c r="P21" i="5"/>
  <c r="Q22" i="5"/>
  <c r="R23" i="5"/>
  <c r="T24" i="5"/>
  <c r="U25" i="5"/>
  <c r="V26" i="5"/>
  <c r="E29" i="5"/>
  <c r="F30" i="5"/>
  <c r="H31" i="5"/>
  <c r="I32" i="5"/>
  <c r="J33" i="5"/>
  <c r="M35" i="5"/>
  <c r="N36" i="5"/>
  <c r="P37" i="5"/>
  <c r="Q38" i="5"/>
  <c r="R39" i="5"/>
  <c r="S51" i="5"/>
  <c r="T52" i="5"/>
  <c r="E54" i="5"/>
  <c r="U56" i="5"/>
  <c r="E60" i="5"/>
  <c r="I63" i="5"/>
  <c r="M66" i="5"/>
  <c r="Q69" i="5"/>
  <c r="U72" i="5"/>
  <c r="E76" i="5"/>
  <c r="A15" i="2"/>
  <c r="A3" i="2"/>
  <c r="A14" i="2"/>
  <c r="B15" i="2"/>
  <c r="T119" i="5"/>
  <c r="P119" i="5"/>
  <c r="L119" i="5"/>
  <c r="H119" i="5"/>
  <c r="T118" i="5"/>
  <c r="P118" i="5"/>
  <c r="L118" i="5"/>
  <c r="H118" i="5"/>
  <c r="T117" i="5"/>
  <c r="P117" i="5"/>
  <c r="L117" i="5"/>
  <c r="H117" i="5"/>
  <c r="T116" i="5"/>
  <c r="P116" i="5"/>
  <c r="L116" i="5"/>
  <c r="H116" i="5"/>
  <c r="T115" i="5"/>
  <c r="T120" i="5" s="1"/>
  <c r="P115" i="5"/>
  <c r="P120" i="5" s="1"/>
  <c r="L115" i="5"/>
  <c r="L120" i="5" s="1"/>
  <c r="H115" i="5"/>
  <c r="H120" i="5" s="1"/>
  <c r="T113" i="5"/>
  <c r="P113" i="5"/>
  <c r="L113" i="5"/>
  <c r="H113" i="5"/>
  <c r="T112" i="5"/>
  <c r="P112" i="5"/>
  <c r="L112" i="5"/>
  <c r="H112" i="5"/>
  <c r="T111" i="5"/>
  <c r="P111" i="5"/>
  <c r="L111" i="5"/>
  <c r="H111" i="5"/>
  <c r="T110" i="5"/>
  <c r="P110" i="5"/>
  <c r="L110" i="5"/>
  <c r="H110" i="5"/>
  <c r="T109" i="5"/>
  <c r="P109" i="5"/>
  <c r="L109" i="5"/>
  <c r="H109" i="5"/>
  <c r="T108" i="5"/>
  <c r="T114" i="5" s="1"/>
  <c r="P108" i="5"/>
  <c r="P114" i="5" s="1"/>
  <c r="L108" i="5"/>
  <c r="H108" i="5"/>
  <c r="H114" i="5" s="1"/>
  <c r="T106" i="5"/>
  <c r="U119" i="5"/>
  <c r="O119" i="5"/>
  <c r="J119" i="5"/>
  <c r="E119" i="5"/>
  <c r="S118" i="5"/>
  <c r="N118" i="5"/>
  <c r="I118" i="5"/>
  <c r="W117" i="5"/>
  <c r="R117" i="5"/>
  <c r="M117" i="5"/>
  <c r="G117" i="5"/>
  <c r="V116" i="5"/>
  <c r="Q116" i="5"/>
  <c r="K116" i="5"/>
  <c r="F116" i="5"/>
  <c r="U115" i="5"/>
  <c r="O115" i="5"/>
  <c r="J115" i="5"/>
  <c r="E115" i="5"/>
  <c r="W113" i="5"/>
  <c r="R113" i="5"/>
  <c r="M113" i="5"/>
  <c r="G113" i="5"/>
  <c r="V112" i="5"/>
  <c r="Q112" i="5"/>
  <c r="K112" i="5"/>
  <c r="F112" i="5"/>
  <c r="U111" i="5"/>
  <c r="O111" i="5"/>
  <c r="J111" i="5"/>
  <c r="E111" i="5"/>
  <c r="S110" i="5"/>
  <c r="N110" i="5"/>
  <c r="I110" i="5"/>
  <c r="W109" i="5"/>
  <c r="R109" i="5"/>
  <c r="M109" i="5"/>
  <c r="G109" i="5"/>
  <c r="V108" i="5"/>
  <c r="Q108" i="5"/>
  <c r="K108" i="5"/>
  <c r="F108" i="5"/>
  <c r="S106" i="5"/>
  <c r="O106" i="5"/>
  <c r="K106" i="5"/>
  <c r="G106" i="5"/>
  <c r="W105" i="5"/>
  <c r="S105" i="5"/>
  <c r="O105" i="5"/>
  <c r="K105" i="5"/>
  <c r="G105" i="5"/>
  <c r="W104" i="5"/>
  <c r="S104" i="5"/>
  <c r="O104" i="5"/>
  <c r="K104" i="5"/>
  <c r="G104" i="5"/>
  <c r="W103" i="5"/>
  <c r="S103" i="5"/>
  <c r="O103" i="5"/>
  <c r="K103" i="5"/>
  <c r="G103" i="5"/>
  <c r="W102" i="5"/>
  <c r="S102" i="5"/>
  <c r="O102" i="5"/>
  <c r="K102" i="5"/>
  <c r="G102" i="5"/>
  <c r="W101" i="5"/>
  <c r="S101" i="5"/>
  <c r="O101" i="5"/>
  <c r="K101" i="5"/>
  <c r="G101" i="5"/>
  <c r="W100" i="5"/>
  <c r="S100" i="5"/>
  <c r="O100" i="5"/>
  <c r="K100" i="5"/>
  <c r="G100" i="5"/>
  <c r="W99" i="5"/>
  <c r="S99" i="5"/>
  <c r="O99" i="5"/>
  <c r="K99" i="5"/>
  <c r="G99" i="5"/>
  <c r="W98" i="5"/>
  <c r="S98" i="5"/>
  <c r="O98" i="5"/>
  <c r="K98" i="5"/>
  <c r="G98" i="5"/>
  <c r="W97" i="5"/>
  <c r="S97" i="5"/>
  <c r="O97" i="5"/>
  <c r="K97" i="5"/>
  <c r="G97" i="5"/>
  <c r="W96" i="5"/>
  <c r="S96" i="5"/>
  <c r="O96" i="5"/>
  <c r="K96" i="5"/>
  <c r="G96" i="5"/>
  <c r="W95" i="5"/>
  <c r="S95" i="5"/>
  <c r="W119" i="5"/>
  <c r="Q119" i="5"/>
  <c r="I119" i="5"/>
  <c r="V118" i="5"/>
  <c r="O118" i="5"/>
  <c r="G118" i="5"/>
  <c r="U117" i="5"/>
  <c r="N117" i="5"/>
  <c r="F117" i="5"/>
  <c r="S116" i="5"/>
  <c r="M116" i="5"/>
  <c r="E116" i="5"/>
  <c r="R115" i="5"/>
  <c r="K115" i="5"/>
  <c r="V113" i="5"/>
  <c r="O113" i="5"/>
  <c r="I113" i="5"/>
  <c r="U112" i="5"/>
  <c r="N112" i="5"/>
  <c r="G112" i="5"/>
  <c r="S111" i="5"/>
  <c r="M111" i="5"/>
  <c r="F111" i="5"/>
  <c r="R110" i="5"/>
  <c r="K110" i="5"/>
  <c r="E110" i="5"/>
  <c r="Q109" i="5"/>
  <c r="J109" i="5"/>
  <c r="W108" i="5"/>
  <c r="O108" i="5"/>
  <c r="I108" i="5"/>
  <c r="U106" i="5"/>
  <c r="N106" i="5"/>
  <c r="I106" i="5"/>
  <c r="R105" i="5"/>
  <c r="M105" i="5"/>
  <c r="H105" i="5"/>
  <c r="V104" i="5"/>
  <c r="Q104" i="5"/>
  <c r="L104" i="5"/>
  <c r="F104" i="5"/>
  <c r="U103" i="5"/>
  <c r="P103" i="5"/>
  <c r="J103" i="5"/>
  <c r="E103" i="5"/>
  <c r="T102" i="5"/>
  <c r="N102" i="5"/>
  <c r="I102" i="5"/>
  <c r="R101" i="5"/>
  <c r="M101" i="5"/>
  <c r="H101" i="5"/>
  <c r="V100" i="5"/>
  <c r="Q100" i="5"/>
  <c r="L100" i="5"/>
  <c r="F100" i="5"/>
  <c r="U99" i="5"/>
  <c r="P99" i="5"/>
  <c r="J99" i="5"/>
  <c r="E99" i="5"/>
  <c r="T98" i="5"/>
  <c r="N98" i="5"/>
  <c r="I98" i="5"/>
  <c r="R97" i="5"/>
  <c r="M97" i="5"/>
  <c r="H97" i="5"/>
  <c r="V96" i="5"/>
  <c r="Q96" i="5"/>
  <c r="L96" i="5"/>
  <c r="F96" i="5"/>
  <c r="U95" i="5"/>
  <c r="P95" i="5"/>
  <c r="L95" i="5"/>
  <c r="H95" i="5"/>
  <c r="T94" i="5"/>
  <c r="P94" i="5"/>
  <c r="L94" i="5"/>
  <c r="H94" i="5"/>
  <c r="T93" i="5"/>
  <c r="P93" i="5"/>
  <c r="L93" i="5"/>
  <c r="H93" i="5"/>
  <c r="P92" i="5"/>
  <c r="L92" i="5"/>
  <c r="H92" i="5"/>
  <c r="T91" i="5"/>
  <c r="P91" i="5"/>
  <c r="L91" i="5"/>
  <c r="H91" i="5"/>
  <c r="V119" i="5"/>
  <c r="N119" i="5"/>
  <c r="G119" i="5"/>
  <c r="U118" i="5"/>
  <c r="M118" i="5"/>
  <c r="F118" i="5"/>
  <c r="S117" i="5"/>
  <c r="K117" i="5"/>
  <c r="E117" i="5"/>
  <c r="R116" i="5"/>
  <c r="J116" i="5"/>
  <c r="W115" i="5"/>
  <c r="Q115" i="5"/>
  <c r="I115" i="5"/>
  <c r="U113" i="5"/>
  <c r="N113" i="5"/>
  <c r="F113" i="5"/>
  <c r="S112" i="5"/>
  <c r="M112" i="5"/>
  <c r="E112" i="5"/>
  <c r="R111" i="5"/>
  <c r="K111" i="5"/>
  <c r="W110" i="5"/>
  <c r="Q110" i="5"/>
  <c r="J110" i="5"/>
  <c r="V109" i="5"/>
  <c r="O109" i="5"/>
  <c r="I109" i="5"/>
  <c r="U108" i="5"/>
  <c r="N108" i="5"/>
  <c r="G108" i="5"/>
  <c r="R106" i="5"/>
  <c r="M106" i="5"/>
  <c r="H106" i="5"/>
  <c r="V105" i="5"/>
  <c r="Q105" i="5"/>
  <c r="L105" i="5"/>
  <c r="F105" i="5"/>
  <c r="U104" i="5"/>
  <c r="P104" i="5"/>
  <c r="J104" i="5"/>
  <c r="E104" i="5"/>
  <c r="T103" i="5"/>
  <c r="N103" i="5"/>
  <c r="I103" i="5"/>
  <c r="R102" i="5"/>
  <c r="M102" i="5"/>
  <c r="H102" i="5"/>
  <c r="V101" i="5"/>
  <c r="Q101" i="5"/>
  <c r="L101" i="5"/>
  <c r="F101" i="5"/>
  <c r="U100" i="5"/>
  <c r="P100" i="5"/>
  <c r="J100" i="5"/>
  <c r="E100" i="5"/>
  <c r="T99" i="5"/>
  <c r="N99" i="5"/>
  <c r="I99" i="5"/>
  <c r="R98" i="5"/>
  <c r="M98" i="5"/>
  <c r="H98" i="5"/>
  <c r="V97" i="5"/>
  <c r="Q97" i="5"/>
  <c r="L97" i="5"/>
  <c r="F97" i="5"/>
  <c r="U96" i="5"/>
  <c r="P96" i="5"/>
  <c r="J96" i="5"/>
  <c r="E96" i="5"/>
  <c r="T95" i="5"/>
  <c r="O95" i="5"/>
  <c r="K95" i="5"/>
  <c r="G95" i="5"/>
  <c r="W94" i="5"/>
  <c r="S94" i="5"/>
  <c r="O94" i="5"/>
  <c r="K94" i="5"/>
  <c r="G94" i="5"/>
  <c r="W93" i="5"/>
  <c r="S93" i="5"/>
  <c r="O93" i="5"/>
  <c r="K93" i="5"/>
  <c r="G93" i="5"/>
  <c r="W92" i="5"/>
  <c r="S92" i="5"/>
  <c r="O92" i="5"/>
  <c r="K92" i="5"/>
  <c r="G92" i="5"/>
  <c r="W91" i="5"/>
  <c r="S91" i="5"/>
  <c r="O91" i="5"/>
  <c r="K91" i="5"/>
  <c r="G91" i="5"/>
  <c r="S119" i="5"/>
  <c r="M119" i="5"/>
  <c r="F119" i="5"/>
  <c r="R118" i="5"/>
  <c r="K118" i="5"/>
  <c r="E118" i="5"/>
  <c r="Q117" i="5"/>
  <c r="J117" i="5"/>
  <c r="W116" i="5"/>
  <c r="O116" i="5"/>
  <c r="I116" i="5"/>
  <c r="V115" i="5"/>
  <c r="N115" i="5"/>
  <c r="G115" i="5"/>
  <c r="S113" i="5"/>
  <c r="K113" i="5"/>
  <c r="E113" i="5"/>
  <c r="R112" i="5"/>
  <c r="J112" i="5"/>
  <c r="W111" i="5"/>
  <c r="Q111" i="5"/>
  <c r="I111" i="5"/>
  <c r="V110" i="5"/>
  <c r="O110" i="5"/>
  <c r="G110" i="5"/>
  <c r="U109" i="5"/>
  <c r="N109" i="5"/>
  <c r="F109" i="5"/>
  <c r="S108" i="5"/>
  <c r="M108" i="5"/>
  <c r="E108" i="5"/>
  <c r="W106" i="5"/>
  <c r="Q106" i="5"/>
  <c r="L106" i="5"/>
  <c r="F106" i="5"/>
  <c r="U105" i="5"/>
  <c r="P105" i="5"/>
  <c r="J105" i="5"/>
  <c r="E105" i="5"/>
  <c r="T104" i="5"/>
  <c r="N104" i="5"/>
  <c r="I104" i="5"/>
  <c r="R103" i="5"/>
  <c r="M103" i="5"/>
  <c r="H103" i="5"/>
  <c r="V102" i="5"/>
  <c r="Q102" i="5"/>
  <c r="L102" i="5"/>
  <c r="F102" i="5"/>
  <c r="U101" i="5"/>
  <c r="P101" i="5"/>
  <c r="J101" i="5"/>
  <c r="E101" i="5"/>
  <c r="T100" i="5"/>
  <c r="N100" i="5"/>
  <c r="I100" i="5"/>
  <c r="R99" i="5"/>
  <c r="M99" i="5"/>
  <c r="H99" i="5"/>
  <c r="V98" i="5"/>
  <c r="Q98" i="5"/>
  <c r="L98" i="5"/>
  <c r="F98" i="5"/>
  <c r="U97" i="5"/>
  <c r="P97" i="5"/>
  <c r="J97" i="5"/>
  <c r="E97" i="5"/>
  <c r="T96" i="5"/>
  <c r="N96" i="5"/>
  <c r="I96" i="5"/>
  <c r="R95" i="5"/>
  <c r="N95" i="5"/>
  <c r="J95" i="5"/>
  <c r="F95" i="5"/>
  <c r="V94" i="5"/>
  <c r="R94" i="5"/>
  <c r="N94" i="5"/>
  <c r="J94" i="5"/>
  <c r="F94" i="5"/>
  <c r="V93" i="5"/>
  <c r="R93" i="5"/>
  <c r="N93" i="5"/>
  <c r="J93" i="5"/>
  <c r="F93" i="5"/>
  <c r="V92" i="5"/>
  <c r="R92" i="5"/>
  <c r="N92" i="5"/>
  <c r="J92" i="5"/>
  <c r="F92" i="5"/>
  <c r="V91" i="5"/>
  <c r="R91" i="5"/>
  <c r="N91" i="5"/>
  <c r="J91" i="5"/>
  <c r="F91" i="5"/>
  <c r="R119" i="5"/>
  <c r="K119" i="5"/>
  <c r="W118" i="5"/>
  <c r="Q118" i="5"/>
  <c r="J118" i="5"/>
  <c r="V117" i="5"/>
  <c r="O117" i="5"/>
  <c r="I117" i="5"/>
  <c r="U116" i="5"/>
  <c r="N116" i="5"/>
  <c r="G116" i="5"/>
  <c r="S115" i="5"/>
  <c r="M115" i="5"/>
  <c r="F115" i="5"/>
  <c r="Q113" i="5"/>
  <c r="J113" i="5"/>
  <c r="W112" i="5"/>
  <c r="O112" i="5"/>
  <c r="I112" i="5"/>
  <c r="V111" i="5"/>
  <c r="N111" i="5"/>
  <c r="G111" i="5"/>
  <c r="U110" i="5"/>
  <c r="M110" i="5"/>
  <c r="F110" i="5"/>
  <c r="S109" i="5"/>
  <c r="K109" i="5"/>
  <c r="E109" i="5"/>
  <c r="R108" i="5"/>
  <c r="J108" i="5"/>
  <c r="V106" i="5"/>
  <c r="P106" i="5"/>
  <c r="J106" i="5"/>
  <c r="E106" i="5"/>
  <c r="T105" i="5"/>
  <c r="N105" i="5"/>
  <c r="I105" i="5"/>
  <c r="R104" i="5"/>
  <c r="M104" i="5"/>
  <c r="H104" i="5"/>
  <c r="V103" i="5"/>
  <c r="Q103" i="5"/>
  <c r="L103" i="5"/>
  <c r="F103" i="5"/>
  <c r="P102" i="5"/>
  <c r="N101" i="5"/>
  <c r="M100" i="5"/>
  <c r="L99" i="5"/>
  <c r="J98" i="5"/>
  <c r="I97" i="5"/>
  <c r="H96" i="5"/>
  <c r="I95" i="5"/>
  <c r="M94" i="5"/>
  <c r="Q93" i="5"/>
  <c r="U92" i="5"/>
  <c r="E92" i="5"/>
  <c r="I91" i="5"/>
  <c r="V79" i="5"/>
  <c r="R79" i="5"/>
  <c r="N79" i="5"/>
  <c r="J79" i="5"/>
  <c r="F79" i="5"/>
  <c r="V78" i="5"/>
  <c r="R78" i="5"/>
  <c r="N78" i="5"/>
  <c r="J78" i="5"/>
  <c r="F78" i="5"/>
  <c r="V77" i="5"/>
  <c r="R77" i="5"/>
  <c r="N77" i="5"/>
  <c r="J77" i="5"/>
  <c r="F77" i="5"/>
  <c r="V76" i="5"/>
  <c r="R76" i="5"/>
  <c r="N76" i="5"/>
  <c r="J76" i="5"/>
  <c r="F76" i="5"/>
  <c r="V75" i="5"/>
  <c r="R75" i="5"/>
  <c r="N75" i="5"/>
  <c r="J75" i="5"/>
  <c r="F75" i="5"/>
  <c r="V73" i="5"/>
  <c r="R73" i="5"/>
  <c r="N73" i="5"/>
  <c r="J73" i="5"/>
  <c r="F73" i="5"/>
  <c r="V72" i="5"/>
  <c r="R72" i="5"/>
  <c r="N72" i="5"/>
  <c r="J72" i="5"/>
  <c r="F72" i="5"/>
  <c r="V71" i="5"/>
  <c r="R71" i="5"/>
  <c r="N71" i="5"/>
  <c r="J71" i="5"/>
  <c r="F71" i="5"/>
  <c r="V70" i="5"/>
  <c r="R70" i="5"/>
  <c r="N70" i="5"/>
  <c r="J70" i="5"/>
  <c r="F70" i="5"/>
  <c r="V69" i="5"/>
  <c r="R69" i="5"/>
  <c r="N69" i="5"/>
  <c r="J69" i="5"/>
  <c r="F69" i="5"/>
  <c r="V68" i="5"/>
  <c r="R68" i="5"/>
  <c r="N68" i="5"/>
  <c r="J68" i="5"/>
  <c r="F68" i="5"/>
  <c r="V66" i="5"/>
  <c r="R66" i="5"/>
  <c r="N66" i="5"/>
  <c r="J66" i="5"/>
  <c r="F66" i="5"/>
  <c r="V65" i="5"/>
  <c r="R65" i="5"/>
  <c r="N65" i="5"/>
  <c r="J65" i="5"/>
  <c r="F65" i="5"/>
  <c r="V64" i="5"/>
  <c r="R64" i="5"/>
  <c r="N64" i="5"/>
  <c r="J64" i="5"/>
  <c r="F64" i="5"/>
  <c r="V63" i="5"/>
  <c r="R63" i="5"/>
  <c r="N63" i="5"/>
  <c r="J63" i="5"/>
  <c r="F63" i="5"/>
  <c r="V62" i="5"/>
  <c r="R62" i="5"/>
  <c r="N62" i="5"/>
  <c r="J62" i="5"/>
  <c r="F62" i="5"/>
  <c r="V61" i="5"/>
  <c r="R61" i="5"/>
  <c r="N61" i="5"/>
  <c r="J61" i="5"/>
  <c r="F61" i="5"/>
  <c r="V60" i="5"/>
  <c r="R60" i="5"/>
  <c r="N60" i="5"/>
  <c r="J60" i="5"/>
  <c r="F60" i="5"/>
  <c r="V59" i="5"/>
  <c r="R59" i="5"/>
  <c r="N59" i="5"/>
  <c r="J59" i="5"/>
  <c r="F59" i="5"/>
  <c r="V58" i="5"/>
  <c r="R58" i="5"/>
  <c r="N58" i="5"/>
  <c r="J58" i="5"/>
  <c r="F58" i="5"/>
  <c r="V57" i="5"/>
  <c r="R57" i="5"/>
  <c r="N57" i="5"/>
  <c r="J57" i="5"/>
  <c r="F57" i="5"/>
  <c r="V56" i="5"/>
  <c r="R56" i="5"/>
  <c r="N56" i="5"/>
  <c r="J56" i="5"/>
  <c r="F56" i="5"/>
  <c r="V55" i="5"/>
  <c r="R55" i="5"/>
  <c r="N55" i="5"/>
  <c r="J55" i="5"/>
  <c r="F55" i="5"/>
  <c r="V54" i="5"/>
  <c r="R54" i="5"/>
  <c r="N54" i="5"/>
  <c r="J54" i="5"/>
  <c r="F54" i="5"/>
  <c r="V53" i="5"/>
  <c r="R53" i="5"/>
  <c r="N53" i="5"/>
  <c r="J53" i="5"/>
  <c r="F53" i="5"/>
  <c r="V52" i="5"/>
  <c r="R52" i="5"/>
  <c r="N52" i="5"/>
  <c r="J52" i="5"/>
  <c r="F52" i="5"/>
  <c r="V51" i="5"/>
  <c r="R51" i="5"/>
  <c r="N51" i="5"/>
  <c r="J51" i="5"/>
  <c r="F51" i="5"/>
  <c r="W39" i="5"/>
  <c r="S39" i="5"/>
  <c r="O39" i="5"/>
  <c r="K39" i="5"/>
  <c r="G39" i="5"/>
  <c r="W38" i="5"/>
  <c r="S38" i="5"/>
  <c r="O38" i="5"/>
  <c r="K38" i="5"/>
  <c r="G38" i="5"/>
  <c r="W37" i="5"/>
  <c r="S37" i="5"/>
  <c r="O37" i="5"/>
  <c r="K37" i="5"/>
  <c r="G37" i="5"/>
  <c r="W36" i="5"/>
  <c r="S36" i="5"/>
  <c r="O36" i="5"/>
  <c r="K36" i="5"/>
  <c r="G36" i="5"/>
  <c r="W35" i="5"/>
  <c r="S35" i="5"/>
  <c r="O35" i="5"/>
  <c r="K35" i="5"/>
  <c r="G35" i="5"/>
  <c r="W33" i="5"/>
  <c r="S33" i="5"/>
  <c r="O33" i="5"/>
  <c r="K33" i="5"/>
  <c r="G33" i="5"/>
  <c r="W32" i="5"/>
  <c r="S32" i="5"/>
  <c r="O32" i="5"/>
  <c r="K32" i="5"/>
  <c r="G32" i="5"/>
  <c r="W31" i="5"/>
  <c r="S31" i="5"/>
  <c r="O31" i="5"/>
  <c r="K31" i="5"/>
  <c r="G31" i="5"/>
  <c r="W30" i="5"/>
  <c r="S30" i="5"/>
  <c r="O30" i="5"/>
  <c r="K30" i="5"/>
  <c r="G30" i="5"/>
  <c r="W29" i="5"/>
  <c r="S29" i="5"/>
  <c r="O29" i="5"/>
  <c r="K29" i="5"/>
  <c r="G29" i="5"/>
  <c r="W28" i="5"/>
  <c r="S28" i="5"/>
  <c r="O28" i="5"/>
  <c r="K28" i="5"/>
  <c r="G28" i="5"/>
  <c r="W26" i="5"/>
  <c r="S26" i="5"/>
  <c r="O26" i="5"/>
  <c r="K26" i="5"/>
  <c r="G26" i="5"/>
  <c r="W25" i="5"/>
  <c r="S25" i="5"/>
  <c r="O25" i="5"/>
  <c r="K25" i="5"/>
  <c r="G25" i="5"/>
  <c r="W24" i="5"/>
  <c r="S24" i="5"/>
  <c r="O24" i="5"/>
  <c r="K24" i="5"/>
  <c r="G24" i="5"/>
  <c r="W23" i="5"/>
  <c r="S23" i="5"/>
  <c r="O23" i="5"/>
  <c r="K23" i="5"/>
  <c r="G23" i="5"/>
  <c r="W22" i="5"/>
  <c r="S22" i="5"/>
  <c r="O22" i="5"/>
  <c r="K22" i="5"/>
  <c r="G22" i="5"/>
  <c r="W21" i="5"/>
  <c r="S21" i="5"/>
  <c r="O21" i="5"/>
  <c r="K21" i="5"/>
  <c r="G21" i="5"/>
  <c r="W20" i="5"/>
  <c r="S20" i="5"/>
  <c r="O20" i="5"/>
  <c r="K20" i="5"/>
  <c r="G20" i="5"/>
  <c r="W19" i="5"/>
  <c r="S19" i="5"/>
  <c r="O19" i="5"/>
  <c r="K19" i="5"/>
  <c r="G19" i="5"/>
  <c r="J102" i="5"/>
  <c r="I101" i="5"/>
  <c r="H100" i="5"/>
  <c r="F99" i="5"/>
  <c r="E98" i="5"/>
  <c r="V95" i="5"/>
  <c r="E95" i="5"/>
  <c r="I94" i="5"/>
  <c r="M93" i="5"/>
  <c r="Q92" i="5"/>
  <c r="U91" i="5"/>
  <c r="E91" i="5"/>
  <c r="E102" i="5"/>
  <c r="V99" i="5"/>
  <c r="U98" i="5"/>
  <c r="T97" i="5"/>
  <c r="R96" i="5"/>
  <c r="Q95" i="5"/>
  <c r="U94" i="5"/>
  <c r="E94" i="5"/>
  <c r="I93" i="5"/>
  <c r="M92" i="5"/>
  <c r="Q91" i="5"/>
  <c r="T79" i="5"/>
  <c r="P79" i="5"/>
  <c r="L79" i="5"/>
  <c r="H79" i="5"/>
  <c r="T78" i="5"/>
  <c r="P78" i="5"/>
  <c r="L78" i="5"/>
  <c r="H78" i="5"/>
  <c r="T77" i="5"/>
  <c r="P77" i="5"/>
  <c r="L77" i="5"/>
  <c r="H77" i="5"/>
  <c r="T76" i="5"/>
  <c r="P76" i="5"/>
  <c r="L76" i="5"/>
  <c r="H76" i="5"/>
  <c r="T75" i="5"/>
  <c r="T80" i="5" s="1"/>
  <c r="P75" i="5"/>
  <c r="L75" i="5"/>
  <c r="L80" i="5" s="1"/>
  <c r="H75" i="5"/>
  <c r="H80" i="5" s="1"/>
  <c r="T73" i="5"/>
  <c r="P73" i="5"/>
  <c r="L73" i="5"/>
  <c r="H73" i="5"/>
  <c r="T72" i="5"/>
  <c r="P72" i="5"/>
  <c r="L72" i="5"/>
  <c r="H72" i="5"/>
  <c r="T71" i="5"/>
  <c r="P71" i="5"/>
  <c r="L71" i="5"/>
  <c r="H71" i="5"/>
  <c r="T70" i="5"/>
  <c r="P70" i="5"/>
  <c r="L70" i="5"/>
  <c r="H70" i="5"/>
  <c r="T69" i="5"/>
  <c r="P69" i="5"/>
  <c r="L69" i="5"/>
  <c r="H69" i="5"/>
  <c r="T68" i="5"/>
  <c r="T74" i="5" s="1"/>
  <c r="P68" i="5"/>
  <c r="P74" i="5" s="1"/>
  <c r="L68" i="5"/>
  <c r="L74" i="5" s="1"/>
  <c r="H68" i="5"/>
  <c r="H74" i="5" s="1"/>
  <c r="T66" i="5"/>
  <c r="P66" i="5"/>
  <c r="L66" i="5"/>
  <c r="H66" i="5"/>
  <c r="T65" i="5"/>
  <c r="P65" i="5"/>
  <c r="L65" i="5"/>
  <c r="H65" i="5"/>
  <c r="T64" i="5"/>
  <c r="P64" i="5"/>
  <c r="L64" i="5"/>
  <c r="H64" i="5"/>
  <c r="T63" i="5"/>
  <c r="P63" i="5"/>
  <c r="L63" i="5"/>
  <c r="H63" i="5"/>
  <c r="T62" i="5"/>
  <c r="P62" i="5"/>
  <c r="L62" i="5"/>
  <c r="H62" i="5"/>
  <c r="T61" i="5"/>
  <c r="P61" i="5"/>
  <c r="L61" i="5"/>
  <c r="H61" i="5"/>
  <c r="T60" i="5"/>
  <c r="P60" i="5"/>
  <c r="L60" i="5"/>
  <c r="H60" i="5"/>
  <c r="T59" i="5"/>
  <c r="P59" i="5"/>
  <c r="L59" i="5"/>
  <c r="H59" i="5"/>
  <c r="T58" i="5"/>
  <c r="P58" i="5"/>
  <c r="L58" i="5"/>
  <c r="H58" i="5"/>
  <c r="T57" i="5"/>
  <c r="P57" i="5"/>
  <c r="L57" i="5"/>
  <c r="H57" i="5"/>
  <c r="T56" i="5"/>
  <c r="P56" i="5"/>
  <c r="L56" i="5"/>
  <c r="H56" i="5"/>
  <c r="T55" i="5"/>
  <c r="P55" i="5"/>
  <c r="L55" i="5"/>
  <c r="H55" i="5"/>
  <c r="T54" i="5"/>
  <c r="P54" i="5"/>
  <c r="U102" i="5"/>
  <c r="T101" i="5"/>
  <c r="R100" i="5"/>
  <c r="Q99" i="5"/>
  <c r="P98" i="5"/>
  <c r="N97" i="5"/>
  <c r="M96" i="5"/>
  <c r="M95" i="5"/>
  <c r="Q94" i="5"/>
  <c r="U93" i="5"/>
  <c r="E93" i="5"/>
  <c r="I92" i="5"/>
  <c r="M91" i="5"/>
  <c r="W79" i="5"/>
  <c r="S79" i="5"/>
  <c r="O79" i="5"/>
  <c r="K79" i="5"/>
  <c r="G79" i="5"/>
  <c r="W78" i="5"/>
  <c r="S78" i="5"/>
  <c r="O78" i="5"/>
  <c r="K78" i="5"/>
  <c r="G78" i="5"/>
  <c r="W77" i="5"/>
  <c r="S77" i="5"/>
  <c r="O77" i="5"/>
  <c r="K77" i="5"/>
  <c r="G77" i="5"/>
  <c r="W76" i="5"/>
  <c r="S76" i="5"/>
  <c r="O76" i="5"/>
  <c r="K76" i="5"/>
  <c r="G76" i="5"/>
  <c r="W75" i="5"/>
  <c r="S75" i="5"/>
  <c r="O75" i="5"/>
  <c r="K75" i="5"/>
  <c r="G75" i="5"/>
  <c r="W73" i="5"/>
  <c r="S73" i="5"/>
  <c r="O73" i="5"/>
  <c r="K73" i="5"/>
  <c r="G73" i="5"/>
  <c r="W72" i="5"/>
  <c r="S72" i="5"/>
  <c r="O72" i="5"/>
  <c r="K72" i="5"/>
  <c r="G72" i="5"/>
  <c r="W71" i="5"/>
  <c r="S71" i="5"/>
  <c r="O71" i="5"/>
  <c r="K71" i="5"/>
  <c r="G71" i="5"/>
  <c r="W70" i="5"/>
  <c r="S70" i="5"/>
  <c r="O70" i="5"/>
  <c r="K70" i="5"/>
  <c r="G70" i="5"/>
  <c r="W69" i="5"/>
  <c r="S69" i="5"/>
  <c r="O69" i="5"/>
  <c r="K69" i="5"/>
  <c r="G69" i="5"/>
  <c r="W68" i="5"/>
  <c r="S68" i="5"/>
  <c r="O68" i="5"/>
  <c r="K68" i="5"/>
  <c r="G68" i="5"/>
  <c r="W66" i="5"/>
  <c r="S66" i="5"/>
  <c r="O66" i="5"/>
  <c r="K66" i="5"/>
  <c r="G66" i="5"/>
  <c r="W65" i="5"/>
  <c r="S65" i="5"/>
  <c r="O65" i="5"/>
  <c r="K65" i="5"/>
  <c r="G65" i="5"/>
  <c r="W64" i="5"/>
  <c r="S64" i="5"/>
  <c r="O64" i="5"/>
  <c r="K64" i="5"/>
  <c r="G64" i="5"/>
  <c r="W63" i="5"/>
  <c r="S63" i="5"/>
  <c r="O63" i="5"/>
  <c r="K63" i="5"/>
  <c r="G63" i="5"/>
  <c r="W62" i="5"/>
  <c r="S62" i="5"/>
  <c r="O62" i="5"/>
  <c r="K62" i="5"/>
  <c r="G62" i="5"/>
  <c r="W61" i="5"/>
  <c r="S61" i="5"/>
  <c r="O61" i="5"/>
  <c r="K61" i="5"/>
  <c r="G61" i="5"/>
  <c r="W60" i="5"/>
  <c r="S60" i="5"/>
  <c r="O60" i="5"/>
  <c r="K60" i="5"/>
  <c r="G60" i="5"/>
  <c r="W59" i="5"/>
  <c r="S59" i="5"/>
  <c r="O59" i="5"/>
  <c r="K59" i="5"/>
  <c r="G59" i="5"/>
  <c r="W58" i="5"/>
  <c r="S58" i="5"/>
  <c r="O58" i="5"/>
  <c r="K58" i="5"/>
  <c r="G58" i="5"/>
  <c r="W57" i="5"/>
  <c r="S57" i="5"/>
  <c r="O57" i="5"/>
  <c r="K57" i="5"/>
  <c r="G57" i="5"/>
  <c r="W56" i="5"/>
  <c r="S56" i="5"/>
  <c r="O56" i="5"/>
  <c r="K56" i="5"/>
  <c r="G56" i="5"/>
  <c r="W55" i="5"/>
  <c r="S55" i="5"/>
  <c r="O55" i="5"/>
  <c r="K55" i="5"/>
  <c r="G55" i="5"/>
  <c r="W54" i="5"/>
  <c r="S54" i="5"/>
  <c r="O54" i="5"/>
  <c r="K54" i="5"/>
  <c r="G54" i="5"/>
  <c r="W53" i="5"/>
  <c r="S53" i="5"/>
  <c r="O53" i="5"/>
  <c r="M79" i="5"/>
  <c r="Q78" i="5"/>
  <c r="U77" i="5"/>
  <c r="E77" i="5"/>
  <c r="I76" i="5"/>
  <c r="M75" i="5"/>
  <c r="U73" i="5"/>
  <c r="E73" i="5"/>
  <c r="I72" i="5"/>
  <c r="M71" i="5"/>
  <c r="Q70" i="5"/>
  <c r="U69" i="5"/>
  <c r="E69" i="5"/>
  <c r="I68" i="5"/>
  <c r="Q66" i="5"/>
  <c r="U65" i="5"/>
  <c r="E65" i="5"/>
  <c r="I64" i="5"/>
  <c r="M63" i="5"/>
  <c r="Q62" i="5"/>
  <c r="U61" i="5"/>
  <c r="E61" i="5"/>
  <c r="I60" i="5"/>
  <c r="M59" i="5"/>
  <c r="Q58" i="5"/>
  <c r="U57" i="5"/>
  <c r="E57" i="5"/>
  <c r="I56" i="5"/>
  <c r="M55" i="5"/>
  <c r="Q54" i="5"/>
  <c r="H54" i="5"/>
  <c r="T53" i="5"/>
  <c r="L53" i="5"/>
  <c r="G53" i="5"/>
  <c r="U52" i="5"/>
  <c r="P52" i="5"/>
  <c r="K52" i="5"/>
  <c r="E52" i="5"/>
  <c r="T51" i="5"/>
  <c r="O51" i="5"/>
  <c r="I51" i="5"/>
  <c r="T39" i="5"/>
  <c r="N39" i="5"/>
  <c r="I39" i="5"/>
  <c r="R38" i="5"/>
  <c r="M38" i="5"/>
  <c r="H38" i="5"/>
  <c r="V37" i="5"/>
  <c r="Q37" i="5"/>
  <c r="L37" i="5"/>
  <c r="F37" i="5"/>
  <c r="U36" i="5"/>
  <c r="P36" i="5"/>
  <c r="J36" i="5"/>
  <c r="E36" i="5"/>
  <c r="T35" i="5"/>
  <c r="N35" i="5"/>
  <c r="I35" i="5"/>
  <c r="V33" i="5"/>
  <c r="Q33" i="5"/>
  <c r="L33" i="5"/>
  <c r="F33" i="5"/>
  <c r="U32" i="5"/>
  <c r="P32" i="5"/>
  <c r="J32" i="5"/>
  <c r="E32" i="5"/>
  <c r="T31" i="5"/>
  <c r="N31" i="5"/>
  <c r="I31" i="5"/>
  <c r="R30" i="5"/>
  <c r="M30" i="5"/>
  <c r="H30" i="5"/>
  <c r="V29" i="5"/>
  <c r="Q29" i="5"/>
  <c r="L29" i="5"/>
  <c r="F29" i="5"/>
  <c r="U28" i="5"/>
  <c r="P28" i="5"/>
  <c r="J28" i="5"/>
  <c r="E28" i="5"/>
  <c r="R26" i="5"/>
  <c r="M26" i="5"/>
  <c r="H26" i="5"/>
  <c r="V25" i="5"/>
  <c r="Q25" i="5"/>
  <c r="L25" i="5"/>
  <c r="F25" i="5"/>
  <c r="U24" i="5"/>
  <c r="P24" i="5"/>
  <c r="J24" i="5"/>
  <c r="E24" i="5"/>
  <c r="T23" i="5"/>
  <c r="N23" i="5"/>
  <c r="I23" i="5"/>
  <c r="R22" i="5"/>
  <c r="M22" i="5"/>
  <c r="H22" i="5"/>
  <c r="V21" i="5"/>
  <c r="Q21" i="5"/>
  <c r="L21" i="5"/>
  <c r="F21" i="5"/>
  <c r="U20" i="5"/>
  <c r="P20" i="5"/>
  <c r="J20" i="5"/>
  <c r="E20" i="5"/>
  <c r="T19" i="5"/>
  <c r="N19" i="5"/>
  <c r="I19" i="5"/>
  <c r="T18" i="5"/>
  <c r="P18" i="5"/>
  <c r="L18" i="5"/>
  <c r="H18" i="5"/>
  <c r="T17" i="5"/>
  <c r="P17" i="5"/>
  <c r="L17" i="5"/>
  <c r="H17" i="5"/>
  <c r="T16" i="5"/>
  <c r="P16" i="5"/>
  <c r="L16" i="5"/>
  <c r="H16" i="5"/>
  <c r="T15" i="5"/>
  <c r="P15" i="5"/>
  <c r="L15" i="5"/>
  <c r="H15" i="5"/>
  <c r="T14" i="5"/>
  <c r="P14" i="5"/>
  <c r="L14" i="5"/>
  <c r="H14" i="5"/>
  <c r="T13" i="5"/>
  <c r="P13" i="5"/>
  <c r="U79" i="5"/>
  <c r="E79" i="5"/>
  <c r="I78" i="5"/>
  <c r="M77" i="5"/>
  <c r="Q76" i="5"/>
  <c r="U75" i="5"/>
  <c r="E75" i="5"/>
  <c r="M73" i="5"/>
  <c r="Q72" i="5"/>
  <c r="U71" i="5"/>
  <c r="E71" i="5"/>
  <c r="I70" i="5"/>
  <c r="M69" i="5"/>
  <c r="Q68" i="5"/>
  <c r="I66" i="5"/>
  <c r="M65" i="5"/>
  <c r="Q64" i="5"/>
  <c r="U63" i="5"/>
  <c r="E63" i="5"/>
  <c r="I62" i="5"/>
  <c r="M61" i="5"/>
  <c r="Q60" i="5"/>
  <c r="U59" i="5"/>
  <c r="E59" i="5"/>
  <c r="I58" i="5"/>
  <c r="M57" i="5"/>
  <c r="Q56" i="5"/>
  <c r="U55" i="5"/>
  <c r="E55" i="5"/>
  <c r="L54" i="5"/>
  <c r="P53" i="5"/>
  <c r="I53" i="5"/>
  <c r="S52" i="5"/>
  <c r="M52" i="5"/>
  <c r="H52" i="5"/>
  <c r="W51" i="5"/>
  <c r="Q51" i="5"/>
  <c r="L51" i="5"/>
  <c r="G51" i="5"/>
  <c r="V39" i="5"/>
  <c r="Q39" i="5"/>
  <c r="L39" i="5"/>
  <c r="F39" i="5"/>
  <c r="U38" i="5"/>
  <c r="P38" i="5"/>
  <c r="J38" i="5"/>
  <c r="E38" i="5"/>
  <c r="T37" i="5"/>
  <c r="N37" i="5"/>
  <c r="I37" i="5"/>
  <c r="R36" i="5"/>
  <c r="M36" i="5"/>
  <c r="H36" i="5"/>
  <c r="V35" i="5"/>
  <c r="Q35" i="5"/>
  <c r="L35" i="5"/>
  <c r="F35" i="5"/>
  <c r="T33" i="5"/>
  <c r="N33" i="5"/>
  <c r="I33" i="5"/>
  <c r="R32" i="5"/>
  <c r="M32" i="5"/>
  <c r="H32" i="5"/>
  <c r="V31" i="5"/>
  <c r="Q31" i="5"/>
  <c r="L31" i="5"/>
  <c r="F31" i="5"/>
  <c r="U30" i="5"/>
  <c r="P30" i="5"/>
  <c r="J30" i="5"/>
  <c r="E30" i="5"/>
  <c r="T29" i="5"/>
  <c r="N29" i="5"/>
  <c r="I29" i="5"/>
  <c r="R28" i="5"/>
  <c r="M28" i="5"/>
  <c r="H28" i="5"/>
  <c r="U26" i="5"/>
  <c r="P26" i="5"/>
  <c r="J26" i="5"/>
  <c r="E26" i="5"/>
  <c r="T25" i="5"/>
  <c r="N25" i="5"/>
  <c r="I25" i="5"/>
  <c r="R24" i="5"/>
  <c r="M24" i="5"/>
  <c r="H24" i="5"/>
  <c r="V23" i="5"/>
  <c r="Q23" i="5"/>
  <c r="L23" i="5"/>
  <c r="F23" i="5"/>
  <c r="U22" i="5"/>
  <c r="P22" i="5"/>
  <c r="J22" i="5"/>
  <c r="E22" i="5"/>
  <c r="T21" i="5"/>
  <c r="N21" i="5"/>
  <c r="I21" i="5"/>
  <c r="R20" i="5"/>
  <c r="M20" i="5"/>
  <c r="H20" i="5"/>
  <c r="V19" i="5"/>
  <c r="Q19" i="5"/>
  <c r="L19" i="5"/>
  <c r="F19" i="5"/>
  <c r="V18" i="5"/>
  <c r="R18" i="5"/>
  <c r="N18" i="5"/>
  <c r="J18" i="5"/>
  <c r="F18" i="5"/>
  <c r="V17" i="5"/>
  <c r="R17" i="5"/>
  <c r="N17" i="5"/>
  <c r="J17" i="5"/>
  <c r="F17" i="5"/>
  <c r="V16" i="5"/>
  <c r="R16" i="5"/>
  <c r="N16" i="5"/>
  <c r="J16" i="5"/>
  <c r="F16" i="5"/>
  <c r="V15" i="5"/>
  <c r="R15" i="5"/>
  <c r="N15" i="5"/>
  <c r="J15" i="5"/>
  <c r="F15" i="5"/>
  <c r="V14" i="5"/>
  <c r="R14" i="5"/>
  <c r="N14" i="5"/>
  <c r="J14" i="5"/>
  <c r="F14" i="5"/>
  <c r="Q79" i="5"/>
  <c r="U78" i="5"/>
  <c r="E78" i="5"/>
  <c r="I77" i="5"/>
  <c r="M76" i="5"/>
  <c r="Q75" i="5"/>
  <c r="I73" i="5"/>
  <c r="M72" i="5"/>
  <c r="Q71" i="5"/>
  <c r="U70" i="5"/>
  <c r="E70" i="5"/>
  <c r="I69" i="5"/>
  <c r="M68" i="5"/>
  <c r="U66" i="5"/>
  <c r="E66" i="5"/>
  <c r="I65" i="5"/>
  <c r="M64" i="5"/>
  <c r="Q63" i="5"/>
  <c r="U62" i="5"/>
  <c r="E62" i="5"/>
  <c r="I61" i="5"/>
  <c r="M60" i="5"/>
  <c r="Q59" i="5"/>
  <c r="U58" i="5"/>
  <c r="E58" i="5"/>
  <c r="I57" i="5"/>
  <c r="M56" i="5"/>
  <c r="Q55" i="5"/>
  <c r="U54" i="5"/>
  <c r="I54" i="5"/>
  <c r="U53" i="5"/>
  <c r="M53" i="5"/>
  <c r="H53" i="5"/>
  <c r="W52" i="5"/>
  <c r="Q52" i="5"/>
  <c r="L52" i="5"/>
  <c r="G52" i="5"/>
  <c r="U51" i="5"/>
  <c r="P51" i="5"/>
  <c r="K51" i="5"/>
  <c r="E51" i="5"/>
  <c r="U39" i="5"/>
  <c r="P39" i="5"/>
  <c r="J39" i="5"/>
  <c r="E39" i="5"/>
  <c r="T38" i="5"/>
  <c r="N38" i="5"/>
  <c r="I38" i="5"/>
  <c r="R37" i="5"/>
  <c r="M37" i="5"/>
  <c r="H37" i="5"/>
  <c r="V36" i="5"/>
  <c r="Q36" i="5"/>
  <c r="L36" i="5"/>
  <c r="F36" i="5"/>
  <c r="U35" i="5"/>
  <c r="P35" i="5"/>
  <c r="J35" i="5"/>
  <c r="E35" i="5"/>
  <c r="R33" i="5"/>
  <c r="M33" i="5"/>
  <c r="H33" i="5"/>
  <c r="V32" i="5"/>
  <c r="Q32" i="5"/>
  <c r="L32" i="5"/>
  <c r="F32" i="5"/>
  <c r="U31" i="5"/>
  <c r="P31" i="5"/>
  <c r="J31" i="5"/>
  <c r="E31" i="5"/>
  <c r="T30" i="5"/>
  <c r="N30" i="5"/>
  <c r="I30" i="5"/>
  <c r="R29" i="5"/>
  <c r="M29" i="5"/>
  <c r="H29" i="5"/>
  <c r="V28" i="5"/>
  <c r="Q28" i="5"/>
  <c r="L28" i="5"/>
  <c r="F28" i="5"/>
  <c r="T26" i="5"/>
  <c r="N26" i="5"/>
  <c r="I26" i="5"/>
  <c r="R25" i="5"/>
  <c r="M25" i="5"/>
  <c r="H25" i="5"/>
  <c r="V24" i="5"/>
  <c r="Q24" i="5"/>
  <c r="L24" i="5"/>
  <c r="F24" i="5"/>
  <c r="U23" i="5"/>
  <c r="P23" i="5"/>
  <c r="J23" i="5"/>
  <c r="E23" i="5"/>
  <c r="T22" i="5"/>
  <c r="N22" i="5"/>
  <c r="I22" i="5"/>
  <c r="R21" i="5"/>
  <c r="M21" i="5"/>
  <c r="H21" i="5"/>
  <c r="V20" i="5"/>
  <c r="Q20" i="5"/>
  <c r="L20" i="5"/>
  <c r="F20" i="5"/>
  <c r="U19" i="5"/>
  <c r="P19" i="5"/>
  <c r="J19" i="5"/>
  <c r="E19" i="5"/>
  <c r="U18" i="5"/>
  <c r="Q18" i="5"/>
  <c r="M18" i="5"/>
  <c r="I18" i="5"/>
  <c r="E18" i="5"/>
  <c r="U17" i="5"/>
  <c r="Q17" i="5"/>
  <c r="M17" i="5"/>
  <c r="I17" i="5"/>
  <c r="E17" i="5"/>
  <c r="U16" i="5"/>
  <c r="Q16" i="5"/>
  <c r="M16" i="5"/>
  <c r="I16" i="5"/>
  <c r="E16" i="5"/>
  <c r="U15" i="5"/>
  <c r="Q15" i="5"/>
  <c r="M15" i="5"/>
  <c r="I15" i="5"/>
  <c r="E15" i="5"/>
  <c r="U14" i="5"/>
  <c r="Q14" i="5"/>
  <c r="M14" i="5"/>
  <c r="I14" i="5"/>
  <c r="E14" i="5"/>
  <c r="U13" i="5"/>
  <c r="Q13" i="5"/>
  <c r="M13" i="5"/>
  <c r="A5" i="2"/>
  <c r="B6" i="2"/>
  <c r="A9" i="2"/>
  <c r="B10" i="2"/>
  <c r="A12" i="2"/>
  <c r="B13" i="2"/>
  <c r="A3" i="3"/>
  <c r="B4" i="3"/>
  <c r="B6" i="3"/>
  <c r="A7" i="3"/>
  <c r="B10" i="3"/>
  <c r="A11" i="3"/>
  <c r="B14" i="3"/>
  <c r="A15" i="3"/>
  <c r="A19" i="3"/>
  <c r="G108" i="6"/>
  <c r="G107" i="6"/>
  <c r="G105" i="6"/>
  <c r="G104" i="6"/>
  <c r="G103" i="6"/>
  <c r="G102" i="6"/>
  <c r="G101" i="6"/>
  <c r="G99" i="6"/>
  <c r="G98" i="6"/>
  <c r="G97" i="6"/>
  <c r="G96" i="6"/>
  <c r="G95" i="6"/>
  <c r="G94" i="6"/>
  <c r="G93" i="6"/>
  <c r="G88" i="6"/>
  <c r="G87" i="6"/>
  <c r="G85" i="6"/>
  <c r="G84" i="6"/>
  <c r="G83" i="6"/>
  <c r="G82" i="6"/>
  <c r="G81" i="6"/>
  <c r="G79" i="6"/>
  <c r="G78" i="6"/>
  <c r="G77" i="6"/>
  <c r="G76" i="6"/>
  <c r="G75" i="6"/>
  <c r="G74" i="6"/>
  <c r="G73" i="6"/>
  <c r="B20" i="3"/>
  <c r="A23" i="3"/>
  <c r="B24" i="3"/>
  <c r="A27" i="3"/>
  <c r="B28" i="3"/>
  <c r="B31" i="3"/>
  <c r="A34" i="3"/>
  <c r="B35" i="3"/>
  <c r="A37" i="3"/>
  <c r="B38" i="3"/>
  <c r="A41" i="3"/>
  <c r="B42" i="3"/>
  <c r="A45" i="3"/>
  <c r="B46" i="3"/>
  <c r="A49" i="3"/>
  <c r="A52" i="3"/>
  <c r="B53" i="3"/>
  <c r="I68" i="6"/>
  <c r="I67" i="6"/>
  <c r="I66" i="6"/>
  <c r="I65" i="6"/>
  <c r="I64" i="6"/>
  <c r="I62" i="6"/>
  <c r="I61" i="6"/>
  <c r="I60" i="6"/>
  <c r="I57" i="6"/>
  <c r="I56" i="6"/>
  <c r="I55" i="6"/>
  <c r="I54" i="6"/>
  <c r="I52" i="6"/>
  <c r="I51" i="6" s="1"/>
  <c r="I50" i="6"/>
  <c r="I49" i="6" s="1"/>
  <c r="I48" i="6"/>
  <c r="I47" i="6"/>
  <c r="I46" i="6"/>
  <c r="I45" i="6"/>
  <c r="I44" i="6"/>
  <c r="I43" i="6"/>
  <c r="I41" i="6"/>
  <c r="I40" i="6"/>
  <c r="I37" i="6"/>
  <c r="I36" i="6"/>
  <c r="I35" i="6"/>
  <c r="I34" i="6"/>
  <c r="I32" i="6"/>
  <c r="I31" i="6"/>
  <c r="I29" i="6"/>
  <c r="I28" i="6"/>
  <c r="I27" i="6"/>
  <c r="I26" i="6"/>
  <c r="I25" i="6"/>
  <c r="I24" i="6"/>
  <c r="I22" i="6"/>
  <c r="I21" i="6"/>
  <c r="I20" i="6"/>
  <c r="I18" i="6"/>
  <c r="I17" i="6"/>
  <c r="I16" i="6"/>
  <c r="I12" i="6"/>
  <c r="I13" i="6"/>
  <c r="I7" i="6"/>
  <c r="I14" i="6"/>
  <c r="I10" i="6"/>
  <c r="I8" i="6"/>
  <c r="I6" i="6"/>
  <c r="I11" i="6"/>
  <c r="A58" i="3"/>
  <c r="B59" i="3"/>
  <c r="A62" i="3"/>
  <c r="B63" i="3"/>
  <c r="A66" i="3"/>
  <c r="B67" i="3"/>
  <c r="A70" i="3"/>
  <c r="B71" i="3"/>
  <c r="A74" i="3"/>
  <c r="B75" i="3"/>
  <c r="A78" i="3"/>
  <c r="B79" i="3"/>
  <c r="A82" i="3"/>
  <c r="B83" i="3"/>
  <c r="A86" i="3"/>
  <c r="B87" i="3"/>
  <c r="A90" i="3"/>
  <c r="B91" i="3"/>
  <c r="A94" i="3"/>
  <c r="O68" i="6"/>
  <c r="O67" i="6"/>
  <c r="O66" i="6"/>
  <c r="O65" i="6"/>
  <c r="O64" i="6"/>
  <c r="O62" i="6"/>
  <c r="O61" i="6"/>
  <c r="O60" i="6"/>
  <c r="O57" i="6"/>
  <c r="O56" i="6"/>
  <c r="O55" i="6"/>
  <c r="O54" i="6"/>
  <c r="O52" i="6"/>
  <c r="O51" i="6" s="1"/>
  <c r="O50" i="6"/>
  <c r="O49" i="6" s="1"/>
  <c r="O48" i="6"/>
  <c r="O47" i="6"/>
  <c r="O46" i="6"/>
  <c r="O45" i="6"/>
  <c r="O44" i="6"/>
  <c r="O43" i="6"/>
  <c r="O41" i="6"/>
  <c r="O40" i="6"/>
  <c r="O37" i="6"/>
  <c r="O35" i="6"/>
  <c r="O31" i="6"/>
  <c r="O27" i="6"/>
  <c r="O13" i="6"/>
  <c r="O34" i="6"/>
  <c r="O26" i="6"/>
  <c r="O22" i="6"/>
  <c r="O18" i="6"/>
  <c r="O14" i="6"/>
  <c r="O10" i="6"/>
  <c r="O8" i="6"/>
  <c r="O6" i="6"/>
  <c r="O29" i="6"/>
  <c r="O25" i="6"/>
  <c r="O21" i="6"/>
  <c r="O17" i="6"/>
  <c r="O11" i="6"/>
  <c r="O36" i="6"/>
  <c r="O16" i="6"/>
  <c r="O20" i="6"/>
  <c r="O32" i="6"/>
  <c r="O28" i="6"/>
  <c r="O24" i="6"/>
  <c r="O12" i="6"/>
  <c r="O7" i="6"/>
  <c r="K108" i="6"/>
  <c r="K107" i="6"/>
  <c r="K105" i="6"/>
  <c r="K104" i="6"/>
  <c r="K103" i="6"/>
  <c r="K102" i="6"/>
  <c r="K101" i="6"/>
  <c r="K99" i="6"/>
  <c r="K98" i="6"/>
  <c r="K97" i="6"/>
  <c r="K96" i="6"/>
  <c r="K95" i="6"/>
  <c r="K94" i="6"/>
  <c r="K93" i="6"/>
  <c r="K88" i="6"/>
  <c r="K87" i="6"/>
  <c r="K85" i="6"/>
  <c r="K84" i="6"/>
  <c r="K83" i="6"/>
  <c r="K82" i="6"/>
  <c r="K81" i="6"/>
  <c r="K79" i="6"/>
  <c r="K78" i="6"/>
  <c r="K77" i="6"/>
  <c r="K76" i="6"/>
  <c r="K75" i="6"/>
  <c r="K74" i="6"/>
  <c r="K73" i="6"/>
  <c r="F11" i="5"/>
  <c r="J11" i="5"/>
  <c r="N11" i="5"/>
  <c r="R11" i="5"/>
  <c r="V11" i="5"/>
  <c r="F12" i="5"/>
  <c r="J12" i="5"/>
  <c r="N12" i="5"/>
  <c r="R12" i="5"/>
  <c r="V12" i="5"/>
  <c r="F13" i="5"/>
  <c r="J13" i="5"/>
  <c r="O13" i="5"/>
  <c r="W13" i="5"/>
  <c r="S14" i="5"/>
  <c r="O15" i="5"/>
  <c r="K16" i="5"/>
  <c r="G17" i="5"/>
  <c r="W17" i="5"/>
  <c r="S18" i="5"/>
  <c r="R19" i="5"/>
  <c r="T20" i="5"/>
  <c r="U21" i="5"/>
  <c r="V22" i="5"/>
  <c r="E25" i="5"/>
  <c r="F26" i="5"/>
  <c r="I28" i="5"/>
  <c r="J29" i="5"/>
  <c r="L30" i="5"/>
  <c r="M31" i="5"/>
  <c r="N32" i="5"/>
  <c r="P33" i="5"/>
  <c r="R35" i="5"/>
  <c r="T36" i="5"/>
  <c r="U37" i="5"/>
  <c r="V38" i="5"/>
  <c r="E53" i="5"/>
  <c r="M54" i="5"/>
  <c r="Q57" i="5"/>
  <c r="U60" i="5"/>
  <c r="E64" i="5"/>
  <c r="M70" i="5"/>
  <c r="Q73" i="5"/>
  <c r="U76" i="5"/>
  <c r="A7" i="2"/>
  <c r="B3" i="3"/>
  <c r="E68" i="6"/>
  <c r="E67" i="6"/>
  <c r="E66" i="6"/>
  <c r="E65" i="6"/>
  <c r="E64" i="6"/>
  <c r="E62" i="6"/>
  <c r="E61" i="6"/>
  <c r="E60" i="6"/>
  <c r="E57" i="6"/>
  <c r="E56" i="6"/>
  <c r="E55" i="6"/>
  <c r="E54" i="6"/>
  <c r="E52" i="6"/>
  <c r="E50" i="6"/>
  <c r="E48" i="6"/>
  <c r="E47" i="6"/>
  <c r="E46" i="6"/>
  <c r="E45" i="6"/>
  <c r="E44" i="6"/>
  <c r="E43" i="6"/>
  <c r="E41" i="6"/>
  <c r="E40" i="6"/>
  <c r="E37" i="6"/>
  <c r="E36" i="6"/>
  <c r="E35" i="6"/>
  <c r="E34" i="6"/>
  <c r="E32" i="6"/>
  <c r="E31" i="6"/>
  <c r="E29" i="6"/>
  <c r="E28" i="6"/>
  <c r="E27" i="6"/>
  <c r="E26" i="6"/>
  <c r="E25" i="6"/>
  <c r="E24" i="6"/>
  <c r="E22" i="6"/>
  <c r="E21" i="6"/>
  <c r="E20" i="6"/>
  <c r="E18" i="6"/>
  <c r="E17" i="6"/>
  <c r="E16" i="6"/>
  <c r="E13" i="6"/>
  <c r="E14" i="6"/>
  <c r="E7" i="6"/>
  <c r="E11" i="6"/>
  <c r="E6" i="6"/>
  <c r="E12" i="6"/>
  <c r="E10" i="6"/>
  <c r="E8" i="6"/>
  <c r="B7" i="3"/>
  <c r="A8" i="3"/>
  <c r="B11" i="3"/>
  <c r="A12" i="3"/>
  <c r="B15" i="3"/>
  <c r="A16" i="3"/>
  <c r="B19" i="3"/>
  <c r="A22" i="3"/>
  <c r="B23" i="3"/>
  <c r="A26" i="3"/>
  <c r="B27" i="3"/>
  <c r="A30" i="3"/>
  <c r="A33" i="3"/>
  <c r="B34" i="3"/>
  <c r="A36" i="3"/>
  <c r="B37" i="3"/>
  <c r="A40" i="3"/>
  <c r="B41" i="3"/>
  <c r="A44" i="3"/>
  <c r="B45" i="3"/>
  <c r="A48" i="3"/>
  <c r="B49" i="3"/>
  <c r="A51" i="3"/>
  <c r="B52" i="3"/>
  <c r="A55" i="3"/>
  <c r="A57" i="3"/>
  <c r="I108" i="6"/>
  <c r="I107" i="6"/>
  <c r="I105" i="6"/>
  <c r="I104" i="6"/>
  <c r="I103" i="6"/>
  <c r="I102" i="6"/>
  <c r="I101" i="6"/>
  <c r="I99" i="6"/>
  <c r="I98" i="6"/>
  <c r="I97" i="6"/>
  <c r="I96" i="6"/>
  <c r="I95" i="6"/>
  <c r="I94" i="6"/>
  <c r="I93" i="6"/>
  <c r="I85" i="6"/>
  <c r="I84" i="6"/>
  <c r="I83" i="6"/>
  <c r="I82" i="6"/>
  <c r="I81" i="6"/>
  <c r="I79" i="6"/>
  <c r="I78" i="6"/>
  <c r="I77" i="6"/>
  <c r="I76" i="6"/>
  <c r="I75" i="6"/>
  <c r="I74" i="6"/>
  <c r="I73" i="6"/>
  <c r="I88" i="6"/>
  <c r="I87" i="6"/>
  <c r="B58" i="3"/>
  <c r="A61" i="3"/>
  <c r="B62" i="3"/>
  <c r="A65" i="3"/>
  <c r="B66" i="3"/>
  <c r="A69" i="3"/>
  <c r="B70" i="3"/>
  <c r="A73" i="3"/>
  <c r="B74" i="3"/>
  <c r="A77" i="3"/>
  <c r="B78" i="3"/>
  <c r="A81" i="3"/>
  <c r="B82" i="3"/>
  <c r="A85" i="3"/>
  <c r="B86" i="3"/>
  <c r="A89" i="3"/>
  <c r="B90" i="3"/>
  <c r="A93" i="3"/>
  <c r="B94" i="3"/>
  <c r="T68" i="6"/>
  <c r="T67" i="6"/>
  <c r="T66" i="6"/>
  <c r="T65" i="6"/>
  <c r="T64" i="6"/>
  <c r="T62" i="6"/>
  <c r="T61" i="6"/>
  <c r="T60" i="6"/>
  <c r="T57" i="6"/>
  <c r="T56" i="6"/>
  <c r="T55" i="6"/>
  <c r="T54" i="6"/>
  <c r="T52" i="6"/>
  <c r="T51" i="6" s="1"/>
  <c r="T50" i="6"/>
  <c r="T49" i="6" s="1"/>
  <c r="T44" i="6"/>
  <c r="T43" i="6"/>
  <c r="T41" i="6"/>
  <c r="T40" i="6"/>
  <c r="T37" i="6"/>
  <c r="T36" i="6"/>
  <c r="T35" i="6"/>
  <c r="T34" i="6"/>
  <c r="T32" i="6"/>
  <c r="T31" i="6"/>
  <c r="T29" i="6"/>
  <c r="T28" i="6"/>
  <c r="T27" i="6"/>
  <c r="T26" i="6"/>
  <c r="T25" i="6"/>
  <c r="T24" i="6"/>
  <c r="T22" i="6"/>
  <c r="T21" i="6"/>
  <c r="T20" i="6"/>
  <c r="T18" i="6"/>
  <c r="T17" i="6"/>
  <c r="T16" i="6"/>
  <c r="T14" i="6"/>
  <c r="T13" i="6"/>
  <c r="T12" i="6"/>
  <c r="T11" i="6"/>
  <c r="T10" i="6"/>
  <c r="T8" i="6"/>
  <c r="T7" i="6"/>
  <c r="T6" i="6"/>
  <c r="T48" i="6"/>
  <c r="T47" i="6"/>
  <c r="T46" i="6"/>
  <c r="T45" i="6"/>
  <c r="O108" i="6"/>
  <c r="O107" i="6"/>
  <c r="O105" i="6"/>
  <c r="O104" i="6"/>
  <c r="O103" i="6"/>
  <c r="O102" i="6"/>
  <c r="O101" i="6"/>
  <c r="O99" i="6"/>
  <c r="O98" i="6"/>
  <c r="O97" i="6"/>
  <c r="O96" i="6"/>
  <c r="O95" i="6"/>
  <c r="O94" i="6"/>
  <c r="O93" i="6"/>
  <c r="O88" i="6"/>
  <c r="O87" i="6"/>
  <c r="O85" i="6"/>
  <c r="O84" i="6"/>
  <c r="O83" i="6"/>
  <c r="O82" i="6"/>
  <c r="O81" i="6"/>
  <c r="O79" i="6"/>
  <c r="O78" i="6"/>
  <c r="O77" i="6"/>
  <c r="O76" i="6"/>
  <c r="O75" i="6"/>
  <c r="O74" i="6"/>
  <c r="O73" i="6"/>
  <c r="F68" i="6"/>
  <c r="F67" i="6"/>
  <c r="F66" i="6"/>
  <c r="F65" i="6"/>
  <c r="F64" i="6"/>
  <c r="F62" i="6"/>
  <c r="F61" i="6"/>
  <c r="F60" i="6"/>
  <c r="F57" i="6"/>
  <c r="F56" i="6"/>
  <c r="F55" i="6"/>
  <c r="F54" i="6"/>
  <c r="F52" i="6"/>
  <c r="F51" i="6" s="1"/>
  <c r="F47" i="6"/>
  <c r="F46" i="6"/>
  <c r="F50" i="6"/>
  <c r="F49" i="6" s="1"/>
  <c r="F48" i="6"/>
  <c r="F45" i="6"/>
  <c r="F44" i="6"/>
  <c r="F43" i="6"/>
  <c r="F41" i="6"/>
  <c r="F40" i="6"/>
  <c r="F37" i="6"/>
  <c r="F36" i="6"/>
  <c r="F35" i="6"/>
  <c r="F34" i="6"/>
  <c r="F32" i="6"/>
  <c r="F31" i="6"/>
  <c r="F29" i="6"/>
  <c r="F28" i="6"/>
  <c r="F27" i="6"/>
  <c r="F26" i="6"/>
  <c r="F25" i="6"/>
  <c r="F24" i="6"/>
  <c r="F22" i="6"/>
  <c r="F21" i="6"/>
  <c r="F20" i="6"/>
  <c r="F18" i="6"/>
  <c r="F17" i="6"/>
  <c r="F16" i="6"/>
  <c r="F14" i="6"/>
  <c r="F13" i="6"/>
  <c r="F12" i="6"/>
  <c r="F11" i="6"/>
  <c r="F10" i="6"/>
  <c r="F8" i="6"/>
  <c r="F7" i="6"/>
  <c r="F6" i="6"/>
  <c r="G11" i="5"/>
  <c r="K11" i="5"/>
  <c r="O11" i="5"/>
  <c r="S11" i="5"/>
  <c r="W11" i="5"/>
  <c r="G12" i="5"/>
  <c r="K12" i="5"/>
  <c r="O12" i="5"/>
  <c r="S12" i="5"/>
  <c r="W12" i="5"/>
  <c r="G13" i="5"/>
  <c r="K13" i="5"/>
  <c r="R13" i="5"/>
  <c r="G14" i="5"/>
  <c r="W14" i="5"/>
  <c r="S15" i="5"/>
  <c r="O16" i="5"/>
  <c r="K17" i="5"/>
  <c r="G18" i="5"/>
  <c r="W18" i="5"/>
  <c r="E21" i="5"/>
  <c r="F22" i="5"/>
  <c r="H23" i="5"/>
  <c r="I24" i="5"/>
  <c r="J25" i="5"/>
  <c r="L26" i="5"/>
  <c r="N28" i="5"/>
  <c r="P29" i="5"/>
  <c r="Q30" i="5"/>
  <c r="R31" i="5"/>
  <c r="T32" i="5"/>
  <c r="U33" i="5"/>
  <c r="E37" i="5"/>
  <c r="F38" i="5"/>
  <c r="H39" i="5"/>
  <c r="H51" i="5"/>
  <c r="I52" i="5"/>
  <c r="K53" i="5"/>
  <c r="I55" i="5"/>
  <c r="M58" i="5"/>
  <c r="Q61" i="5"/>
  <c r="U64" i="5"/>
  <c r="E68" i="5"/>
  <c r="I71" i="5"/>
  <c r="Q77" i="5"/>
  <c r="A4" i="2"/>
  <c r="B9" i="2"/>
  <c r="B12" i="2"/>
  <c r="B4" i="2"/>
  <c r="B7" i="2"/>
  <c r="E108" i="6"/>
  <c r="E107" i="6"/>
  <c r="E105" i="6"/>
  <c r="E104" i="6"/>
  <c r="E103" i="6"/>
  <c r="E102" i="6"/>
  <c r="E101" i="6"/>
  <c r="E99" i="6"/>
  <c r="E98" i="6"/>
  <c r="E97" i="6"/>
  <c r="E96" i="6"/>
  <c r="E95" i="6"/>
  <c r="E94" i="6"/>
  <c r="E85" i="6"/>
  <c r="E84" i="6"/>
  <c r="E83" i="6"/>
  <c r="E82" i="6"/>
  <c r="E81" i="6"/>
  <c r="E79" i="6"/>
  <c r="E78" i="6"/>
  <c r="E77" i="6"/>
  <c r="E76" i="6"/>
  <c r="E75" i="6"/>
  <c r="E74" i="6"/>
  <c r="E73" i="6"/>
  <c r="E88" i="6"/>
  <c r="E87" i="6"/>
  <c r="E93" i="6"/>
  <c r="A5" i="3"/>
  <c r="B8" i="3"/>
  <c r="A9" i="3"/>
  <c r="B12" i="3"/>
  <c r="A13" i="3"/>
  <c r="B16" i="3"/>
  <c r="A17" i="3"/>
  <c r="A21" i="3"/>
  <c r="B22" i="3"/>
  <c r="A25" i="3"/>
  <c r="B26" i="3"/>
  <c r="A29" i="3"/>
  <c r="B30" i="3"/>
  <c r="A32" i="3"/>
  <c r="B33" i="3"/>
  <c r="B36" i="3"/>
  <c r="A39" i="3"/>
  <c r="B40" i="3"/>
  <c r="A43" i="3"/>
  <c r="B44" i="3"/>
  <c r="A47" i="3"/>
  <c r="B48" i="3"/>
  <c r="A50" i="3"/>
  <c r="B51" i="3"/>
  <c r="A54" i="3"/>
  <c r="B55" i="3"/>
  <c r="B57" i="3"/>
  <c r="A60" i="3"/>
  <c r="B61" i="3"/>
  <c r="A64" i="3"/>
  <c r="B65" i="3"/>
  <c r="A68" i="3"/>
  <c r="B69" i="3"/>
  <c r="A72" i="3"/>
  <c r="B73" i="3"/>
  <c r="A76" i="3"/>
  <c r="B77" i="3"/>
  <c r="A80" i="3"/>
  <c r="B81" i="3"/>
  <c r="A84" i="3"/>
  <c r="B85" i="3"/>
  <c r="A88" i="3"/>
  <c r="B89" i="3"/>
  <c r="A92" i="3"/>
  <c r="B93" i="3"/>
  <c r="T108" i="6"/>
  <c r="T107" i="6"/>
  <c r="T105" i="6"/>
  <c r="T104" i="6"/>
  <c r="T103" i="6"/>
  <c r="T102" i="6"/>
  <c r="T101" i="6"/>
  <c r="T99" i="6"/>
  <c r="T98" i="6"/>
  <c r="T97" i="6"/>
  <c r="T96" i="6"/>
  <c r="T95" i="6"/>
  <c r="T94" i="6"/>
  <c r="T93" i="6"/>
  <c r="T88" i="6"/>
  <c r="T84" i="6"/>
  <c r="T83" i="6"/>
  <c r="T82" i="6"/>
  <c r="T81" i="6"/>
  <c r="T79" i="6"/>
  <c r="T78" i="6"/>
  <c r="T77" i="6"/>
  <c r="T76" i="6"/>
  <c r="T75" i="6"/>
  <c r="T74" i="6"/>
  <c r="T73" i="6"/>
  <c r="T87" i="6"/>
  <c r="T86" i="6" s="1"/>
  <c r="T85" i="6"/>
  <c r="R68" i="6"/>
  <c r="R67" i="6"/>
  <c r="R66" i="6"/>
  <c r="R65" i="6"/>
  <c r="R64" i="6"/>
  <c r="R62" i="6"/>
  <c r="R61" i="6"/>
  <c r="R60" i="6"/>
  <c r="R57" i="6"/>
  <c r="R56" i="6"/>
  <c r="R55" i="6"/>
  <c r="R54" i="6"/>
  <c r="R52" i="6"/>
  <c r="R51" i="6" s="1"/>
  <c r="R50" i="6"/>
  <c r="R49" i="6" s="1"/>
  <c r="R47" i="6"/>
  <c r="R46" i="6"/>
  <c r="R45" i="6"/>
  <c r="R48" i="6"/>
  <c r="R44" i="6"/>
  <c r="R43" i="6"/>
  <c r="R41" i="6"/>
  <c r="R40" i="6"/>
  <c r="R37" i="6"/>
  <c r="R36" i="6"/>
  <c r="R35" i="6"/>
  <c r="R34" i="6"/>
  <c r="R32" i="6"/>
  <c r="R31" i="6"/>
  <c r="R29" i="6"/>
  <c r="R28" i="6"/>
  <c r="R27" i="6"/>
  <c r="R26" i="6"/>
  <c r="R25" i="6"/>
  <c r="R24" i="6"/>
  <c r="R22" i="6"/>
  <c r="R21" i="6"/>
  <c r="R20" i="6"/>
  <c r="R18" i="6"/>
  <c r="R17" i="6"/>
  <c r="R16" i="6"/>
  <c r="R14" i="6"/>
  <c r="R13" i="6"/>
  <c r="R12" i="6"/>
  <c r="R11" i="6"/>
  <c r="R10" i="6"/>
  <c r="R8" i="6"/>
  <c r="R6" i="6"/>
  <c r="R7" i="6"/>
  <c r="S68" i="6"/>
  <c r="S67" i="6"/>
  <c r="S66" i="6"/>
  <c r="S65" i="6"/>
  <c r="S64" i="6"/>
  <c r="S62" i="6"/>
  <c r="S61" i="6"/>
  <c r="S60" i="6"/>
  <c r="S57" i="6"/>
  <c r="S56" i="6"/>
  <c r="S55" i="6"/>
  <c r="S54" i="6"/>
  <c r="S52" i="6"/>
  <c r="S51" i="6" s="1"/>
  <c r="S50" i="6"/>
  <c r="S49" i="6" s="1"/>
  <c r="S48" i="6"/>
  <c r="S47" i="6"/>
  <c r="S46" i="6"/>
  <c r="S45" i="6"/>
  <c r="S44" i="6"/>
  <c r="S43" i="6"/>
  <c r="S41" i="6"/>
  <c r="S40" i="6"/>
  <c r="S37" i="6"/>
  <c r="S36" i="6"/>
  <c r="S32" i="6"/>
  <c r="S28" i="6"/>
  <c r="S24" i="6"/>
  <c r="S20" i="6"/>
  <c r="S16" i="6"/>
  <c r="S12" i="6"/>
  <c r="S35" i="6"/>
  <c r="S31" i="6"/>
  <c r="S27" i="6"/>
  <c r="S13" i="6"/>
  <c r="S8" i="6"/>
  <c r="S6" i="6"/>
  <c r="S34" i="6"/>
  <c r="S26" i="6"/>
  <c r="S22" i="6"/>
  <c r="S18" i="6"/>
  <c r="S14" i="6"/>
  <c r="S10" i="6"/>
  <c r="S17" i="6"/>
  <c r="S11" i="6"/>
  <c r="S21" i="6"/>
  <c r="S29" i="6"/>
  <c r="S25" i="6"/>
  <c r="S7" i="6"/>
  <c r="J68" i="6"/>
  <c r="J67" i="6"/>
  <c r="J66" i="6"/>
  <c r="J65" i="6"/>
  <c r="J64" i="6"/>
  <c r="J62" i="6"/>
  <c r="J61" i="6"/>
  <c r="J60" i="6"/>
  <c r="J57" i="6"/>
  <c r="J56" i="6"/>
  <c r="J55" i="6"/>
  <c r="J54" i="6"/>
  <c r="J52" i="6"/>
  <c r="J51" i="6" s="1"/>
  <c r="J50" i="6"/>
  <c r="J49" i="6" s="1"/>
  <c r="J48" i="6"/>
  <c r="J47" i="6"/>
  <c r="J46" i="6"/>
  <c r="J45" i="6"/>
  <c r="J44" i="6"/>
  <c r="J43" i="6"/>
  <c r="J41" i="6"/>
  <c r="J40" i="6"/>
  <c r="J37" i="6"/>
  <c r="J36" i="6"/>
  <c r="J35" i="6"/>
  <c r="J34" i="6"/>
  <c r="J32" i="6"/>
  <c r="J31" i="6"/>
  <c r="J29" i="6"/>
  <c r="J28" i="6"/>
  <c r="J27" i="6"/>
  <c r="J26" i="6"/>
  <c r="J25" i="6"/>
  <c r="J24" i="6"/>
  <c r="J22" i="6"/>
  <c r="J21" i="6"/>
  <c r="J20" i="6"/>
  <c r="J18" i="6"/>
  <c r="J17" i="6"/>
  <c r="J16" i="6"/>
  <c r="J14" i="6"/>
  <c r="J13" i="6"/>
  <c r="J12" i="6"/>
  <c r="J11" i="6"/>
  <c r="J10" i="6"/>
  <c r="J8" i="6"/>
  <c r="J7" i="6"/>
  <c r="J6" i="6"/>
  <c r="F108" i="6"/>
  <c r="F107" i="6"/>
  <c r="F105" i="6"/>
  <c r="F104" i="6"/>
  <c r="F103" i="6"/>
  <c r="F102" i="6"/>
  <c r="F101" i="6"/>
  <c r="F99" i="6"/>
  <c r="F98" i="6"/>
  <c r="F97" i="6"/>
  <c r="F96" i="6"/>
  <c r="F95" i="6"/>
  <c r="F88" i="6"/>
  <c r="F87" i="6"/>
  <c r="F94" i="6"/>
  <c r="F93" i="6"/>
  <c r="F85" i="6"/>
  <c r="F84" i="6"/>
  <c r="F83" i="6"/>
  <c r="F82" i="6"/>
  <c r="F81" i="6"/>
  <c r="F79" i="6"/>
  <c r="F78" i="6"/>
  <c r="F77" i="6"/>
  <c r="F76" i="6"/>
  <c r="F75" i="6"/>
  <c r="F74" i="6"/>
  <c r="F73" i="6"/>
  <c r="H11" i="5"/>
  <c r="L11" i="5"/>
  <c r="P11" i="5"/>
  <c r="T11" i="5"/>
  <c r="H12" i="5"/>
  <c r="L12" i="5"/>
  <c r="P12" i="5"/>
  <c r="T12" i="5"/>
  <c r="H13" i="5"/>
  <c r="L13" i="5"/>
  <c r="S13" i="5"/>
  <c r="K14" i="5"/>
  <c r="G15" i="5"/>
  <c r="W15" i="5"/>
  <c r="S16" i="5"/>
  <c r="O17" i="5"/>
  <c r="K18" i="5"/>
  <c r="H19" i="5"/>
  <c r="I20" i="5"/>
  <c r="J21" i="5"/>
  <c r="L22" i="5"/>
  <c r="M23" i="5"/>
  <c r="N24" i="5"/>
  <c r="P25" i="5"/>
  <c r="Q26" i="5"/>
  <c r="T28" i="5"/>
  <c r="U29" i="5"/>
  <c r="V30" i="5"/>
  <c r="E33" i="5"/>
  <c r="H35" i="5"/>
  <c r="I36" i="5"/>
  <c r="J37" i="5"/>
  <c r="L38" i="5"/>
  <c r="M39" i="5"/>
  <c r="M51" i="5"/>
  <c r="O52" i="5"/>
  <c r="Q53" i="5"/>
  <c r="E56" i="5"/>
  <c r="I59" i="5"/>
  <c r="M62" i="5"/>
  <c r="Q65" i="5"/>
  <c r="U68" i="5"/>
  <c r="E72" i="5"/>
  <c r="I75" i="5"/>
  <c r="M78" i="5"/>
  <c r="D45" i="5"/>
  <c r="D23" i="1" s="1"/>
  <c r="D85" i="5"/>
  <c r="E23" i="1" s="1"/>
  <c r="M5" i="6"/>
  <c r="W9" i="6"/>
  <c r="W4" i="6" l="1"/>
  <c r="M4" i="6"/>
  <c r="R40" i="5"/>
  <c r="G33" i="6"/>
  <c r="P80" i="5"/>
  <c r="L114" i="5"/>
  <c r="S120" i="5"/>
  <c r="O107" i="5"/>
  <c r="D33" i="5"/>
  <c r="F34" i="5"/>
  <c r="P71" i="6"/>
  <c r="P49" i="5" s="1"/>
  <c r="N58" i="6"/>
  <c r="L58" i="6"/>
  <c r="W71" i="6"/>
  <c r="W49" i="5" s="1"/>
  <c r="Q38" i="6"/>
  <c r="M58" i="6"/>
  <c r="U71" i="6"/>
  <c r="U49" i="5" s="1"/>
  <c r="M71" i="6"/>
  <c r="M49" i="5" s="1"/>
  <c r="W58" i="6"/>
  <c r="L91" i="6"/>
  <c r="L89" i="5" s="1"/>
  <c r="H71" i="6"/>
  <c r="H49" i="5" s="1"/>
  <c r="P38" i="6"/>
  <c r="W38" i="6"/>
  <c r="U91" i="6"/>
  <c r="U89" i="5" s="1"/>
  <c r="Q91" i="6"/>
  <c r="Q89" i="5" s="1"/>
  <c r="N91" i="6"/>
  <c r="N89" i="5" s="1"/>
  <c r="Q58" i="6"/>
  <c r="U58" i="6"/>
  <c r="H58" i="6"/>
  <c r="L4" i="6"/>
  <c r="H91" i="6"/>
  <c r="H89" i="5" s="1"/>
  <c r="V4" i="6"/>
  <c r="N4" i="6"/>
  <c r="H38" i="6"/>
  <c r="U4" i="6"/>
  <c r="V38" i="6"/>
  <c r="V91" i="6"/>
  <c r="V89" i="5" s="1"/>
  <c r="N38" i="6"/>
  <c r="L38" i="6"/>
  <c r="W91" i="6"/>
  <c r="W89" i="5" s="1"/>
  <c r="P91" i="6"/>
  <c r="P89" i="5" s="1"/>
  <c r="K63" i="6"/>
  <c r="J80" i="6"/>
  <c r="O19" i="6"/>
  <c r="I9" i="6"/>
  <c r="G106" i="6"/>
  <c r="S106" i="6"/>
  <c r="R86" i="6"/>
  <c r="M38" i="6"/>
  <c r="U38" i="6"/>
  <c r="V58" i="6"/>
  <c r="I19" i="6"/>
  <c r="I63" i="6"/>
  <c r="G92" i="6"/>
  <c r="F80" i="6"/>
  <c r="J9" i="6"/>
  <c r="J19" i="6"/>
  <c r="P58" i="6"/>
  <c r="I80" i="5"/>
  <c r="H67" i="5"/>
  <c r="H46" i="5" s="1"/>
  <c r="H48" i="5" s="1"/>
  <c r="N34" i="5"/>
  <c r="I34" i="5"/>
  <c r="P40" i="5"/>
  <c r="D106" i="5"/>
  <c r="G107" i="5"/>
  <c r="J114" i="5"/>
  <c r="F120" i="5"/>
  <c r="R114" i="5"/>
  <c r="M120" i="5"/>
  <c r="P67" i="5"/>
  <c r="P46" i="5" s="1"/>
  <c r="P48" i="5" s="1"/>
  <c r="D72" i="5"/>
  <c r="D56" i="5"/>
  <c r="O74" i="5"/>
  <c r="G80" i="5"/>
  <c r="W80" i="5"/>
  <c r="N67" i="5"/>
  <c r="N74" i="5"/>
  <c r="F80" i="5"/>
  <c r="V80" i="5"/>
  <c r="U74" i="5"/>
  <c r="K34" i="5"/>
  <c r="S40" i="5"/>
  <c r="G39" i="6"/>
  <c r="H4" i="6"/>
  <c r="M91" i="6"/>
  <c r="M89" i="5" s="1"/>
  <c r="K19" i="6"/>
  <c r="G30" i="6"/>
  <c r="N71" i="6"/>
  <c r="N49" i="5" s="1"/>
  <c r="Q71" i="6"/>
  <c r="Q49" i="5" s="1"/>
  <c r="L71" i="6"/>
  <c r="L49" i="5" s="1"/>
  <c r="P4" i="6"/>
  <c r="J5" i="6"/>
  <c r="J15" i="6"/>
  <c r="J30" i="6"/>
  <c r="J42" i="6"/>
  <c r="J53" i="6"/>
  <c r="J59" i="6"/>
  <c r="S30" i="6"/>
  <c r="S42" i="6"/>
  <c r="S53" i="6"/>
  <c r="S59" i="6"/>
  <c r="R23" i="6"/>
  <c r="R33" i="6"/>
  <c r="R39" i="6"/>
  <c r="F39" i="6"/>
  <c r="O106" i="6"/>
  <c r="K106" i="6"/>
  <c r="O39" i="6"/>
  <c r="I30" i="6"/>
  <c r="V71" i="6"/>
  <c r="V49" i="5" s="1"/>
  <c r="Q4" i="6"/>
  <c r="O100" i="6"/>
  <c r="T23" i="6"/>
  <c r="T33" i="6"/>
  <c r="T39" i="6"/>
  <c r="I72" i="6"/>
  <c r="I92" i="6"/>
  <c r="I106" i="6"/>
  <c r="K100" i="6"/>
  <c r="O5" i="6"/>
  <c r="S19" i="6"/>
  <c r="D97" i="6"/>
  <c r="D102" i="6"/>
  <c r="J100" i="6"/>
  <c r="S72" i="6"/>
  <c r="S86" i="6"/>
  <c r="R92" i="6"/>
  <c r="R106" i="6"/>
  <c r="G42" i="6"/>
  <c r="G53" i="6"/>
  <c r="G59" i="6"/>
  <c r="J63" i="6"/>
  <c r="S33" i="6"/>
  <c r="S15" i="6"/>
  <c r="S63" i="6"/>
  <c r="R5" i="6"/>
  <c r="T72" i="6"/>
  <c r="T92" i="6"/>
  <c r="T106" i="6"/>
  <c r="E86" i="6"/>
  <c r="D87" i="6"/>
  <c r="D75" i="6"/>
  <c r="D79" i="6"/>
  <c r="D84" i="6"/>
  <c r="D96" i="6"/>
  <c r="E100" i="6"/>
  <c r="D101" i="6"/>
  <c r="D105" i="6"/>
  <c r="D68" i="5"/>
  <c r="E74" i="5"/>
  <c r="S27" i="5"/>
  <c r="F5" i="6"/>
  <c r="F15" i="6"/>
  <c r="F30" i="6"/>
  <c r="F42" i="6"/>
  <c r="F53" i="6"/>
  <c r="F59" i="6"/>
  <c r="O72" i="6"/>
  <c r="O86" i="6"/>
  <c r="I80" i="6"/>
  <c r="I100" i="6"/>
  <c r="D6" i="6"/>
  <c r="E5" i="6"/>
  <c r="D13" i="6"/>
  <c r="D20" i="6"/>
  <c r="E19" i="6"/>
  <c r="D25" i="6"/>
  <c r="D29" i="6"/>
  <c r="D35" i="6"/>
  <c r="D41" i="6"/>
  <c r="D46" i="6"/>
  <c r="D52" i="6"/>
  <c r="E51" i="6"/>
  <c r="D51" i="6" s="1"/>
  <c r="D57" i="6"/>
  <c r="D64" i="6"/>
  <c r="E63" i="6"/>
  <c r="D68" i="6"/>
  <c r="R27" i="5"/>
  <c r="K72" i="6"/>
  <c r="K86" i="6"/>
  <c r="O33" i="6"/>
  <c r="O42" i="6"/>
  <c r="O53" i="6"/>
  <c r="O59" i="6"/>
  <c r="I23" i="6"/>
  <c r="I33" i="6"/>
  <c r="I39" i="6"/>
  <c r="G100" i="6"/>
  <c r="D17" i="5"/>
  <c r="D23" i="5"/>
  <c r="Q34" i="5"/>
  <c r="D31" i="5"/>
  <c r="J40" i="5"/>
  <c r="U67" i="5"/>
  <c r="U46" i="5" s="1"/>
  <c r="U48" i="5" s="1"/>
  <c r="Q80" i="5"/>
  <c r="M34" i="5"/>
  <c r="L40" i="5"/>
  <c r="W67" i="5"/>
  <c r="D59" i="5"/>
  <c r="P34" i="5"/>
  <c r="D32" i="5"/>
  <c r="I40" i="5"/>
  <c r="D52" i="5"/>
  <c r="D61" i="5"/>
  <c r="I74" i="5"/>
  <c r="M80" i="5"/>
  <c r="Q107" i="5"/>
  <c r="U107" i="5"/>
  <c r="D95" i="5"/>
  <c r="N107" i="5"/>
  <c r="V120" i="5"/>
  <c r="W107" i="5"/>
  <c r="D96" i="5"/>
  <c r="D104" i="5"/>
  <c r="N114" i="5"/>
  <c r="I120" i="5"/>
  <c r="P107" i="5"/>
  <c r="P86" i="5" s="1"/>
  <c r="P88" i="5" s="1"/>
  <c r="D99" i="5"/>
  <c r="I114" i="5"/>
  <c r="K114" i="5"/>
  <c r="O120" i="5"/>
  <c r="D29" i="5"/>
  <c r="U27" i="5"/>
  <c r="E27" i="5"/>
  <c r="D11" i="5"/>
  <c r="S92" i="6"/>
  <c r="R72" i="6"/>
  <c r="G5" i="6"/>
  <c r="G15" i="6"/>
  <c r="T27" i="5"/>
  <c r="E80" i="6"/>
  <c r="D81" i="6"/>
  <c r="O27" i="5"/>
  <c r="D8" i="6"/>
  <c r="D11" i="6"/>
  <c r="D16" i="6"/>
  <c r="E15" i="6"/>
  <c r="D21" i="6"/>
  <c r="D26" i="6"/>
  <c r="D31" i="6"/>
  <c r="E30" i="6"/>
  <c r="D36" i="6"/>
  <c r="D43" i="6"/>
  <c r="E42" i="6"/>
  <c r="D47" i="6"/>
  <c r="D54" i="6"/>
  <c r="E53" i="6"/>
  <c r="D60" i="6"/>
  <c r="E59" i="6"/>
  <c r="D65" i="6"/>
  <c r="N27" i="5"/>
  <c r="D14" i="5"/>
  <c r="D18" i="5"/>
  <c r="V34" i="5"/>
  <c r="D39" i="5"/>
  <c r="D51" i="5"/>
  <c r="E67" i="5"/>
  <c r="D58" i="5"/>
  <c r="M74" i="5"/>
  <c r="D22" i="5"/>
  <c r="R34" i="5"/>
  <c r="D30" i="5"/>
  <c r="Q40" i="5"/>
  <c r="D38" i="5"/>
  <c r="G67" i="5"/>
  <c r="D63" i="5"/>
  <c r="D71" i="5"/>
  <c r="D75" i="5"/>
  <c r="E80" i="5"/>
  <c r="D20" i="5"/>
  <c r="U34" i="5"/>
  <c r="N40" i="5"/>
  <c r="I67" i="5"/>
  <c r="D65" i="5"/>
  <c r="D69" i="5"/>
  <c r="S74" i="5"/>
  <c r="K80" i="5"/>
  <c r="M107" i="5"/>
  <c r="O34" i="5"/>
  <c r="G40" i="5"/>
  <c r="W40" i="5"/>
  <c r="R67" i="5"/>
  <c r="R74" i="5"/>
  <c r="J80" i="5"/>
  <c r="I107" i="5"/>
  <c r="R107" i="5"/>
  <c r="D97" i="5"/>
  <c r="D105" i="5"/>
  <c r="D108" i="5"/>
  <c r="E114" i="5"/>
  <c r="K107" i="5"/>
  <c r="U114" i="5"/>
  <c r="Q120" i="5"/>
  <c r="D117" i="5"/>
  <c r="T107" i="5"/>
  <c r="T86" i="5" s="1"/>
  <c r="T88" i="5" s="1"/>
  <c r="O114" i="5"/>
  <c r="D110" i="5"/>
  <c r="K120" i="5"/>
  <c r="Q114" i="5"/>
  <c r="U120" i="5"/>
  <c r="D119" i="5"/>
  <c r="D54" i="5"/>
  <c r="Q27" i="5"/>
  <c r="K9" i="6"/>
  <c r="K30" i="6"/>
  <c r="K42" i="6"/>
  <c r="K53" i="6"/>
  <c r="K59" i="6"/>
  <c r="J72" i="6"/>
  <c r="J92" i="6"/>
  <c r="S80" i="6"/>
  <c r="R100" i="6"/>
  <c r="G19" i="6"/>
  <c r="G63" i="6"/>
  <c r="H27" i="5"/>
  <c r="F72" i="6"/>
  <c r="F92" i="6"/>
  <c r="D88" i="6"/>
  <c r="D85" i="6"/>
  <c r="E106" i="6"/>
  <c r="D107" i="6"/>
  <c r="M67" i="5"/>
  <c r="P27" i="5"/>
  <c r="P6" i="5" s="1"/>
  <c r="P8" i="5" s="1"/>
  <c r="F100" i="6"/>
  <c r="S23" i="6"/>
  <c r="R9" i="6"/>
  <c r="R19" i="6"/>
  <c r="R63" i="6"/>
  <c r="E72" i="6"/>
  <c r="D73" i="6"/>
  <c r="D77" i="6"/>
  <c r="D82" i="6"/>
  <c r="D94" i="6"/>
  <c r="D98" i="6"/>
  <c r="D103" i="6"/>
  <c r="D108" i="6"/>
  <c r="K27" i="5"/>
  <c r="F23" i="6"/>
  <c r="F33" i="6"/>
  <c r="O92" i="6"/>
  <c r="T9" i="6"/>
  <c r="T19" i="6"/>
  <c r="T63" i="6"/>
  <c r="D10" i="6"/>
  <c r="E9" i="6"/>
  <c r="D7" i="6"/>
  <c r="D17" i="6"/>
  <c r="D22" i="6"/>
  <c r="D27" i="6"/>
  <c r="D32" i="6"/>
  <c r="D37" i="6"/>
  <c r="D44" i="6"/>
  <c r="D48" i="6"/>
  <c r="D55" i="6"/>
  <c r="D61" i="6"/>
  <c r="D66" i="6"/>
  <c r="J27" i="5"/>
  <c r="K92" i="6"/>
  <c r="O23" i="6"/>
  <c r="O15" i="6"/>
  <c r="I15" i="6"/>
  <c r="I42" i="6"/>
  <c r="I53" i="6"/>
  <c r="I59" i="6"/>
  <c r="G80" i="6"/>
  <c r="D15" i="5"/>
  <c r="D19" i="5"/>
  <c r="U40" i="5"/>
  <c r="K67" i="5"/>
  <c r="D62" i="5"/>
  <c r="V40" i="5"/>
  <c r="L67" i="5"/>
  <c r="L46" i="5" s="1"/>
  <c r="L48" i="5" s="1"/>
  <c r="Q74" i="5"/>
  <c r="U80" i="5"/>
  <c r="D79" i="5"/>
  <c r="E34" i="5"/>
  <c r="D28" i="5"/>
  <c r="T40" i="5"/>
  <c r="O67" i="5"/>
  <c r="D73" i="5"/>
  <c r="D77" i="5"/>
  <c r="G74" i="5"/>
  <c r="W74" i="5"/>
  <c r="O80" i="5"/>
  <c r="D102" i="5"/>
  <c r="D98" i="5"/>
  <c r="S34" i="5"/>
  <c r="K40" i="5"/>
  <c r="F67" i="5"/>
  <c r="V67" i="5"/>
  <c r="F74" i="5"/>
  <c r="V74" i="5"/>
  <c r="N80" i="5"/>
  <c r="D92" i="5"/>
  <c r="D109" i="5"/>
  <c r="F107" i="5"/>
  <c r="V107" i="5"/>
  <c r="M114" i="5"/>
  <c r="G120" i="5"/>
  <c r="D118" i="5"/>
  <c r="D100" i="5"/>
  <c r="D112" i="5"/>
  <c r="W120" i="5"/>
  <c r="H107" i="5"/>
  <c r="H86" i="5" s="1"/>
  <c r="H88" i="5" s="1"/>
  <c r="D103" i="5"/>
  <c r="W114" i="5"/>
  <c r="R120" i="5"/>
  <c r="V114" i="5"/>
  <c r="D111" i="5"/>
  <c r="D115" i="5"/>
  <c r="E120" i="5"/>
  <c r="H121" i="5"/>
  <c r="D76" i="5"/>
  <c r="D13" i="5"/>
  <c r="M27" i="5"/>
  <c r="K33" i="6"/>
  <c r="G9" i="6"/>
  <c r="G23" i="6"/>
  <c r="S5" i="6"/>
  <c r="D76" i="6"/>
  <c r="H40" i="5"/>
  <c r="T34" i="5"/>
  <c r="L27" i="5"/>
  <c r="F86" i="6"/>
  <c r="F106" i="6"/>
  <c r="J23" i="6"/>
  <c r="J33" i="6"/>
  <c r="J39" i="6"/>
  <c r="S9" i="6"/>
  <c r="S39" i="6"/>
  <c r="R15" i="6"/>
  <c r="R30" i="6"/>
  <c r="R42" i="6"/>
  <c r="R53" i="6"/>
  <c r="R59" i="6"/>
  <c r="T80" i="6"/>
  <c r="T100" i="6"/>
  <c r="D93" i="6"/>
  <c r="E92" i="6"/>
  <c r="D74" i="6"/>
  <c r="D78" i="6"/>
  <c r="D83" i="6"/>
  <c r="D95" i="6"/>
  <c r="D99" i="6"/>
  <c r="D104" i="6"/>
  <c r="D37" i="5"/>
  <c r="D21" i="5"/>
  <c r="W27" i="5"/>
  <c r="G27" i="5"/>
  <c r="F9" i="6"/>
  <c r="F19" i="6"/>
  <c r="F63" i="6"/>
  <c r="O80" i="6"/>
  <c r="T5" i="6"/>
  <c r="T15" i="6"/>
  <c r="T30" i="6"/>
  <c r="T42" i="6"/>
  <c r="T53" i="6"/>
  <c r="T59" i="6"/>
  <c r="T58" i="6" s="1"/>
  <c r="I86" i="6"/>
  <c r="D12" i="6"/>
  <c r="D14" i="6"/>
  <c r="D18" i="6"/>
  <c r="D24" i="6"/>
  <c r="E23" i="6"/>
  <c r="D28" i="6"/>
  <c r="D34" i="6"/>
  <c r="E33" i="6"/>
  <c r="D40" i="6"/>
  <c r="E39" i="6"/>
  <c r="D45" i="6"/>
  <c r="E49" i="6"/>
  <c r="D49" i="6" s="1"/>
  <c r="D50" i="6"/>
  <c r="D56" i="6"/>
  <c r="D62" i="6"/>
  <c r="D67" i="6"/>
  <c r="D64" i="5"/>
  <c r="D53" i="5"/>
  <c r="D25" i="5"/>
  <c r="V27" i="5"/>
  <c r="F27" i="5"/>
  <c r="K80" i="6"/>
  <c r="O9" i="6"/>
  <c r="O30" i="6"/>
  <c r="O63" i="6"/>
  <c r="I5" i="6"/>
  <c r="G72" i="6"/>
  <c r="G86" i="6"/>
  <c r="D16" i="5"/>
  <c r="L34" i="5"/>
  <c r="E40" i="5"/>
  <c r="D35" i="5"/>
  <c r="D66" i="5"/>
  <c r="D70" i="5"/>
  <c r="D78" i="5"/>
  <c r="D26" i="5"/>
  <c r="H34" i="5"/>
  <c r="F40" i="5"/>
  <c r="Q67" i="5"/>
  <c r="D55" i="5"/>
  <c r="D24" i="5"/>
  <c r="J34" i="5"/>
  <c r="D36" i="5"/>
  <c r="T67" i="5"/>
  <c r="T46" i="5" s="1"/>
  <c r="T48" i="5" s="1"/>
  <c r="D57" i="5"/>
  <c r="K74" i="5"/>
  <c r="S80" i="5"/>
  <c r="D93" i="5"/>
  <c r="D94" i="5"/>
  <c r="E107" i="5"/>
  <c r="D91" i="5"/>
  <c r="G34" i="5"/>
  <c r="W34" i="5"/>
  <c r="O40" i="5"/>
  <c r="J67" i="5"/>
  <c r="J74" i="5"/>
  <c r="R80" i="5"/>
  <c r="J107" i="5"/>
  <c r="D101" i="5"/>
  <c r="S114" i="5"/>
  <c r="D113" i="5"/>
  <c r="N120" i="5"/>
  <c r="S107" i="5"/>
  <c r="G114" i="5"/>
  <c r="L107" i="5"/>
  <c r="L86" i="5" s="1"/>
  <c r="L88" i="5" s="1"/>
  <c r="D116" i="5"/>
  <c r="F114" i="5"/>
  <c r="J120" i="5"/>
  <c r="D60" i="5"/>
  <c r="S67" i="5"/>
  <c r="M40" i="5"/>
  <c r="D12" i="5"/>
  <c r="I27" i="5"/>
  <c r="I6" i="5" s="1"/>
  <c r="I8" i="5" s="1"/>
  <c r="K23" i="6"/>
  <c r="K15" i="6"/>
  <c r="K5" i="6"/>
  <c r="K39" i="6"/>
  <c r="J86" i="6"/>
  <c r="J106" i="6"/>
  <c r="S100" i="6"/>
  <c r="R80" i="6"/>
  <c r="W3" i="6" l="1"/>
  <c r="W9" i="5" s="1"/>
  <c r="L121" i="5"/>
  <c r="P50" i="5"/>
  <c r="M3" i="6"/>
  <c r="M9" i="5" s="1"/>
  <c r="H81" i="5"/>
  <c r="F6" i="5"/>
  <c r="F8" i="5" s="1"/>
  <c r="M41" i="5"/>
  <c r="O86" i="5"/>
  <c r="O88" i="5" s="1"/>
  <c r="P121" i="5"/>
  <c r="G86" i="5"/>
  <c r="G88" i="5" s="1"/>
  <c r="F121" i="5"/>
  <c r="N6" i="5"/>
  <c r="N8" i="5" s="1"/>
  <c r="M121" i="5"/>
  <c r="R86" i="5"/>
  <c r="R88" i="5" s="1"/>
  <c r="T81" i="5"/>
  <c r="I46" i="5"/>
  <c r="I48" i="5" s="1"/>
  <c r="J6" i="5"/>
  <c r="J8" i="5" s="1"/>
  <c r="R41" i="5"/>
  <c r="S6" i="5"/>
  <c r="S8" i="5" s="1"/>
  <c r="U50" i="5"/>
  <c r="G91" i="6"/>
  <c r="G89" i="5" s="1"/>
  <c r="N3" i="6"/>
  <c r="N9" i="5" s="1"/>
  <c r="P90" i="5"/>
  <c r="H50" i="5"/>
  <c r="L90" i="5"/>
  <c r="L3" i="6"/>
  <c r="L9" i="5" s="1"/>
  <c r="S58" i="6"/>
  <c r="V3" i="6"/>
  <c r="V9" i="5" s="1"/>
  <c r="U3" i="6"/>
  <c r="U9" i="5" s="1"/>
  <c r="S38" i="6"/>
  <c r="L50" i="5"/>
  <c r="I58" i="6"/>
  <c r="H3" i="6"/>
  <c r="H9" i="5" s="1"/>
  <c r="P3" i="6"/>
  <c r="P9" i="5" s="1"/>
  <c r="P10" i="5" s="1"/>
  <c r="Q3" i="6"/>
  <c r="Q9" i="5" s="1"/>
  <c r="J38" i="6"/>
  <c r="H90" i="5"/>
  <c r="K58" i="6"/>
  <c r="J58" i="6"/>
  <c r="I91" i="6"/>
  <c r="I89" i="5" s="1"/>
  <c r="K86" i="5"/>
  <c r="K88" i="5" s="1"/>
  <c r="V121" i="5"/>
  <c r="J121" i="5"/>
  <c r="S121" i="5"/>
  <c r="V81" i="5"/>
  <c r="P81" i="5"/>
  <c r="K46" i="5"/>
  <c r="K48" i="5" s="1"/>
  <c r="W46" i="5"/>
  <c r="W48" i="5" s="1"/>
  <c r="W50" i="5" s="1"/>
  <c r="K41" i="5"/>
  <c r="K6" i="5"/>
  <c r="K8" i="5" s="1"/>
  <c r="U86" i="5"/>
  <c r="U88" i="5" s="1"/>
  <c r="U90" i="5" s="1"/>
  <c r="J86" i="5"/>
  <c r="J88" i="5" s="1"/>
  <c r="R121" i="5"/>
  <c r="W121" i="5"/>
  <c r="F86" i="5"/>
  <c r="F88" i="5" s="1"/>
  <c r="K81" i="5"/>
  <c r="Q81" i="5"/>
  <c r="O81" i="5"/>
  <c r="N46" i="5"/>
  <c r="N48" i="5" s="1"/>
  <c r="N50" i="5" s="1"/>
  <c r="W81" i="5"/>
  <c r="O46" i="5"/>
  <c r="O48" i="5" s="1"/>
  <c r="S46" i="5"/>
  <c r="S48" i="5" s="1"/>
  <c r="N81" i="5"/>
  <c r="F46" i="5"/>
  <c r="F48" i="5" s="1"/>
  <c r="G81" i="5"/>
  <c r="U81" i="5"/>
  <c r="M46" i="5"/>
  <c r="M48" i="5" s="1"/>
  <c r="M50" i="5" s="1"/>
  <c r="M6" i="5"/>
  <c r="M8" i="5" s="1"/>
  <c r="S41" i="5"/>
  <c r="U41" i="5"/>
  <c r="N41" i="5"/>
  <c r="I41" i="5"/>
  <c r="I38" i="6"/>
  <c r="F38" i="6"/>
  <c r="J4" i="6"/>
  <c r="R91" i="6"/>
  <c r="R89" i="5" s="1"/>
  <c r="O4" i="6"/>
  <c r="I71" i="6"/>
  <c r="I49" i="5" s="1"/>
  <c r="S71" i="6"/>
  <c r="S49" i="5" s="1"/>
  <c r="S91" i="6"/>
  <c r="S89" i="5" s="1"/>
  <c r="R58" i="6"/>
  <c r="G38" i="6"/>
  <c r="O91" i="6"/>
  <c r="O89" i="5" s="1"/>
  <c r="D39" i="6"/>
  <c r="T4" i="6"/>
  <c r="K91" i="6"/>
  <c r="K89" i="5" s="1"/>
  <c r="G58" i="6"/>
  <c r="K38" i="6"/>
  <c r="K71" i="6"/>
  <c r="K49" i="5" s="1"/>
  <c r="D120" i="5"/>
  <c r="E27" i="1" s="1"/>
  <c r="E121" i="5"/>
  <c r="J91" i="6"/>
  <c r="J89" i="5" s="1"/>
  <c r="J90" i="5" s="1"/>
  <c r="G46" i="5"/>
  <c r="G48" i="5" s="1"/>
  <c r="D67" i="5"/>
  <c r="D15" i="1" s="1"/>
  <c r="E46" i="5"/>
  <c r="D42" i="6"/>
  <c r="E38" i="6"/>
  <c r="D5" i="6"/>
  <c r="E4" i="6"/>
  <c r="S86" i="5"/>
  <c r="S88" i="5" s="1"/>
  <c r="S90" i="5" s="1"/>
  <c r="J46" i="5"/>
  <c r="J48" i="5" s="1"/>
  <c r="V6" i="5"/>
  <c r="V8" i="5" s="1"/>
  <c r="G6" i="5"/>
  <c r="G8" i="5" s="1"/>
  <c r="D9" i="6"/>
  <c r="J71" i="6"/>
  <c r="J49" i="5" s="1"/>
  <c r="K121" i="5"/>
  <c r="D114" i="5"/>
  <c r="E16" i="1" s="1"/>
  <c r="D53" i="6"/>
  <c r="D74" i="5"/>
  <c r="D16" i="1" s="1"/>
  <c r="Q46" i="5"/>
  <c r="Q48" i="5" s="1"/>
  <c r="Q50" i="5" s="1"/>
  <c r="E41" i="5"/>
  <c r="D40" i="5"/>
  <c r="C27" i="1" s="1"/>
  <c r="G71" i="6"/>
  <c r="G49" i="5" s="1"/>
  <c r="D33" i="6"/>
  <c r="W6" i="5"/>
  <c r="W8" i="5" s="1"/>
  <c r="D34" i="5"/>
  <c r="C16" i="1" s="1"/>
  <c r="D106" i="6"/>
  <c r="E28" i="1" s="1"/>
  <c r="F71" i="6"/>
  <c r="F49" i="5" s="1"/>
  <c r="Q121" i="5"/>
  <c r="R46" i="5"/>
  <c r="R48" i="5" s="1"/>
  <c r="L81" i="5"/>
  <c r="Q41" i="5"/>
  <c r="G4" i="6"/>
  <c r="D27" i="5"/>
  <c r="C15" i="1" s="1"/>
  <c r="C14" i="1" s="1"/>
  <c r="E6" i="5"/>
  <c r="O121" i="5"/>
  <c r="N86" i="5"/>
  <c r="N88" i="5" s="1"/>
  <c r="N90" i="5" s="1"/>
  <c r="L41" i="5"/>
  <c r="J41" i="5"/>
  <c r="F58" i="6"/>
  <c r="T71" i="6"/>
  <c r="T49" i="5" s="1"/>
  <c r="T50" i="5" s="1"/>
  <c r="T41" i="5"/>
  <c r="J81" i="5"/>
  <c r="G41" i="5"/>
  <c r="D80" i="5"/>
  <c r="D27" i="1" s="1"/>
  <c r="E81" i="5"/>
  <c r="T6" i="5"/>
  <c r="T8" i="5" s="1"/>
  <c r="D23" i="6"/>
  <c r="T38" i="6"/>
  <c r="R38" i="6"/>
  <c r="H41" i="5"/>
  <c r="I81" i="5"/>
  <c r="G121" i="5"/>
  <c r="E71" i="6"/>
  <c r="D72" i="6"/>
  <c r="D18" i="1" s="1"/>
  <c r="F91" i="6"/>
  <c r="F89" i="5" s="1"/>
  <c r="T121" i="5"/>
  <c r="O6" i="5"/>
  <c r="O8" i="5" s="1"/>
  <c r="F81" i="5"/>
  <c r="Q86" i="5"/>
  <c r="Q88" i="5" s="1"/>
  <c r="Q90" i="5" s="1"/>
  <c r="M81" i="5"/>
  <c r="O38" i="6"/>
  <c r="R6" i="5"/>
  <c r="R8" i="5" s="1"/>
  <c r="D19" i="6"/>
  <c r="O71" i="6"/>
  <c r="O49" i="5" s="1"/>
  <c r="D100" i="6"/>
  <c r="E19" i="1" s="1"/>
  <c r="T91" i="6"/>
  <c r="T89" i="5" s="1"/>
  <c r="T90" i="5" s="1"/>
  <c r="N121" i="5"/>
  <c r="O41" i="5"/>
  <c r="D107" i="5"/>
  <c r="E15" i="1" s="1"/>
  <c r="E86" i="5"/>
  <c r="S81" i="5"/>
  <c r="K4" i="6"/>
  <c r="R81" i="5"/>
  <c r="F41" i="5"/>
  <c r="I4" i="6"/>
  <c r="D92" i="6"/>
  <c r="E18" i="1" s="1"/>
  <c r="E91" i="6"/>
  <c r="L6" i="5"/>
  <c r="L8" i="5" s="1"/>
  <c r="S4" i="6"/>
  <c r="V86" i="5"/>
  <c r="V88" i="5" s="1"/>
  <c r="V90" i="5" s="1"/>
  <c r="V46" i="5"/>
  <c r="V48" i="5" s="1"/>
  <c r="V50" i="5" s="1"/>
  <c r="V41" i="5"/>
  <c r="H6" i="5"/>
  <c r="H8" i="5" s="1"/>
  <c r="Q6" i="5"/>
  <c r="Q8" i="5" s="1"/>
  <c r="U121" i="5"/>
  <c r="I86" i="5"/>
  <c r="I88" i="5" s="1"/>
  <c r="W41" i="5"/>
  <c r="M86" i="5"/>
  <c r="M88" i="5" s="1"/>
  <c r="M90" i="5" s="1"/>
  <c r="P41" i="5"/>
  <c r="D59" i="6"/>
  <c r="E58" i="6"/>
  <c r="D30" i="6"/>
  <c r="D15" i="6"/>
  <c r="D80" i="6"/>
  <c r="D19" i="1" s="1"/>
  <c r="R71" i="6"/>
  <c r="R49" i="5" s="1"/>
  <c r="U6" i="5"/>
  <c r="U8" i="5" s="1"/>
  <c r="I121" i="5"/>
  <c r="W86" i="5"/>
  <c r="W88" i="5" s="1"/>
  <c r="W90" i="5" s="1"/>
  <c r="O58" i="6"/>
  <c r="D63" i="6"/>
  <c r="F4" i="6"/>
  <c r="D86" i="6"/>
  <c r="D28" i="1" s="1"/>
  <c r="R4" i="6"/>
  <c r="M10" i="5" l="1"/>
  <c r="W10" i="5"/>
  <c r="I90" i="5"/>
  <c r="R90" i="5"/>
  <c r="H10" i="5"/>
  <c r="V10" i="5"/>
  <c r="O90" i="5"/>
  <c r="K90" i="5"/>
  <c r="N10" i="5"/>
  <c r="F90" i="5"/>
  <c r="E14" i="1"/>
  <c r="K50" i="5"/>
  <c r="G90" i="5"/>
  <c r="I50" i="5"/>
  <c r="O50" i="5"/>
  <c r="L10" i="5"/>
  <c r="J3" i="6"/>
  <c r="J9" i="5" s="1"/>
  <c r="J10" i="5" s="1"/>
  <c r="U10" i="5"/>
  <c r="Q10" i="5"/>
  <c r="S3" i="6"/>
  <c r="S9" i="5" s="1"/>
  <c r="S10" i="5" s="1"/>
  <c r="K3" i="6"/>
  <c r="K9" i="5" s="1"/>
  <c r="K10" i="5" s="1"/>
  <c r="I3" i="6"/>
  <c r="I9" i="5" s="1"/>
  <c r="I10" i="5" s="1"/>
  <c r="T3" i="6"/>
  <c r="T9" i="5" s="1"/>
  <c r="T10" i="5" s="1"/>
  <c r="G3" i="6"/>
  <c r="G9" i="5" s="1"/>
  <c r="G10" i="5" s="1"/>
  <c r="S50" i="5"/>
  <c r="F50" i="5"/>
  <c r="R3" i="6"/>
  <c r="R9" i="5" s="1"/>
  <c r="R10" i="5" s="1"/>
  <c r="O3" i="6"/>
  <c r="O9" i="5" s="1"/>
  <c r="O10" i="5" s="1"/>
  <c r="D17" i="1"/>
  <c r="D4" i="6"/>
  <c r="C18" i="1" s="1"/>
  <c r="E3" i="6"/>
  <c r="D46" i="5"/>
  <c r="E48" i="5"/>
  <c r="F3" i="6"/>
  <c r="F9" i="5" s="1"/>
  <c r="F10" i="5" s="1"/>
  <c r="D86" i="5"/>
  <c r="E88" i="5"/>
  <c r="D71" i="6"/>
  <c r="E49" i="5"/>
  <c r="D49" i="5" s="1"/>
  <c r="D6" i="5"/>
  <c r="E8" i="5"/>
  <c r="D14" i="1"/>
  <c r="D91" i="6"/>
  <c r="E89" i="5"/>
  <c r="D89" i="5" s="1"/>
  <c r="D81" i="5"/>
  <c r="R50" i="5"/>
  <c r="J50" i="5"/>
  <c r="D38" i="6"/>
  <c r="C19" i="1" s="1"/>
  <c r="G50" i="5"/>
  <c r="D121" i="5"/>
  <c r="D58" i="6"/>
  <c r="C28" i="1" s="1"/>
  <c r="C29" i="1" s="1"/>
  <c r="E17" i="1"/>
  <c r="E20" i="1" s="1"/>
  <c r="D29" i="1"/>
  <c r="D41" i="5"/>
  <c r="E29" i="1"/>
  <c r="D20" i="1" l="1"/>
  <c r="D31" i="1" s="1"/>
  <c r="E31" i="1"/>
  <c r="C17" i="1"/>
  <c r="C20" i="1" s="1"/>
  <c r="E50" i="5"/>
  <c r="D50" i="5" s="1"/>
  <c r="D48" i="5"/>
  <c r="D8" i="5"/>
  <c r="D88" i="5"/>
  <c r="E90" i="5"/>
  <c r="D90" i="5" s="1"/>
  <c r="D3" i="6"/>
  <c r="E9" i="5"/>
  <c r="D9" i="5" s="1"/>
  <c r="E10" i="5" l="1"/>
</calcChain>
</file>

<file path=xl/comments1.xml><?xml version="1.0" encoding="utf-8"?>
<comments xmlns="http://schemas.openxmlformats.org/spreadsheetml/2006/main">
  <authors>
    <author/>
  </authors>
  <commentList>
    <comment ref="A12" authorId="0" shapeId="0">
      <text>
        <r>
          <rPr>
            <sz val="11"/>
            <color theme="1"/>
            <rFont val="Arial"/>
            <family val="2"/>
            <charset val="238"/>
          </rPr>
          <t>npr. 02506</t>
        </r>
      </text>
    </comment>
    <comment ref="B12" authorId="0" shapeId="0">
      <text>
        <r>
          <rPr>
            <sz val="11"/>
            <color theme="1"/>
            <rFont val="Arial"/>
            <family val="2"/>
            <charset val="238"/>
          </rPr>
          <t>npr. 11</t>
        </r>
      </text>
    </comment>
    <comment ref="C12" authorId="0" shapeId="0">
      <text>
        <r>
          <rPr>
            <sz val="11"/>
            <color theme="1"/>
            <rFont val="Arial"/>
            <family val="2"/>
            <charset val="238"/>
          </rPr>
          <t xml:space="preserve">npr. A539103
</t>
        </r>
      </text>
    </comment>
    <comment ref="D12" authorId="0" shapeId="0">
      <text>
        <r>
          <rPr>
            <sz val="11"/>
            <color theme="1"/>
            <rFont val="Arial"/>
            <family val="2"/>
            <charset val="238"/>
          </rPr>
          <t>npr. 5521</t>
        </r>
      </text>
    </comment>
    <comment ref="F12" authorId="0" shapeId="0">
      <text>
        <r>
          <rPr>
            <sz val="11"/>
            <color theme="1"/>
            <rFont val="Arial"/>
            <family val="2"/>
            <charset val="238"/>
          </rPr>
          <t>npr. 21.000.000,00</t>
        </r>
      </text>
    </comment>
    <comment ref="G12" authorId="0" shapeId="0">
      <text>
        <r>
          <rPr>
            <sz val="11"/>
            <color theme="1"/>
            <rFont val="Arial"/>
            <family val="2"/>
            <charset val="238"/>
          </rPr>
          <t>npr. 21.000.000,00</t>
        </r>
      </text>
    </comment>
    <comment ref="H12" authorId="0" shapeId="0">
      <text>
        <r>
          <rPr>
            <sz val="11"/>
            <color theme="1"/>
            <rFont val="Arial"/>
            <family val="2"/>
            <charset val="238"/>
          </rPr>
          <t>npr. 21.000.000,00</t>
        </r>
      </text>
    </comment>
  </commentList>
</comments>
</file>

<file path=xl/sharedStrings.xml><?xml version="1.0" encoding="utf-8"?>
<sst xmlns="http://schemas.openxmlformats.org/spreadsheetml/2006/main" count="7827" uniqueCount="3572">
  <si>
    <t>RKP-NAZIV PRORAČUNSKOG KORISNIKA</t>
  </si>
  <si>
    <t>1888SVEUČILIŠTE U ZAGREBU - MEDICINSKI FAKULTET</t>
  </si>
  <si>
    <t>MJESTO I DATUM</t>
  </si>
  <si>
    <t>16.09.2021.</t>
  </si>
  <si>
    <t>OSOBA ZA KONTAKTIRANJE</t>
  </si>
  <si>
    <t>Marina Sočković</t>
  </si>
  <si>
    <t>R.
BR.</t>
  </si>
  <si>
    <t>RKPNaziv</t>
  </si>
  <si>
    <t>RKP</t>
  </si>
  <si>
    <t>NAZIV PRORAČUNSKOGA KORISNIKA</t>
  </si>
  <si>
    <t>DODIJELI PRIPADNOST PREMA RKP-U: 
GLAVA I SVEUČILIŠTE/MZO</t>
  </si>
  <si>
    <t>ADRESA 
PRORAČUNSKOGA KORISNIKA</t>
  </si>
  <si>
    <t>POŠTANSKI BROJ I NAZIV
GRADA/OPĆINE</t>
  </si>
  <si>
    <t>MATIČNI BROJ</t>
  </si>
  <si>
    <t>OIB</t>
  </si>
  <si>
    <t>Tip</t>
  </si>
  <si>
    <t>Glava</t>
  </si>
  <si>
    <t>TELEFON ZA KONTAKT</t>
  </si>
  <si>
    <t>odaberite -</t>
  </si>
  <si>
    <t>-</t>
  </si>
  <si>
    <t>E-MAIL ZA KONTAKT</t>
  </si>
  <si>
    <t>marina.sockovic@mef.hr</t>
  </si>
  <si>
    <t xml:space="preserve">MINISTARSTVO ZNANOSTI I OBRAZOVANJA </t>
  </si>
  <si>
    <t>DONJE SVETICE 38</t>
  </si>
  <si>
    <t>10000 ZAGREB</t>
  </si>
  <si>
    <t>49508397045</t>
  </si>
  <si>
    <t>MZO</t>
  </si>
  <si>
    <t>08005</t>
  </si>
  <si>
    <t>FAKULTET ORGANIZACIJE I INFORMATIKE U VARAŽDINU</t>
  </si>
  <si>
    <t>SVEUČILIŠTE U ZAGREBU</t>
  </si>
  <si>
    <t>PAVLINSKA 2</t>
  </si>
  <si>
    <t>42000 VARAŽDIN</t>
  </si>
  <si>
    <t>02024882310</t>
  </si>
  <si>
    <t>Sveučilišta i veleučilišta u Republici Hrvatskoj</t>
  </si>
  <si>
    <t>08006</t>
  </si>
  <si>
    <t>PRIJEDLOG FINANCIJSKOG PLANA ZA 2022. I PROJEKCIJA PLANA ZA 2023. I 2024. GODINU</t>
  </si>
  <si>
    <t>MEĐIMURSKO VELEUČILIŠTE U ČAKOVCU</t>
  </si>
  <si>
    <t>MINISTARSTVO ZNANOSTI I OBRAZOVANJA</t>
  </si>
  <si>
    <t>BANA JOSIPA JELAČIĆA 22/A</t>
  </si>
  <si>
    <t>40000 ČAKOVEC</t>
  </si>
  <si>
    <t>31444990605</t>
  </si>
  <si>
    <t>OPĆI DIO</t>
  </si>
  <si>
    <t>SVEUČILIŠTE J. J. STROSSMAYERA U OSIJEKU</t>
  </si>
  <si>
    <t>SVEUČILIŠTE J.J STROSSMAYERA U OSIJEKU</t>
  </si>
  <si>
    <t>TRG SV. TROJSTVA 3</t>
  </si>
  <si>
    <t>31000 OSIJEK</t>
  </si>
  <si>
    <t>78808975734</t>
  </si>
  <si>
    <t>SVEUČILIŠTE J. J. STROSSMAYERA U OSIJEKU - AKADEMIJA ZA UMJETNOST I KULTURU U OSIJEKU</t>
  </si>
  <si>
    <t>KRALJA PETRA SVAČIĆA 1/F</t>
  </si>
  <si>
    <t>60277424315</t>
  </si>
  <si>
    <t>SVEUČILIŠTE J. J. STROSSMAYERA U OSIJEKU - EKONOMSKI FAKULTET</t>
  </si>
  <si>
    <t>TRG LJUDEVITA GAJA 7</t>
  </si>
  <si>
    <t>52778515544</t>
  </si>
  <si>
    <t>Prijedlog plana 
za 2022.</t>
  </si>
  <si>
    <t>Projekcija plana
za 2023.</t>
  </si>
  <si>
    <t>Projekcija plana 
za 2024.</t>
  </si>
  <si>
    <t>SVEUČILIŠTE J. J. STROSSMAYERA U OSIJEKU - FAKULTET AGROBIOTEHNIČKIH ZNANOSTI OSIJEK</t>
  </si>
  <si>
    <t>VLADIMIRA PRELOGA 1</t>
  </si>
  <si>
    <t>98816779821</t>
  </si>
  <si>
    <t>PRIHODI UKUPNO</t>
  </si>
  <si>
    <t>SVEUČILIŠTE J. J. STROSSMAYERA U OSIJEKU - FAKULTET ELEKTROTEHNIKE, RAČUNARSTVA I INFORMACIJSKIH TEHNOLOGIJA OSIJEK</t>
  </si>
  <si>
    <t>KNEZA TRPIMIRA 2 B</t>
  </si>
  <si>
    <t>95494259952</t>
  </si>
  <si>
    <t>PRIHODI POSLOVANJA</t>
  </si>
  <si>
    <t>SVEUČILIŠTE J. J. STROSSMAYERA U OSIJEKU - FAKULTET ZA DENTALNU MEDICINU I ZDRAVSTVO</t>
  </si>
  <si>
    <t>CRKVENA 21</t>
  </si>
  <si>
    <t>83830458507</t>
  </si>
  <si>
    <t>PRIHODI OD NEFINANCIJSKE IMOVINE</t>
  </si>
  <si>
    <t>SVEUČILIŠTE J. J. STROSSMAYERA U OSIJEKU - FAKULTET ZA ODGOJNE I OBRAZOVNE ZNANOSTI</t>
  </si>
  <si>
    <t>CARA HADRIJANA 10</t>
  </si>
  <si>
    <t>28082679513</t>
  </si>
  <si>
    <t>RASHODI UKUPNO</t>
  </si>
  <si>
    <t>SVEUČILIŠTE J. J. STROSSMAYERA U OSIJEKU - FILOZOFSKI FAKULTET</t>
  </si>
  <si>
    <t>LORENZA JAGERA 9</t>
  </si>
  <si>
    <t>58868871646</t>
  </si>
  <si>
    <t>RASHODI  POSLOVANJA</t>
  </si>
  <si>
    <t>SVEUČILIŠTE J. J. STROSSMAYERA U OSIJEKU - GRADSKA I SVEUČILIŠNA KNJIŽNICA</t>
  </si>
  <si>
    <t>EUROPSKA AVENIJA 24</t>
  </si>
  <si>
    <t>46627536930</t>
  </si>
  <si>
    <t>RASHODI ZA NEFINANCIJSKU IMOVINU</t>
  </si>
  <si>
    <t>SVEUČILIŠTE J. J. STROSSMAYERA U OSIJEKU - GRAĐEVINSKI I ARHITEKTONSKI FAKULTET OSIJEK</t>
  </si>
  <si>
    <t>ULICA VLADIMIRA PRELOGA 3</t>
  </si>
  <si>
    <t>04150850819</t>
  </si>
  <si>
    <t>RAZLIKA - VIŠAK / MANJAK</t>
  </si>
  <si>
    <t>SVEUČILIŠTE J. J. STROSSMAYERA U OSIJEKU - KATOLIČKI BOGOSLOVNI FAKULTET U ĐAKOVU</t>
  </si>
  <si>
    <t xml:space="preserve">PETRA PRERADOVIĆA 17 </t>
  </si>
  <si>
    <t>31400 ĐAKOVO</t>
  </si>
  <si>
    <t>05384220316</t>
  </si>
  <si>
    <t>SVEUČILIŠTE J. J. STROSSMAYERA U OSIJEKU - KINEZIOLOŠKI FAKULTET OSIJEK</t>
  </si>
  <si>
    <t>DRINSKA 16/A</t>
  </si>
  <si>
    <t>70788591483</t>
  </si>
  <si>
    <t>SVEUČILIŠTE J. J. STROSSMAYERA U OSIJEKU - MEDICINSKI FAKULTET</t>
  </si>
  <si>
    <t>HUTTLEROVA 4</t>
  </si>
  <si>
    <t>16214165873</t>
  </si>
  <si>
    <t>DONOS</t>
  </si>
  <si>
    <t>Ukupan donos neutrošenih prihoda iz prethodne/ih godina</t>
  </si>
  <si>
    <t>SVEUČILIŠTE J. J. STROSSMAYERA U OSIJEKU - PRAVNI FAKULTET</t>
  </si>
  <si>
    <t>STJEPANA RADIĆA 13</t>
  </si>
  <si>
    <t>26416570803</t>
  </si>
  <si>
    <t>ODNOS</t>
  </si>
  <si>
    <t>Ukupan odnos neutrošenih prihoda u sljedeću godinu</t>
  </si>
  <si>
    <t>SVEUČILIŠTE J. J. STROSSMAYERA U OSIJEKU - PREHRAMBENO TEHNOLOŠKI FAKULTET</t>
  </si>
  <si>
    <t>FRANJE KUHAČA 18</t>
  </si>
  <si>
    <t>96371000697</t>
  </si>
  <si>
    <t>SVEUČILIŠTE JURJA DOBRILE U PULI</t>
  </si>
  <si>
    <t>SVEUČILIŠTE U PULI</t>
  </si>
  <si>
    <t>ZAGREBAČKA 30</t>
  </si>
  <si>
    <t>52100 PULA</t>
  </si>
  <si>
    <t>61738073226</t>
  </si>
  <si>
    <t>SVEUČILIŠTE SJEVER</t>
  </si>
  <si>
    <t>TRG DR. ŽARKA DOLINARA 1</t>
  </si>
  <si>
    <t>48000 KOPRIVNICA</t>
  </si>
  <si>
    <t>59624928052</t>
  </si>
  <si>
    <t>PRIMICI OD FINANCIJSKE IMOVINE I ZADUŽIVANJA</t>
  </si>
  <si>
    <t>SVEUČILIŠTE U DUBROVNIKU</t>
  </si>
  <si>
    <t>BRANITELJA DUBROVNIKA 29</t>
  </si>
  <si>
    <t>20000 DUBROVNIK</t>
  </si>
  <si>
    <t>01338491514</t>
  </si>
  <si>
    <t>IZDACI ZA FINANCIJSKU IMOVINU I OTPLATE ZAJMOVA</t>
  </si>
  <si>
    <t>SVEUČILIŠTE U RIJECI</t>
  </si>
  <si>
    <t>TRG BRAĆE MAŽURANIĆA 10</t>
  </si>
  <si>
    <t>51000 RIJEKA</t>
  </si>
  <si>
    <t>64218323816</t>
  </si>
  <si>
    <t>NETO FINANCIRANJE</t>
  </si>
  <si>
    <t>SVEUČILIŠTE U RIJECI - AKADEMIJA PRIMJENJENIH UMJETNOSTI</t>
  </si>
  <si>
    <t>SLAVKA KRAUTZEKA 83</t>
  </si>
  <si>
    <t>55704161999</t>
  </si>
  <si>
    <t>SVEUČILIŠTE U RIJECI - EKONOMSKI FAKULTET</t>
  </si>
  <si>
    <t>IVANA FILIPOVIĆA 4</t>
  </si>
  <si>
    <t>26093119930</t>
  </si>
  <si>
    <t>VIŠAK / MANJAK + DONOS + ODNOS + NETO FINANCIRANJE</t>
  </si>
  <si>
    <t>SVEUČILIŠTE U RIJECI - FAKULTET ZA MENADŽMENT U TURIZMU I UGOSTITELJSTVU</t>
  </si>
  <si>
    <t>IKA PRIMORSKA 42</t>
  </si>
  <si>
    <t>51410 OPATIJA</t>
  </si>
  <si>
    <t>85799845149</t>
  </si>
  <si>
    <t>SVEUČILIŠTE U RIJECI - FAKULTET ZDRAVSTVENIH STUDIJA U RIJECI</t>
  </si>
  <si>
    <t>VIKTORA CARA EMINA 5</t>
  </si>
  <si>
    <t>04052510</t>
  </si>
  <si>
    <t>19213484918</t>
  </si>
  <si>
    <t>SVEUČILIŠTE U RIJECI - FILOZOFSKI FAKULTET</t>
  </si>
  <si>
    <t>SVEUČILIŠNA AVENIJA 4</t>
  </si>
  <si>
    <t>70505505759</t>
  </si>
  <si>
    <t>SVEUČILIŠTE U RIJECI - GRAĐEVINSKI FAKULTET</t>
  </si>
  <si>
    <t>RADMILE MATEJČIĆ 3</t>
  </si>
  <si>
    <t>92037849504</t>
  </si>
  <si>
    <t>SVEUČILIŠTE U RIJECI - MEDICINSKI FAKULTET</t>
  </si>
  <si>
    <t>BRAĆE BRANCHETTA 20</t>
  </si>
  <si>
    <t>98164324541</t>
  </si>
  <si>
    <t>SVEUČILIŠTE U RIJECI - POMORSKI FAKULTET</t>
  </si>
  <si>
    <t>STUDENTSKA 2</t>
  </si>
  <si>
    <t>76722145702</t>
  </si>
  <si>
    <t>SVEUČILIŠTE U RIJECI - PRAVNI FAKULTET</t>
  </si>
  <si>
    <t>HAHLIĆ 6</t>
  </si>
  <si>
    <t>43767699965</t>
  </si>
  <si>
    <t>SVEUČILIŠTE U RIJECI - SVEUČILIŠNA KNJIŽNICA</t>
  </si>
  <si>
    <t xml:space="preserve"> DOLAC 1</t>
  </si>
  <si>
    <t>84122581314</t>
  </si>
  <si>
    <t>SVEUČILIŠTE U RIJECI - TEHNIČKI FAKULTET</t>
  </si>
  <si>
    <t>VUKOVARSKA 58</t>
  </si>
  <si>
    <t>46319717480</t>
  </si>
  <si>
    <t>SVEUČILIŠTE U RIJECI - UČITELJSKI FAKULTET</t>
  </si>
  <si>
    <t>SVEUČILIŠNA AVENIJA 6</t>
  </si>
  <si>
    <t>96996385705</t>
  </si>
  <si>
    <t>SVEUČILIŠTE U SLAVONSKOM BRODU</t>
  </si>
  <si>
    <t>TRG IVANE BRLIĆ MAŽURANIĆ 2</t>
  </si>
  <si>
    <t>35000 SLAVONSKI BROD</t>
  </si>
  <si>
    <t>33027834374</t>
  </si>
  <si>
    <t>SVEUČILIŠTE U SPLITU</t>
  </si>
  <si>
    <t>POLJIČKA CESTA 35</t>
  </si>
  <si>
    <t>21000 SPLIT</t>
  </si>
  <si>
    <t>29845096215</t>
  </si>
  <si>
    <t>SVEUČILIŠTE U SPLITU - EKONOMSKI FAKULTET</t>
  </si>
  <si>
    <t>CVITE FISKOVIĆA 5</t>
  </si>
  <si>
    <t>84477684422</t>
  </si>
  <si>
    <t>SVEUČILIŠTE U SPLITU - FAKULTET ELEKTROTEHNIKE, STROJARSTVA I BRODOGRADNJE</t>
  </si>
  <si>
    <t>RUĐERA BOŠKOVIĆA 32</t>
  </si>
  <si>
    <t>00857144221</t>
  </si>
  <si>
    <t>SVEUČILIŠTE U SPLITU - FAKULTET GRAĐEVINARSTVA, ARHITEKTURE I GEODEZIJE</t>
  </si>
  <si>
    <t>MATICE HRVATSKE 15</t>
  </si>
  <si>
    <t>83615500218</t>
  </si>
  <si>
    <t>SVEUČILIŠTE U SPLITU - FILOZOFSKI FAKULTET</t>
  </si>
  <si>
    <t>98004523293</t>
  </si>
  <si>
    <t>SVEUČILIŠTE U SPLITU - KATOLIČKI BOGOSLOVNI FAKULTET</t>
  </si>
  <si>
    <t xml:space="preserve">ZRINSKOG FRANKOPANA 19 </t>
  </si>
  <si>
    <t>SVEUČILIŠTE U SPLITU - KEMIJSKO-TEHNOLOŠKI FAKULTET</t>
  </si>
  <si>
    <t>RUĐERA BOŠKOVIĆA 35</t>
  </si>
  <si>
    <t>99401575594</t>
  </si>
  <si>
    <t>SVEUČILIŠTE U SPLITU - KINEZIOLOŠKI FAKULTET</t>
  </si>
  <si>
    <t>NIKOLE TESLE 6</t>
  </si>
  <si>
    <t>57848936921</t>
  </si>
  <si>
    <t>SVEUČILIŠTE U SPLITU - MEDICINSKI FAKULTET</t>
  </si>
  <si>
    <t>ŠOLTANSKA 2</t>
  </si>
  <si>
    <t>02879747067</t>
  </si>
  <si>
    <t>SVEUČILIŠTE U SPLITU - POMORSKI FAKULTET</t>
  </si>
  <si>
    <t>RUĐERA BOŠKOVIĆA 37</t>
  </si>
  <si>
    <t>24624257529</t>
  </si>
  <si>
    <t>SVEUČILIŠTE U SPLITU - PRAVNI FAKULTET</t>
  </si>
  <si>
    <t>DOMOVINSKOG RATA 8</t>
  </si>
  <si>
    <t>03541568700</t>
  </si>
  <si>
    <t>SVEUČILIŠTE U SPLITU - PRIRODOSLOVNO - MATEMATIČKI FAKULTET</t>
  </si>
  <si>
    <t>RUĐERA BOŠKOVIĆA 33</t>
  </si>
  <si>
    <t>20858497843</t>
  </si>
  <si>
    <t>SVEUČILIŠTE U SPLITU - SVEUČILIŠNA KNJIŽNICA</t>
  </si>
  <si>
    <t>RUĐERA BOŠKOVIĆA 31</t>
  </si>
  <si>
    <t>40099344720</t>
  </si>
  <si>
    <t>SVEUČILIŠTE U SPLITU - UMJETNIČKA AKADEMIJA</t>
  </si>
  <si>
    <t>ZAGREBAČKA 3</t>
  </si>
  <si>
    <t>38960125358</t>
  </si>
  <si>
    <t>SVEUČILIŠTE U ZADRU</t>
  </si>
  <si>
    <t>MIHOVILA PAVLINOVIĆA 1</t>
  </si>
  <si>
    <t>23000 ZADAR</t>
  </si>
  <si>
    <t>10839679016</t>
  </si>
  <si>
    <t>TRG REPUBLIKE HRVATSKE 14</t>
  </si>
  <si>
    <t>36612267447</t>
  </si>
  <si>
    <t>SVEUČILIŠTE U ZAGREBU - AGRONOMSKI FAKULTET</t>
  </si>
  <si>
    <t>SVETOŠIMUNSKA CESTA 25</t>
  </si>
  <si>
    <t>76023745044</t>
  </si>
  <si>
    <t>SVEUČILIŠTE U ZAGREBU - AKADEMIJA DRAMSKE UMJETNOSTI</t>
  </si>
  <si>
    <t>TRG REPUBLIKE HRVATSKE 5</t>
  </si>
  <si>
    <t>52097842295</t>
  </si>
  <si>
    <t>SVEUČILIŠTE U ZAGREBU - AKADEMIJA LIKOVNIH UMJETNOSTI</t>
  </si>
  <si>
    <t>ILICA 85</t>
  </si>
  <si>
    <t>95847257607</t>
  </si>
  <si>
    <t xml:space="preserve">SVEUČILIŠTE U ZAGREBU - ARHITEKTONSKI FAKULTET </t>
  </si>
  <si>
    <t>KAČIĆEVA 26</t>
  </si>
  <si>
    <t>42061107444</t>
  </si>
  <si>
    <t xml:space="preserve">SVEUČILIŠTE U ZAGREBU - EDUKACIJSKO-REHABILITACIJSKI FAKULTET </t>
  </si>
  <si>
    <t>BORONGAJSKA CESTA 83F</t>
  </si>
  <si>
    <t>34967762426</t>
  </si>
  <si>
    <t>SVEUČILIŠTE U ZAGREBU - EKONOMSKI FAKULTET</t>
  </si>
  <si>
    <t>TRG J. F. KENNEDEYA 6</t>
  </si>
  <si>
    <t>27208467122</t>
  </si>
  <si>
    <t>SVEUČILIŠTE U ZAGREBU - FAKULTET ELEKTROTEHNIKE I RAČUNARSTVA</t>
  </si>
  <si>
    <t>UNSKA 3</t>
  </si>
  <si>
    <t>57029260362</t>
  </si>
  <si>
    <t>SVEUČILIŠTE U ZAGREBU - FAKULTET FILOZOFIJE I RELIGIJSKIH ZNANOSTI</t>
  </si>
  <si>
    <t>JORDANOVAC 110</t>
  </si>
  <si>
    <t>26975482530</t>
  </si>
  <si>
    <t>SVEUČILIŠTE U ZAGREBU - FAKULTET HRVATSKIH STUDIJA</t>
  </si>
  <si>
    <t>BORONGAJSKA CESTA 83D</t>
  </si>
  <si>
    <t>99454315441</t>
  </si>
  <si>
    <t>SVEUČILIŠTE U ZAGREBU - FAKULTET KEMIJSKOG INŽENJERSTVA I TEHNOLOGIJE</t>
  </si>
  <si>
    <t>MARULIĆEV TRG 19</t>
  </si>
  <si>
    <t>71259740533</t>
  </si>
  <si>
    <t>SVEUČILIŠTE U ZAGREBU - FAKULTET POLITIČKIH ZNANOSTI</t>
  </si>
  <si>
    <t>LEPUŠIĆEVA 6</t>
  </si>
  <si>
    <t>28011548575</t>
  </si>
  <si>
    <t>SVEUČILIŠTE U ZAGREBU - FAKULTET PROMETNIH ZNANOSTI</t>
  </si>
  <si>
    <t>VUKELIĆEVA 4</t>
  </si>
  <si>
    <t>25410051374</t>
  </si>
  <si>
    <t>SVEUČILIŠTE U ZAGREBU - FAKULTET STROJARSTVA I BRODOGRADNJE</t>
  </si>
  <si>
    <t>IVANA LUČIĆA 5</t>
  </si>
  <si>
    <t>22910368449</t>
  </si>
  <si>
    <t xml:space="preserve">SVEUČILIŠTE U ZAGREBU - FARMACEUTSKO-BIOKEMIJSKI FAKULTET </t>
  </si>
  <si>
    <t>ANTE KOVAČIĆA 1</t>
  </si>
  <si>
    <t>14509285435</t>
  </si>
  <si>
    <t>SVEUČILIŠTE U ZAGREBU - FILOZOFSKI FAKULTET</t>
  </si>
  <si>
    <t>IVANA LUČIĆA 3</t>
  </si>
  <si>
    <t>90633715804</t>
  </si>
  <si>
    <t>SVEUČILIŠTE U ZAGREBU - GEODETSKI FAKULTET</t>
  </si>
  <si>
    <t>A. KAČIĆA MIOŠIĆA 26</t>
  </si>
  <si>
    <t>43594593297</t>
  </si>
  <si>
    <t>SVEUČILIŠTE U ZAGREBU - GEOTEHNIČKI FAKULTET</t>
  </si>
  <si>
    <t>HALLEROVA ALEJA 7</t>
  </si>
  <si>
    <t>16146181375</t>
  </si>
  <si>
    <t>SVEUČILIŠTE U ZAGREBU - GRAĐEVINSKI FAKULTET</t>
  </si>
  <si>
    <t>FRA ANDRIJE KAČIĆA MIOŠIĆA 26</t>
  </si>
  <si>
    <t>62924153420</t>
  </si>
  <si>
    <t>SVEUČILIŠTE U ZAGREBU - GRAFIČKI FAKULTET</t>
  </si>
  <si>
    <t>GETALDIĆEVA 2</t>
  </si>
  <si>
    <t>25564990903</t>
  </si>
  <si>
    <t xml:space="preserve">SVEUČILIŠTE U ZAGREBU - KATOLIČKI BOGOSLOVNI FAKULTET </t>
  </si>
  <si>
    <t xml:space="preserve">VLAŠKA 38 </t>
  </si>
  <si>
    <t>SVEUČILIŠTE U ZAGREBU - KINEZIOLOŠKI FAKULTET</t>
  </si>
  <si>
    <t>HORVAĆANSKI ZAVOJ 15</t>
  </si>
  <si>
    <t>25329931628</t>
  </si>
  <si>
    <t>SVEUČILIŠTE U ZAGREBU - MEDICINSKI FAKULTET</t>
  </si>
  <si>
    <t>ŠALATA 3</t>
  </si>
  <si>
    <t>45001686598</t>
  </si>
  <si>
    <t>SVEUČILIŠTE U ZAGREBU - METALURŠKI FAKULTET SISAK</t>
  </si>
  <si>
    <t>ALEJA NARODNIH HEROJA 3</t>
  </si>
  <si>
    <t>44000 SISAK</t>
  </si>
  <si>
    <t>48006703414</t>
  </si>
  <si>
    <t>SVEUČILIŠTE U ZAGREBU - MUZIČKA AKADEMIJA</t>
  </si>
  <si>
    <t>TRG REPUBLIKE HRVATSKE 12</t>
  </si>
  <si>
    <t>18422925218</t>
  </si>
  <si>
    <t>SVEUČILIŠTE U ZAGREBU - PRAVNI FAKULTET</t>
  </si>
  <si>
    <t>38583303160</t>
  </si>
  <si>
    <t>SVEUČILIŠTE U ZAGREBU - PREHRAMBENO BIOTEHNOLOŠKI FAKULTET</t>
  </si>
  <si>
    <t>PIEROTTIJEVA 6</t>
  </si>
  <si>
    <t>47824453867</t>
  </si>
  <si>
    <t>SVEUČILIŠTE U ZAGREBU - PRIRODOSLOVNO-MATEMATIČKI FAKULTET</t>
  </si>
  <si>
    <t>HORVATOVAC 102A</t>
  </si>
  <si>
    <t>28163265527</t>
  </si>
  <si>
    <t>SVEUČILIŠTE U ZAGREBU - RUDARSKO-GEOLOŠKO-NAFTNI FAKULTET</t>
  </si>
  <si>
    <t>99534693762</t>
  </si>
  <si>
    <t>SVEUČILIŠTE U ZAGREBU - STOMATOLOŠKI FAKULTET</t>
  </si>
  <si>
    <t>GUNDULIĆEVA 5</t>
  </si>
  <si>
    <t>70221464726</t>
  </si>
  <si>
    <t>SVEUČILIŠTE U ZAGREBU - FAKULTET ŠUMARSTVA I DRVNE TEHNOLOGIJE</t>
  </si>
  <si>
    <t>07699719217</t>
  </si>
  <si>
    <t>SVEUČILIŠTE U ZAGREBU - TEKSTILNO TEHNOLOŠKI FAKULTET</t>
  </si>
  <si>
    <t>PRILAZ BARUNA FILIPOVIĆA 28A</t>
  </si>
  <si>
    <t>43097527965</t>
  </si>
  <si>
    <t>SVEUČILIŠTE U ZAGREBU - UČITELJSKI FAKULTET</t>
  </si>
  <si>
    <t>SAVSKA CESTA 77</t>
  </si>
  <si>
    <t>72226488129</t>
  </si>
  <si>
    <t>SVEUČILIŠTE U ZAGREBU - VETERINARSKI FAKULTET</t>
  </si>
  <si>
    <t>HEINZELOVA 55</t>
  </si>
  <si>
    <t>36389528408</t>
  </si>
  <si>
    <t>TEHNIČKO VELEUČILIŠTE U ZAGREBU</t>
  </si>
  <si>
    <t>VRBIK 8</t>
  </si>
  <si>
    <t>08814003451</t>
  </si>
  <si>
    <t>VELEUČILIŠTE HRVATSKO ZAGORJE KRAPINA</t>
  </si>
  <si>
    <t>ŠETALIŠTE HRVATSKOG NARODNOG PREPORODA 6</t>
  </si>
  <si>
    <t>49000 KRAPINA</t>
  </si>
  <si>
    <t>16465214888</t>
  </si>
  <si>
    <t>VELEUČILIŠTE LAVOSLAV RUŽIČKA U VUKOVARU</t>
  </si>
  <si>
    <t>ŽUPANIJSKA 50</t>
  </si>
  <si>
    <t>32000 VUKOVAR</t>
  </si>
  <si>
    <t>21720825730</t>
  </si>
  <si>
    <t>VELEUČILIŠTE MARKO MARULIĆ U KNINU</t>
  </si>
  <si>
    <t xml:space="preserve">KRALJA PETRA KREŠIMIRA IV 30 </t>
  </si>
  <si>
    <t>22300 KNIN</t>
  </si>
  <si>
    <t>13664089430</t>
  </si>
  <si>
    <t>VELEUČILIŠTE NIKOLA TESLA U GOSPIĆU</t>
  </si>
  <si>
    <t>ULICA BANA IVANA KARLOVIĆA 16</t>
  </si>
  <si>
    <t>53000 GOSPIĆ</t>
  </si>
  <si>
    <t>42552392522</t>
  </si>
  <si>
    <t>VELEUČILIŠTE U KARLOVCU</t>
  </si>
  <si>
    <t>TRG J. J. STROSSMAYERA 9</t>
  </si>
  <si>
    <t>47000 KARLOVAC</t>
  </si>
  <si>
    <t>62820859976</t>
  </si>
  <si>
    <t>VELEUČILIŠTE U POŽEGI</t>
  </si>
  <si>
    <t>VUKOVARSKA 17</t>
  </si>
  <si>
    <t>34000 POŽEGA</t>
  </si>
  <si>
    <t>14821098391</t>
  </si>
  <si>
    <t>VELEUČILIŠTE U RIJECI</t>
  </si>
  <si>
    <t>TRPIMIROVA 2/V</t>
  </si>
  <si>
    <t>29573709870</t>
  </si>
  <si>
    <t>VELEUČILIŠTE U ŠIBENIKU</t>
  </si>
  <si>
    <t>TRG A. HEBRANGA BR. 11</t>
  </si>
  <si>
    <t>22000 ŠIBENIK</t>
  </si>
  <si>
    <t>61727512157</t>
  </si>
  <si>
    <t>VELEUČILIŠTE U VIROVITICI</t>
  </si>
  <si>
    <t>ULICA MATIJE GUPCA 78</t>
  </si>
  <si>
    <t>33000 VIROVITICA</t>
  </si>
  <si>
    <t>46576407858</t>
  </si>
  <si>
    <t>VISOKO GOSPODARSKO UČILIŠTE U KRIŽEVCIMA</t>
  </si>
  <si>
    <t>MILISLAVA DEMERCA 1</t>
  </si>
  <si>
    <t>48260 KRIŽEVCI</t>
  </si>
  <si>
    <t>75480885018</t>
  </si>
  <si>
    <t>ZDRAVSTVENO VELEUČILIŠTE</t>
  </si>
  <si>
    <t>MLINARSKA CESTA 38</t>
  </si>
  <si>
    <t>50952646228</t>
  </si>
  <si>
    <t>EKONOMSKI INSTITUT ZAGREB</t>
  </si>
  <si>
    <t>TRG JOHNA KENNEDYA 7</t>
  </si>
  <si>
    <t>70925432731</t>
  </si>
  <si>
    <t>Javni instituti</t>
  </si>
  <si>
    <t>08008</t>
  </si>
  <si>
    <t xml:space="preserve">HRVATSKI GEOLOŠKI INSTITUT </t>
  </si>
  <si>
    <t>SACHSOVA 2</t>
  </si>
  <si>
    <t>43733878539</t>
  </si>
  <si>
    <t>HRVATSKI INSTITUT ZA POVIJEST</t>
  </si>
  <si>
    <t>OPATIČKA 10</t>
  </si>
  <si>
    <t>23296176633</t>
  </si>
  <si>
    <t>HRVATSKI ŠUMARSKI INSTITUT</t>
  </si>
  <si>
    <t>CVJETNO NASELJE 41</t>
  </si>
  <si>
    <t>10450 JASTREBARSKO</t>
  </si>
  <si>
    <t>13579392023</t>
  </si>
  <si>
    <t>HRVATSKI VETERINARSKI INSTITUT</t>
  </si>
  <si>
    <t>SAVSKA CESTA 143</t>
  </si>
  <si>
    <t>29059177553</t>
  </si>
  <si>
    <t>INSTITUT DRUŠTVENIH ZNANOSTI IVO PILAR</t>
  </si>
  <si>
    <t>MARULIĆEV TRG 19/I</t>
  </si>
  <si>
    <t>32840574937</t>
  </si>
  <si>
    <t>INSTITUT RUĐER BOŠKOVIĆ</t>
  </si>
  <si>
    <t>BIJENIČKA CESTA 46</t>
  </si>
  <si>
    <t>69715301002</t>
  </si>
  <si>
    <t>INSTITUT ZA ANTROPOLOGIJU</t>
  </si>
  <si>
    <t>LJUDEVITA GAJA 32</t>
  </si>
  <si>
    <t>93710699926</t>
  </si>
  <si>
    <t>INSTITUT ZA ARHEOLOGIJU</t>
  </si>
  <si>
    <t>59796264563</t>
  </si>
  <si>
    <t>INSTITUT ZA DRUŠTVENA ISTRAŽIVANJA</t>
  </si>
  <si>
    <t>AMRUŠEVA 11</t>
  </si>
  <si>
    <t>11986338639</t>
  </si>
  <si>
    <t>INSTITUT ZA ETNOLOGIJU I FOLKLORISTIKU</t>
  </si>
  <si>
    <t>ŠUBIĆEVA 42</t>
  </si>
  <si>
    <t>37781872772</t>
  </si>
  <si>
    <t>INSTITUT ZA FILOZOFIJU</t>
  </si>
  <si>
    <t>UL. GRADA VUKOVARA 54</t>
  </si>
  <si>
    <t>43667021597</t>
  </si>
  <si>
    <t>INSTITUT ZA FIZIKU</t>
  </si>
  <si>
    <t>77627408491</t>
  </si>
  <si>
    <t>INSTITUT ZA HRVATSKI JEZIK I JEZIKOSLOVLJE</t>
  </si>
  <si>
    <t>REPUBLIKE AUSTRIJE 16</t>
  </si>
  <si>
    <t>12268324202</t>
  </si>
  <si>
    <t>INSTITUT ZA JADRANSKE KULTURE I MELIORACIJU KRŠA</t>
  </si>
  <si>
    <t>PUT DUILOVA 11</t>
  </si>
  <si>
    <t>90884993104</t>
  </si>
  <si>
    <t>INSTITUT ZA JAVNE FINANCIJE</t>
  </si>
  <si>
    <t>SMIČIKLASOVA 21</t>
  </si>
  <si>
    <t>41683226810</t>
  </si>
  <si>
    <t>INSTITUT ZA MEDICINSKA ISTRAŽIVANJA I MEDICINU RADA</t>
  </si>
  <si>
    <t>KSAVERSKA CESTA 2</t>
  </si>
  <si>
    <t>30285469659</t>
  </si>
  <si>
    <t>INSTITUT ZA MIGRACIJE I NARODNOSTI</t>
  </si>
  <si>
    <t>TRG STJEPANA RADIĆA 3</t>
  </si>
  <si>
    <t>80265403319</t>
  </si>
  <si>
    <t>INSTITUT ZA OCEANOGRAFIJU I RIBARSTVO</t>
  </si>
  <si>
    <t>ŠETALIŠTE I. MEŠTROVIĆA 63</t>
  </si>
  <si>
    <t>86235185568</t>
  </si>
  <si>
    <t>INSTITUT ZA POLJOPRIVREDU I TURIZAM</t>
  </si>
  <si>
    <t>CARLA HUGUESA 8</t>
  </si>
  <si>
    <t>52440 POREČ</t>
  </si>
  <si>
    <t>03850982961</t>
  </si>
  <si>
    <t>INSTITUT ZA POVIJEST UMJETNOSTI</t>
  </si>
  <si>
    <t>ULICA GRADA VUKOVARA 68</t>
  </si>
  <si>
    <t>59451980348</t>
  </si>
  <si>
    <t>INSTITUT ZA RAZVOJ I MEĐUNARODNE ODNOSE</t>
  </si>
  <si>
    <t>LJ. F. VUKOTINOVIĆA 2</t>
  </si>
  <si>
    <t>31120185175</t>
  </si>
  <si>
    <t>INSTITUT ZA TURIZAM</t>
  </si>
  <si>
    <t>VRHOVEC 5</t>
  </si>
  <si>
    <t>10264179101</t>
  </si>
  <si>
    <t>POLJOPRIVREDNI INSTITUT OSIJEK</t>
  </si>
  <si>
    <t>JUŽNO PREDGRAĐE 17</t>
  </si>
  <si>
    <t>03665720049</t>
  </si>
  <si>
    <t>STAROSLAVENSKI INSTITUT</t>
  </si>
  <si>
    <t>DEMETROVA 11</t>
  </si>
  <si>
    <t>15291942541</t>
  </si>
  <si>
    <t>DRŽAVNI ZAVOD ZA INTELEKTUALNO VLASNIŠTVO</t>
  </si>
  <si>
    <t>ULICA GRADA VUKOVARA 78</t>
  </si>
  <si>
    <t>89755384389</t>
  </si>
  <si>
    <t>DZIV</t>
  </si>
  <si>
    <t>08012</t>
  </si>
  <si>
    <t>AGENCIJA ZA MOBILNOST I PROGRAME EUROPSKE UNIJE</t>
  </si>
  <si>
    <t>FRANKOPANSKA 26</t>
  </si>
  <si>
    <t>25385906011</t>
  </si>
  <si>
    <t>Agencije</t>
  </si>
  <si>
    <t>08091</t>
  </si>
  <si>
    <t>AGENCIJA ZA ODGOJ I OBRAZOVANJE</t>
  </si>
  <si>
    <t>72193628411</t>
  </si>
  <si>
    <t>AGENCIJA ZA STRUKOVNO OBRAZOVANJE I OBRAZOVANJE ODRASLIH</t>
  </si>
  <si>
    <t>GARIĆGRADSKA ULICA 18</t>
  </si>
  <si>
    <t>40719411729</t>
  </si>
  <si>
    <t>AGENCIJA ZA ZNANOST I VISOKO OBRAZOVANJE</t>
  </si>
  <si>
    <t>DONJE SVETICE 38/5</t>
  </si>
  <si>
    <t>83358955356</t>
  </si>
  <si>
    <t>HRVATSKA AKADEMSKA I ISTRAŽIVAČKA MREŽA - CARNET</t>
  </si>
  <si>
    <t>JOSIPA MAROHNIĆA 5</t>
  </si>
  <si>
    <t>58101996540</t>
  </si>
  <si>
    <t>LEKSIKOGRAFSKI ZAVOD MIROSLAV KRLEŽA</t>
  </si>
  <si>
    <t>49894241709</t>
  </si>
  <si>
    <t>NACIONALNA I SVEUČILIŠNA KNJIŽNICA U ZAGREBU</t>
  </si>
  <si>
    <t>HRVATSKE BRATSKE ZAJEDNICE 4</t>
  </si>
  <si>
    <t>84838770814</t>
  </si>
  <si>
    <t>NACIONALNI CENTAR ZA VANJSKO VREDNOVANJE OBRAZOVANJA</t>
  </si>
  <si>
    <t>ULICA D. TOMLJANOVIĆA GAVRANA 11</t>
  </si>
  <si>
    <t>10020 ZAGREB</t>
  </si>
  <si>
    <t>94833993984</t>
  </si>
  <si>
    <t>SVEUČILIŠTE U ZAGREBU - SVEUČILIŠNI RAČUNSKI CENTAR - SRCE</t>
  </si>
  <si>
    <t>34016189309</t>
  </si>
  <si>
    <t>Plan za unos u SAP - prihodi</t>
  </si>
  <si>
    <t>GLAVA</t>
  </si>
  <si>
    <t>OPIS GLAVE</t>
  </si>
  <si>
    <t>IZVOR</t>
  </si>
  <si>
    <t>OPIS IZVORA</t>
  </si>
  <si>
    <t>Stavka
(odaberite)</t>
  </si>
  <si>
    <t>OPIS STAVKE</t>
  </si>
  <si>
    <t>Prijedlog plana
za 2022.</t>
  </si>
  <si>
    <t>Projekcija plana 
za 2023.</t>
  </si>
  <si>
    <t>left3</t>
  </si>
  <si>
    <t>left2</t>
  </si>
  <si>
    <t>671 - izvor 11</t>
  </si>
  <si>
    <t>glava za visoko 6</t>
  </si>
  <si>
    <t>671 - izvor 12</t>
  </si>
  <si>
    <t>Konto</t>
  </si>
  <si>
    <t>opis konta</t>
  </si>
  <si>
    <t>izvor</t>
  </si>
  <si>
    <t>3 konto</t>
  </si>
  <si>
    <t>Opći prihodi i primici</t>
  </si>
  <si>
    <t>Prihodi iz nadležnog proračuna za financiranje redovne djelatnosti proračunskih korisnika</t>
  </si>
  <si>
    <t>Sredstva učešća za pomoći</t>
  </si>
  <si>
    <t>Vlastiti prihodi</t>
  </si>
  <si>
    <t>Naknada za priređivanje lutrijskih igara, izvor 41</t>
  </si>
  <si>
    <t>Prihodi od igara na sreću</t>
  </si>
  <si>
    <t>Naknade za priređivanje igara na sreću u casinima, izvor 41</t>
  </si>
  <si>
    <t>Ostali prihodi za posebne namjene</t>
  </si>
  <si>
    <t>Naknade za priređivanje klađenja, izvor 41</t>
  </si>
  <si>
    <t>Pomoći EU</t>
  </si>
  <si>
    <t>Naknade za priređivanje igara na sreću na automatima, izvor 41</t>
  </si>
  <si>
    <t>Ostale pomoći</t>
  </si>
  <si>
    <t>Tekuće pomoći od inozemnih vlada u EU</t>
  </si>
  <si>
    <t xml:space="preserve">Ostale pomoći i darovnice </t>
  </si>
  <si>
    <t>Švicarski instrument</t>
  </si>
  <si>
    <t>Tekuće pomoći od inozemnih vlada izvan EU</t>
  </si>
  <si>
    <t>Ostale refundacije iz pomoći EU</t>
  </si>
  <si>
    <t>Kapitalne pomoći od inozemnih vlada u EU</t>
  </si>
  <si>
    <t>Europski socijalni fond (ESF)</t>
  </si>
  <si>
    <t>Kapitalne pomoći od inozemnih vlada izvan EU</t>
  </si>
  <si>
    <t>Europski fond za regionalni razvoj (ERDF)</t>
  </si>
  <si>
    <t>Tekuće pomoći od međunarodnih organizacija</t>
  </si>
  <si>
    <t>Instrumenti Europskog gospodarskog prostora i ostali instrumenti</t>
  </si>
  <si>
    <t xml:space="preserve">Kapitalne pomoći od međunarodnih organizacija </t>
  </si>
  <si>
    <t>Fondovi za unutarnje poslove</t>
  </si>
  <si>
    <t>Tekuće pomoći od institucija i tijela EU Švicarski instrument</t>
  </si>
  <si>
    <t>Fond solidarnosti Europske unije</t>
  </si>
  <si>
    <t>Tekuće pomoći od institucija i tijela EU – ostale refundacije</t>
  </si>
  <si>
    <t>Mehanizam za oporavak i otpornost</t>
  </si>
  <si>
    <t>Donacije</t>
  </si>
  <si>
    <t>Europski fond za regionalni razvoj (EFRR)</t>
  </si>
  <si>
    <t>Prihodi od nefin. imovine i nadoknade štete s osnova osig.</t>
  </si>
  <si>
    <t>Tekuće pomoći od institucija i tijela EU – Instrumenti europskog gospodarskog prostora</t>
  </si>
  <si>
    <t>Namjenski primici od zaduživanja</t>
  </si>
  <si>
    <t>Tek.pom.od instit. tijela EU - fondovi za unutarnje poslove</t>
  </si>
  <si>
    <t>Namjenski primici od inozemnog zaduživanja</t>
  </si>
  <si>
    <t>Tekuće pomoći od institucija i tijela EU - Fond solidarnosti EU - potres ožujak 2020.</t>
  </si>
  <si>
    <t>Fond solidarnosti EU</t>
  </si>
  <si>
    <t>Tek.pom.od instit. tijela EU - Mehanizam za oporavak i otpornost</t>
  </si>
  <si>
    <t>Tekuće pomoći od institucija i tijela EU - ostalo</t>
  </si>
  <si>
    <t xml:space="preserve">Pomoći EU </t>
  </si>
  <si>
    <t>Tekuće pomoći od institucija i tijela EU - refundacije putnih troškova</t>
  </si>
  <si>
    <t>Kapitalne pomoći od institucija i tijela EU Švicarski instrument</t>
  </si>
  <si>
    <t>Kapitalne pomoći od institucija i tijela EU - ostale refundacije</t>
  </si>
  <si>
    <t>Kapitalne pomoći od institucija i tijela EU - Instrumenti europskog gospodarskog prostora</t>
  </si>
  <si>
    <t>Kapitalne pomoći od institucija i tijela EU - Fondovi za unutarnje poslove</t>
  </si>
  <si>
    <t>Kapitalne pomoći od institucija i tijela EU - Fond solidarnosti EU - potres ožujak 2020.</t>
  </si>
  <si>
    <t>Kapitalne pom.od instit. tijela EU - Mehanizam za oporavak i otpornost</t>
  </si>
  <si>
    <t>Kapitalne pomoći od institucija i tijela EU - ostalo</t>
  </si>
  <si>
    <t xml:space="preserve">Tekuće pomoći od izvanproračunskih korisnika </t>
  </si>
  <si>
    <t>Kapitalne pomoći od izvanproračunskih korisnika</t>
  </si>
  <si>
    <t>Tekuće pomoći proračunskim korisnicima iz proračuna JLP(R)S koji im nije nadležan</t>
  </si>
  <si>
    <t>Kapitalne pomoći proračunskim korisnicima iz proračuna JLP(R)S koji im nije nadležan</t>
  </si>
  <si>
    <t>Tekuće pomoći temeljem prijenosa EU sredstava iz proračuna JLP(R)S, korisnika JLPRS ili izvanproračunskog korisnika</t>
  </si>
  <si>
    <t>Kapitalne pomoći temeljem prijenosa EU sredstava iz proračuna JLP(R)S, korisnika JLPRS ili izvanproračunskog korisnika</t>
  </si>
  <si>
    <t>Tekući prijenosi između proračunskih korisnika istog proračuna</t>
  </si>
  <si>
    <t>Kapitalni prijenosi između proračunskih korisnika istog proračuna</t>
  </si>
  <si>
    <t>Tekući prijenosi između proračunskih korisnika istog proračuna temeljem prijenosa EU sredstava</t>
  </si>
  <si>
    <t>Kapitalni prijenosi između proračunskih korisnika istog proračuna temeljem prijenosa EU sredstava</t>
  </si>
  <si>
    <t>Kamate za ostale vrijednosne papire izvor 31</t>
  </si>
  <si>
    <t>Kamate na oročena sredstva izvor 31</t>
  </si>
  <si>
    <t>Kamate na depozite po viđenju izvor 31</t>
  </si>
  <si>
    <t>Kamate na depozite po viđenju izvor 43</t>
  </si>
  <si>
    <t>Prihodi od pozitivnih tečajnih razlika izvor 31</t>
  </si>
  <si>
    <t>Prihodi od pozitivnih tečajnih razlika izvor 43</t>
  </si>
  <si>
    <t>Prihod od dividendi na dionice u kreditnim i ostalim financijskim institucijama izvan javnog sektora izvor 31</t>
  </si>
  <si>
    <t>Prihodi iz dobiti trgovačkih društava u javnom sektoru izvor 43</t>
  </si>
  <si>
    <t>Prihodi iz dobiti Hrvatske lutrije, izvor 41</t>
  </si>
  <si>
    <t>Ostali prihodi od financijske imovine izvor 43</t>
  </si>
  <si>
    <t>Prihodi od prodaje kratkotrajne nefinancijske imovine izvor 31</t>
  </si>
  <si>
    <t>Ostali prihodi od nefinancijske imovine izvor 31</t>
  </si>
  <si>
    <t>Ostale naknade i pristojbe za posebne namjene</t>
  </si>
  <si>
    <t xml:space="preserve">Ostali prihodi državne uprave za posebne namjene </t>
  </si>
  <si>
    <t>Sufinanciranje cijene usluge, participacije i slično</t>
  </si>
  <si>
    <t>Prihodi s naslova osiguranja, refundacije štete i totalne štete izvor 43</t>
  </si>
  <si>
    <t>Prihodi s naslova osiguranja, refundacije štete i totalne štete izvor 71</t>
  </si>
  <si>
    <t xml:space="preserve">Ostali prihodi za posebne namjene </t>
  </si>
  <si>
    <t>Prihodi od prodanih proizvoda i robe</t>
  </si>
  <si>
    <t>Prihodi od pruženih usluga</t>
  </si>
  <si>
    <t>Tekuće donacije od fizičkih osoba</t>
  </si>
  <si>
    <t xml:space="preserve">Donacije </t>
  </si>
  <si>
    <t>Tekuće donacije od neprofitnih organizacija</t>
  </si>
  <si>
    <t>Tekuće donacije od trgovačkih društava</t>
  </si>
  <si>
    <t>Tekuće donacije od ostalih subjekata izvan općeg proračuna</t>
  </si>
  <si>
    <t>Kapitalne donacije od fizičkih osoba</t>
  </si>
  <si>
    <t>Kapitalne donacije od neprofitnih organizacija</t>
  </si>
  <si>
    <t>Kapitalne donacije od trgovačkih društava</t>
  </si>
  <si>
    <t>Kapitalne donacije od ostalih subjekata izvan općeg proračuna</t>
  </si>
  <si>
    <t>Ostale nespomenute kazne izvor 43</t>
  </si>
  <si>
    <t>Ostali prihodi izvor 31</t>
  </si>
  <si>
    <t>Ostali prihodi izvor 43</t>
  </si>
  <si>
    <t>Poljoprivredno zemljište izvor 71</t>
  </si>
  <si>
    <t>Prihodi od prodaje ili zamjene nefinancijske imovine i naknade s naslova osiguranja</t>
  </si>
  <si>
    <t>Građevinsko zemljište izvor 71</t>
  </si>
  <si>
    <t>Ulaganja na tuđoj imovini radi prava korištenja izvor 71</t>
  </si>
  <si>
    <t>Ostala nespomenuta prava izvor 71</t>
  </si>
  <si>
    <t>Stambeni objekti za zaposlene izvor 71</t>
  </si>
  <si>
    <t>Ostali stambeni objekti izvor 71</t>
  </si>
  <si>
    <t>Zgrade znanstvenih i obrazovnih institucija (fakulteti, škole, vrtići i slično) izvor 71</t>
  </si>
  <si>
    <t>Ostali poslovni građevinski objekti izvor 71</t>
  </si>
  <si>
    <t>Računala i računalna oprema izvor 71</t>
  </si>
  <si>
    <t>Uredski namještaj izvor 71</t>
  </si>
  <si>
    <t>Ostala uredska oprema izvor 71</t>
  </si>
  <si>
    <t>Glazbeni instrumenti i oprema izvor 71</t>
  </si>
  <si>
    <t>Strojevi - izvor 71</t>
  </si>
  <si>
    <t>Oprema izvor 71</t>
  </si>
  <si>
    <t>Osobni automobili izvor 71</t>
  </si>
  <si>
    <t>Kombi vozila izvor 71</t>
  </si>
  <si>
    <t>Kamioni izvor 71</t>
  </si>
  <si>
    <t>Traktori izvor 71</t>
  </si>
  <si>
    <t>Terenska vozila (protupožarna, vojna i slično) izvor 71</t>
  </si>
  <si>
    <t>Ostala prijevozna sr. u cest.prometu - izvor 71</t>
  </si>
  <si>
    <t>Plovila izvor 71</t>
  </si>
  <si>
    <t>Osnovno stado izvor 71</t>
  </si>
  <si>
    <t>Primici od povr.depozita od tuz.kred.inst.-krat.43</t>
  </si>
  <si>
    <t>Primici od povrata depozita od tuzemnih kreditnih i ostalih institucija - dugoročni - namjenski</t>
  </si>
  <si>
    <t>Dionice i udjeli u glavnici trgovačkih društava u javnom sektoru - izvor 43</t>
  </si>
  <si>
    <t>Dionice i udjeli u glavnici tuzemnih kreditnih institucija izvan javnog sektora - izvor 43</t>
  </si>
  <si>
    <t>Primljeni zajmovi od međunarodnih organizacija - dugoročni</t>
  </si>
  <si>
    <t xml:space="preserve">Namjenski primici od zaduživanja </t>
  </si>
  <si>
    <t>Primljeni krediti od kreditnih institucija u javnom sektoru - dugoročni - namjenski</t>
  </si>
  <si>
    <t>Plan za unos u SAP - rashodi</t>
  </si>
  <si>
    <t>IZVOR
(odaberite)</t>
  </si>
  <si>
    <t>AKTIVNOST
(odaberite)</t>
  </si>
  <si>
    <t>OPIS AKTIVNOSTI</t>
  </si>
  <si>
    <t>A621001</t>
  </si>
  <si>
    <t>Plaće za redovan rad</t>
  </si>
  <si>
    <t>AKTIVNOST</t>
  </si>
  <si>
    <t>Plaće u naravi</t>
  </si>
  <si>
    <t>NOVA AKT</t>
  </si>
  <si>
    <t>Plaće za prekovremeni rad</t>
  </si>
  <si>
    <t>A557041</t>
  </si>
  <si>
    <t>PREUZIMANJE OBVEZA ZA PROJEKTE JAVNO PRIVATNOG PARTNERSTVA U VARAŽDINSKOJ I KOPRIVNIČKO-KRIŽEVAČKOJ ŽUPANIJI</t>
  </si>
  <si>
    <t>Plaće za posebne uvjete rada</t>
  </si>
  <si>
    <t>A557042</t>
  </si>
  <si>
    <t>PROGRAM DOKTORANADA I POSLIJEDOKTORANADA HRVATSKE ZAKLADE ZA ZNANOST</t>
  </si>
  <si>
    <t>Ostali rashodi za zaposlene</t>
  </si>
  <si>
    <t>A557043</t>
  </si>
  <si>
    <t>NACIONALNO VIJEĆE ZA ODGOJ I OBRAZOVANJE</t>
  </si>
  <si>
    <t>Doprinosi za obvezno zdravstveno osiguranje</t>
  </si>
  <si>
    <t>A577000</t>
  </si>
  <si>
    <t>ADMINISTRACIJA I UPRAVLJANJE</t>
  </si>
  <si>
    <t>Službena putovanja</t>
  </si>
  <si>
    <t>A577004</t>
  </si>
  <si>
    <t>PROVEDBA KURIKULARNE REFORME</t>
  </si>
  <si>
    <t>A622122</t>
  </si>
  <si>
    <t>Naknade za prijevoz, za rad na terenu i odvojeni život</t>
  </si>
  <si>
    <t>A577012</t>
  </si>
  <si>
    <t>OBRAZOVANJE DJECE HRVATSKIH GRAĐANA U INOZEMSTVU</t>
  </si>
  <si>
    <t>Stručno usavršavanje zaposlenika</t>
  </si>
  <si>
    <t>A577015</t>
  </si>
  <si>
    <t>DRŽAVNE NAGRADE ZA IZUZETNE REZULTATE U OBRAZOVANJU I TEHNIČKOJ KULTURI</t>
  </si>
  <si>
    <t>Ostale naknade troškova zaposlenima</t>
  </si>
  <si>
    <t>A577016</t>
  </si>
  <si>
    <t>PREVENCIJA NASILJA I OVISNOSTI</t>
  </si>
  <si>
    <t>Uredski materijal i ostali materijalni rashodi</t>
  </si>
  <si>
    <t>A577028</t>
  </si>
  <si>
    <t>POTICAJI HRVATSKOJ ZAJEDNICI TEHNIČKE KULTURE</t>
  </si>
  <si>
    <t>Materijal i sirovine</t>
  </si>
  <si>
    <t>A577124</t>
  </si>
  <si>
    <t>HRVATSKA NASTAVA U INOZEMSTVU</t>
  </si>
  <si>
    <t>Energija</t>
  </si>
  <si>
    <t>A577130</t>
  </si>
  <si>
    <t>POTICAJI UDRUGAMA ZA IZVANINSTITUCIONALNI ODGOJ I OBRAZOVANJE DJECE I MLADIH</t>
  </si>
  <si>
    <t>Materijal i dijelovi za tekuće i investicijsko održavanje</t>
  </si>
  <si>
    <t>A577131</t>
  </si>
  <si>
    <t>POTICAJI OBRAZOVANJA NACIONALNIH MANJINA</t>
  </si>
  <si>
    <t>A679088</t>
  </si>
  <si>
    <t>Sitni inventar i auto gume</t>
  </si>
  <si>
    <t>A577132</t>
  </si>
  <si>
    <t>POTICANJE MEĐUNARODNE OBRAZOVNE SURADNJE ŠKOLA</t>
  </si>
  <si>
    <t>Vojna sredstva za jednokratnu upotrebu</t>
  </si>
  <si>
    <t>A577133</t>
  </si>
  <si>
    <t>POTICANJE PROGRAMA RADA S DAROVITIM UČENICIMA I STUDENTIMA</t>
  </si>
  <si>
    <t>Službena, radna i zaštitna odjeća i obuća</t>
  </si>
  <si>
    <t>A577137</t>
  </si>
  <si>
    <t>POSEBNI PROGRAMI OBRAZOVANJA ZA PROVOĐENJE PROGRAMA NACIONALNIH MANJINA</t>
  </si>
  <si>
    <t>Usluge telefona, pošte i prijevoza</t>
  </si>
  <si>
    <t>A577143</t>
  </si>
  <si>
    <t>RAZVOJ I ODRŽAVANJE INFORMACIJSKE INFRASTRUKTURE MINISTARSTVA</t>
  </si>
  <si>
    <t>Usluge tekućeg i investicijskog održavanja</t>
  </si>
  <si>
    <t>A578003</t>
  </si>
  <si>
    <t>ODGOJ I NAOBRAZBA DJECE PRIPADNIKA NACIONALNIH MANJINA</t>
  </si>
  <si>
    <t>Usluge promidžbe i informiranja</t>
  </si>
  <si>
    <t>A578004</t>
  </si>
  <si>
    <t>PREDŠKOLSKI ODGOJ I OBRAZOVANJE DJECE S TEŠKOĆAMA U RAZVOJU (SUFINANCIRANJE)</t>
  </si>
  <si>
    <t>Komunalne usluge</t>
  </si>
  <si>
    <t>A578008</t>
  </si>
  <si>
    <t>ODGOJ I NAOBRAZBA DJECE U PROGRAMIMA PREDŠKOLE</t>
  </si>
  <si>
    <t>Zakupnine i najamnine</t>
  </si>
  <si>
    <t>A578009</t>
  </si>
  <si>
    <t>ODGOJ I OBRAZOVANJE DAROVITE DJECE PREDŠKOLSKE DOBI U DJEČJIM VRTIĆIMA</t>
  </si>
  <si>
    <t>Zdravstvene i veterinarske usluge</t>
  </si>
  <si>
    <t>A578041</t>
  </si>
  <si>
    <t>POMOĆNICI U NASTAVI ZA DJECU S TEŠKOĆAMA U RAZVOJU</t>
  </si>
  <si>
    <t>Intelektualne i osobne usluge</t>
  </si>
  <si>
    <t>A578042</t>
  </si>
  <si>
    <t>OSIGURANJE UČENIKA I STUDENATA NA PRAKTIČNOJ NASTAVI I STRUČNOJ PRAKSI</t>
  </si>
  <si>
    <t>Računalne usluge</t>
  </si>
  <si>
    <t>A578045</t>
  </si>
  <si>
    <t>SUFINANCIRANJE NASTAVNIH MATERIJALA I OPREME ZA UČENIKE OSNOVNIH I SREDNJIH ŠKOLA</t>
  </si>
  <si>
    <t>Ostale usluge</t>
  </si>
  <si>
    <t>A578050</t>
  </si>
  <si>
    <t>POTPORA INOVACIJSKIM PROCESIMA</t>
  </si>
  <si>
    <t>Naknade troškova osobama izvan radnog odnosa</t>
  </si>
  <si>
    <t>A578055</t>
  </si>
  <si>
    <t>HRVATSKO-ŠVICARSKI ISTRAŽIVAČKI PROGRAM</t>
  </si>
  <si>
    <t>Naknade za rad predstavničkih i izvršnih tijela, povjerensta</t>
  </si>
  <si>
    <t>A578059</t>
  </si>
  <si>
    <t>EUROPSKA MREŽA ŠKOLA - EUROPEAN SCHOOLNET</t>
  </si>
  <si>
    <t>Premije osiguranja</t>
  </si>
  <si>
    <t>A578061</t>
  </si>
  <si>
    <t>OBZOR 2020. - PROGRAM POTICANJA ISTRAŽIVANJA I RAZVOJA U PERSONALIZIRANOJ MEDICINI – ERA PERMED</t>
  </si>
  <si>
    <t>Reprezentacija</t>
  </si>
  <si>
    <t>A578062</t>
  </si>
  <si>
    <t>ERASMUS+ SOCIJALNA I MEĐUNARODNA DIMENZIJA OBRAZOVANJA I PRIZNAVANJA PRETHODNOG UČENJA - SIDERAL</t>
  </si>
  <si>
    <t xml:space="preserve">  Reprezentacija</t>
  </si>
  <si>
    <t>A578065</t>
  </si>
  <si>
    <t>ERASMUS+ PROJEKT BAQUAL - BOLJE AKADEMSKE KVALIFIKACIJE KROZ OSIGURAVANJE KVALITETE</t>
  </si>
  <si>
    <t>Članarine i norme</t>
  </si>
  <si>
    <t>A578066</t>
  </si>
  <si>
    <t>ERASMUS PLUS - PROJEKT PROFFORMANCE - RAZVOJ SUSTAVA OCJENJIVANJA RADA I NAGRAĐIVANJA PROFESORA NA VISOKIM UČILIŠTIMA</t>
  </si>
  <si>
    <t>Pristojbe i naknade</t>
  </si>
  <si>
    <t>A579000</t>
  </si>
  <si>
    <t>OSNOVNOŠKOLSKO OBRAZOVANJE</t>
  </si>
  <si>
    <t>Troškovi sudskih postupaka</t>
  </si>
  <si>
    <t>A579003</t>
  </si>
  <si>
    <t>ODGOJ I NAOBRAZBA UČENIKA S TEŠKOĆAMA U RAZVOJU U OSNOVNIM ŠKOLAMA</t>
  </si>
  <si>
    <t>Ostali nespomenuti rashodi poslovanja</t>
  </si>
  <si>
    <t>A579004</t>
  </si>
  <si>
    <t>POTICANJE IZVANNASTAVNIH AKTIVNOSTI U OŠ</t>
  </si>
  <si>
    <t>Kamate za izdane trezorske zapise</t>
  </si>
  <si>
    <t>A579007</t>
  </si>
  <si>
    <t>PRAVOMOĆNE SUDSKE PRESUDE</t>
  </si>
  <si>
    <t>Kamate za primljene kredite i zajmove od kreditnih i ostalih</t>
  </si>
  <si>
    <t>A579069</t>
  </si>
  <si>
    <t>RAZVOJ PREDŠKOLSKOG I OSNOVNOŠKOLSKOG SUSTAVA ODGOJA I OBRAZOVANJA</t>
  </si>
  <si>
    <t>A580000</t>
  </si>
  <si>
    <t>SREDNJOŠKOLSKO OBRAZOVANJE</t>
  </si>
  <si>
    <t>Kamate za primljene zajmove od trgovačkih društava i obrtnik</t>
  </si>
  <si>
    <t>A580003</t>
  </si>
  <si>
    <t>POTICANJE IZVANNASTAVNIH AKTIVNOSTI U SREDNJIM ŠKOLAMA I VISOKOŠKOLSKOM OBRAZOVANJU</t>
  </si>
  <si>
    <t>Bankarske usluge i usluge platnog prometa</t>
  </si>
  <si>
    <t>A580004</t>
  </si>
  <si>
    <t>STANDARD UČENIKA S POSEBNIM POTREBAMA</t>
  </si>
  <si>
    <t>Negativne tečajne razlike i razlike zbog primjene valutne kl</t>
  </si>
  <si>
    <t>A580007</t>
  </si>
  <si>
    <t>Zatezne kamate</t>
  </si>
  <si>
    <t>A580014</t>
  </si>
  <si>
    <t>RAZVOJ SUSTAVA OBRAZOVANJA ODRASLIH</t>
  </si>
  <si>
    <t>Ostali nespomenuti financijski rashodi</t>
  </si>
  <si>
    <t>A580037</t>
  </si>
  <si>
    <t>JAVNI MEĐUMJESNI PRIJEVOZ ZA UČENIKE</t>
  </si>
  <si>
    <t>Subvencije kreditnim i ostalim financijskim institucijama u</t>
  </si>
  <si>
    <t>A580044</t>
  </si>
  <si>
    <t>RAZVOJ SUSTAVA SREDNJOŠKOLSKOG ODGOJA I OBRAZOVANJA</t>
  </si>
  <si>
    <t>Subvencije trgovačkim društvima u javnom sektoru</t>
  </si>
  <si>
    <t>A621021</t>
  </si>
  <si>
    <t>SMJEŠTAJ I PREHRANA STUDENATA STUDENTSKOG CENTRA ZAGREB - SUFINANCIRANJE</t>
  </si>
  <si>
    <t>Subvencije trgovačkim društvima izvan javnog sektora</t>
  </si>
  <si>
    <t>A621022</t>
  </si>
  <si>
    <t>SMJEŠTAJ I PREHRANA STUDENATA STUDENTSKOG CENTRA OSIJEK - SUFINANCIRANJE</t>
  </si>
  <si>
    <t>Subvencije trgovačkim društvima, zadrugama, poljoprivrednici</t>
  </si>
  <si>
    <t>A621023</t>
  </si>
  <si>
    <t>SMJEŠTAJ I PREHRANA STUDENATA STUDENTSKOG CENTRA RIJEKA - SUFINANCIRANJE</t>
  </si>
  <si>
    <t>Tekuće pomoći inozemnim vladama</t>
  </si>
  <si>
    <t>A621024</t>
  </si>
  <si>
    <t>SMJEŠTAJ I PREHRANA STUDENATA STUDENTSKOG CENTRA SPLIT - SUFINANCIRANJE</t>
  </si>
  <si>
    <t>Tekuće pomoći međunarodnim organizacijama te institucijama i</t>
  </si>
  <si>
    <t>A621026</t>
  </si>
  <si>
    <t>SMJEŠTAJ I PREHRANA STUDENATA STUDENTSKOG CENTRA ŠIBENIK - SUFINANCIRANJE</t>
  </si>
  <si>
    <t>Tekuće pomoći unutar općeg proračuna</t>
  </si>
  <si>
    <t>A621028</t>
  </si>
  <si>
    <t>SMJEŠTAJ I PREHRANA STUDENATA STUDENTSKOG CENTRA VARAŽDIN - SUFINANCIRANJE</t>
  </si>
  <si>
    <t>Kapitalne pomoći unutar općeg proračuna</t>
  </si>
  <si>
    <t>A621029</t>
  </si>
  <si>
    <t>SMJEŠTAJ I PREHRANA STUDENATA STUDENTSKOG CENTRA SLAVONSKI BROD - SUFINANCIRANJE</t>
  </si>
  <si>
    <t>Tekuće pomoći proračunskim korisnicima drugih proračuna</t>
  </si>
  <si>
    <t>A621030</t>
  </si>
  <si>
    <t>SMJEŠTAJ I PREHRANA STUDENATA STUDENTSKOG CENTRA POŽEGA - SUFINANCIRANJE</t>
  </si>
  <si>
    <t>Kapitalne pomoći proračunskim korisnicima drugih proračuna</t>
  </si>
  <si>
    <t>A621031</t>
  </si>
  <si>
    <t>SMJEŠTAJ I PREHRANA STUDENATA STUDENTSKOG CENTRA KARLOVAC - SUFINANCIRANJE</t>
  </si>
  <si>
    <t>Tekuće pomoći temeljem prijenosa EU sredstava</t>
  </si>
  <si>
    <t>A621047</t>
  </si>
  <si>
    <t>DRŽAVNE, AKADEMSKE NAGRADE I POTPORE U ZNANOSTI I VISOKOM ŠKOLSTVU</t>
  </si>
  <si>
    <t>Kapitalne pomoći temeljem prijenosa EU sredstava</t>
  </si>
  <si>
    <t>A621048</t>
  </si>
  <si>
    <t>PROJEKTNO FINANCIRANJE ZNANSTVENE DJELATNOSTI</t>
  </si>
  <si>
    <t>Tekući prijenosi između proračunskih korisnika istog proraču</t>
  </si>
  <si>
    <t>A621049</t>
  </si>
  <si>
    <t>KAMATE ZA STANOVE ZNANSTVENIH NOVAKA I ASISTENATA</t>
  </si>
  <si>
    <t>Kapitalni prijenosi između proračunskih korisnika istog pror</t>
  </si>
  <si>
    <t>A621058</t>
  </si>
  <si>
    <t>PROGRAMI POBOLJŠANJA STUDENTSKOG STANDARDA</t>
  </si>
  <si>
    <t>A621185</t>
  </si>
  <si>
    <t>POTPORA HRVATSKOM KATOLIČKOM SVEUČILIŠTU U ZAGREBU</t>
  </si>
  <si>
    <t>A622003</t>
  </si>
  <si>
    <t>UGOVORNO FINANCIRANJE ZNANSTVENE DJELATNOSTI</t>
  </si>
  <si>
    <t>Naknade građ. i kuć. u novcu-neposr. ili putem ust.izvan js</t>
  </si>
  <si>
    <t>A622004</t>
  </si>
  <si>
    <t>IZDAVANJE DOMAĆIH ZNANSTVENIH ČASOPISA</t>
  </si>
  <si>
    <t>Naknade građ. i kuć. u naravi-neposr. ili putem ust.izvan js</t>
  </si>
  <si>
    <t>A622005</t>
  </si>
  <si>
    <t>ORGANIZIRANJE I ODRŽAVANJE ZNANSTVENIH SKUPOVA</t>
  </si>
  <si>
    <t>Naknade građanima i kućanstvima u novcu - putem ustanova u j</t>
  </si>
  <si>
    <t>A622006</t>
  </si>
  <si>
    <t>IZDAVANJE  ZNANSTVENIH KNJIGA I UDŽBENIKA</t>
  </si>
  <si>
    <t>Naknade građanima i kućanstvima u naravi - putem ustanova u</t>
  </si>
  <si>
    <t>A622007</t>
  </si>
  <si>
    <t>FINANCIJSKA POTPORA ZNANSTVENIM UDRUGAMA I PROGRAMIMA POPULARIZACIJE ZNANOSTI</t>
  </si>
  <si>
    <t>Naknade građanima i kućanstvima na temelju osiguranja iz EU</t>
  </si>
  <si>
    <t>A628003</t>
  </si>
  <si>
    <t>PROJEKTI PRIMJENE INFORMACIJSKE TEHNOLOGIJE</t>
  </si>
  <si>
    <t>Naknade građanima i kućanstvima u novcu</t>
  </si>
  <si>
    <t>A676057</t>
  </si>
  <si>
    <t>MODERNIZACIJA STRUKOVNIH PROGRAMA OBRAZOVANJA I OSPOSOBLJAVANJA - ŠVICARSKO-HRVATSKI PROGRAM SURADNJE</t>
  </si>
  <si>
    <t>Naknade građanima i kućanstvima u naravi</t>
  </si>
  <si>
    <t>A676059</t>
  </si>
  <si>
    <t>OBZOR 2020. - EUROPSKA NOĆ ISTRAŽIVAČA</t>
  </si>
  <si>
    <t>Naknade građanima i kućanstvima iz EU sredstava</t>
  </si>
  <si>
    <t>A676065</t>
  </si>
  <si>
    <t>ERASMUS+ PROJEKT BWSE FORWARD - BOLONJA OČIMA ZAINTERESIRANIH DIONIKA ZA SNAŽNIJU BUDUĆNOST BOLONJSKOG PROCESA</t>
  </si>
  <si>
    <t>Tekuće donacije u novcu</t>
  </si>
  <si>
    <t>A679005</t>
  </si>
  <si>
    <t>ČLANSTVO U MEĐUNARODNIM UDRUGAMA</t>
  </si>
  <si>
    <t>Tekuće donacije u naravi</t>
  </si>
  <si>
    <t>A679008</t>
  </si>
  <si>
    <t>PROGRAM RAZVOJNE SURADNJE</t>
  </si>
  <si>
    <t>Tekuće donacije iz EU sredstava</t>
  </si>
  <si>
    <t>A679009</t>
  </si>
  <si>
    <t>REDOVNA DJELATNOST LEKTORATA</t>
  </si>
  <si>
    <t>Kapitalne donacije neprofitnim organizacijama</t>
  </si>
  <si>
    <t>A679047</t>
  </si>
  <si>
    <t>MEĐUNARODNA SURADNJA I EUROPSKI POSLOVI</t>
  </si>
  <si>
    <t>Naknade šteta pravnim i fizičkim osobama</t>
  </si>
  <si>
    <t>A679049</t>
  </si>
  <si>
    <t>POMOĆI BIH U SUSTAVU ZNANOSTI I OBRAZOVANJA</t>
  </si>
  <si>
    <t>Penali, ležarine i drugo</t>
  </si>
  <si>
    <t>A679064</t>
  </si>
  <si>
    <t>ZNANSTVENO-UČILIŠNI KAMPUS BORONGAJ</t>
  </si>
  <si>
    <t>Naknade šteta zaposlenicima</t>
  </si>
  <si>
    <t>A679065</t>
  </si>
  <si>
    <t>SMJEŠTAJ I PREHRANA STUDENATA STUDENTSKOG CENTRA PULA - SUFINANCIRANJE</t>
  </si>
  <si>
    <t>Ugovorene kazne i ostale naknade šteta</t>
  </si>
  <si>
    <t>A679066</t>
  </si>
  <si>
    <t>POTPORE ROMSKIM STUDIJIMA I STUDENTIMA ROMIMA</t>
  </si>
  <si>
    <t>Ostale kazne</t>
  </si>
  <si>
    <t>A679067</t>
  </si>
  <si>
    <t>STIPENDIJE ZA STUDENTE SLABIJEGA SOCIO-EKONOMSKOG STATUSA</t>
  </si>
  <si>
    <t>Kapitalne pomoći kreditnim i ostalim financijskim institucijama te trgovačkim društvima u javnom sektoru</t>
  </si>
  <si>
    <t>A679069</t>
  </si>
  <si>
    <t>SMJEŠTAJ I PREHRANA STUDENATA STUDENTSKOG CENTRA SISAK - SUFINANCIRANJE</t>
  </si>
  <si>
    <t>Kapitalne pomoći kreditnim i ostalim financijskim institucijama te trgovačkim društvima i zadrugama izvan javnog sektora</t>
  </si>
  <si>
    <t>A733049</t>
  </si>
  <si>
    <t>EUROPSKA AGENCIJA ZA POSEBNE POTREBE I INKLUZIVNO OBRAZOVANJE</t>
  </si>
  <si>
    <t>Kapitalne pomoći poljoprivrednicima i obrtnicima</t>
  </si>
  <si>
    <t>A733050</t>
  </si>
  <si>
    <t>PRAĆENJE I IMPLEMENTACIJA POLITIKA EUROPSKOG ISTRAŽIVAČKOG PROSTORA (ERA)</t>
  </si>
  <si>
    <t>Zemljište</t>
  </si>
  <si>
    <t>A733051</t>
  </si>
  <si>
    <t>PROGRAMI IZRADE UDŽBENIKA ZA SLIJEPE I SLABOVIDNE UČENIKE I STUDENTE</t>
  </si>
  <si>
    <t>Ostala prirodna materijalna imovina</t>
  </si>
  <si>
    <t>A733052</t>
  </si>
  <si>
    <t>DALJNJE UNAPREĐENJE SUSTAVA ZA RAZVOJ I PROVEDBU NACIONALNOGA KVALIFIKACIJSKOG OKVIRA (NKO)</t>
  </si>
  <si>
    <t>Koncesije</t>
  </si>
  <si>
    <t>A733055</t>
  </si>
  <si>
    <t>PROGRAM IZVRSNOSTI U VISOKOM OBRAZOVANJU - TENURE-TRACK</t>
  </si>
  <si>
    <t>Licence</t>
  </si>
  <si>
    <t>A733056</t>
  </si>
  <si>
    <t>EUROPSKI ZNANSTVENI PROJEKTI</t>
  </si>
  <si>
    <t>Ostala prava</t>
  </si>
  <si>
    <t>A733060</t>
  </si>
  <si>
    <t>OBZOR 2020. - PROGRAM POTICANJA ISTRAŽIVANJA I RAZVOJA MORSKIH BIO-RESURSA – ERA-NET BLUEBIOECONOMY</t>
  </si>
  <si>
    <t>Ostala nematerijalna imovina</t>
  </si>
  <si>
    <t>A733063</t>
  </si>
  <si>
    <t>ERASMUS+ KORIŠTENJE PODATAKA S CILJEM UNAPRJEĐENJA KVALITETE U SUSTAVU ODGOJA I OBRAZOVANJA - DATA DRIVE</t>
  </si>
  <si>
    <t>Stambeni objekti</t>
  </si>
  <si>
    <t>A733064</t>
  </si>
  <si>
    <t>ERASMUS+ INTERDISCIPLINARNI STEM PRISTUP SVEMU OKO NAS - STE(A)M IT</t>
  </si>
  <si>
    <t>Poslovni objekti</t>
  </si>
  <si>
    <t>A733065</t>
  </si>
  <si>
    <t>ERASMUS + PRIZNAVANJE PRETHODNOG UČENJA U PRAKSI</t>
  </si>
  <si>
    <t>Ceste, željeznice i ostali prometni objekti</t>
  </si>
  <si>
    <t>A733066</t>
  </si>
  <si>
    <t>ERASMUS PLUS - OSNAŽIVANJE NASTAVNIKA DILJEM EUROPE - KA3 - HAND IN HAND</t>
  </si>
  <si>
    <t>Ostali građevinski objekti</t>
  </si>
  <si>
    <t>A767002</t>
  </si>
  <si>
    <t>IZRADA DEFICITARNIH UDŽBENIKA U ŠKOLSTVU</t>
  </si>
  <si>
    <t>Uredska oprema i namještaj</t>
  </si>
  <si>
    <t>A767003</t>
  </si>
  <si>
    <t>SREDNJOŠKOLSKE STIPENDIJE ZA UČENIKE ROME</t>
  </si>
  <si>
    <t>Komunikacijska oprema</t>
  </si>
  <si>
    <t>A767004</t>
  </si>
  <si>
    <t>NAOBRAZBA DJECE U ALTERNATIVNIM ŠKOLAMA</t>
  </si>
  <si>
    <t>Oprema za održavanje i zaštitu</t>
  </si>
  <si>
    <t>A767008</t>
  </si>
  <si>
    <t>SUBVENCIONIRANJE KAMATA ZA STANOVE UČITELJA</t>
  </si>
  <si>
    <t>Medicinska i laboratorijska oprema</t>
  </si>
  <si>
    <t>A767009</t>
  </si>
  <si>
    <t>ZNANSTVENI CENTRI IZVRSNOSTI - DRUŠTVENO HUMANISTIČKO PODRUČJE</t>
  </si>
  <si>
    <t>Instrumenti, uređaji i strojevi</t>
  </si>
  <si>
    <t>A767013</t>
  </si>
  <si>
    <t>RAZVOJ SUSTAVA OSIGURANJA KVALITETE</t>
  </si>
  <si>
    <t>Sportska i glazbena oprema</t>
  </si>
  <si>
    <t>A767015</t>
  </si>
  <si>
    <t>PROVEDBA PROGRAMA ZA UKLJUČIVANJE ROMA</t>
  </si>
  <si>
    <t>Uređaji, strojevi i oprema za ostale namjene</t>
  </si>
  <si>
    <t>A767035</t>
  </si>
  <si>
    <t>MEĐUNARODNA SURADNJA</t>
  </si>
  <si>
    <t>Prijevozna sredstva u cestovnom prometu</t>
  </si>
  <si>
    <t>A767038</t>
  </si>
  <si>
    <t>OBZOR 2020. - PROGRAM MEĐUNARODNE MOBILNOSTI ZA ISTRAŽIVAČE - NEWFELPRO</t>
  </si>
  <si>
    <t>Prijevozna sredstva u pomorskom i riječnom prometu</t>
  </si>
  <si>
    <t>A767042</t>
  </si>
  <si>
    <t>OBRAZOVANJE OSOBA BEZ HRVATSKOG DRŽAVLJANSTVA</t>
  </si>
  <si>
    <t>Knjige</t>
  </si>
  <si>
    <t>A767043</t>
  </si>
  <si>
    <t>RAZVOJ VISOKOG OBRAZOVANJA</t>
  </si>
  <si>
    <t>Umjetnička djela (izložena u galerijama, muzejima i slično)</t>
  </si>
  <si>
    <t>A767056</t>
  </si>
  <si>
    <t>OBZOR 2020. - PARTNERSTVO ZA ISTRAŽIVANJA I INOVACIJE NA MEDITERANSKOM PODRUČJU - PRIMA</t>
  </si>
  <si>
    <t>Ostale nespomenute izložbene vrijednosti</t>
  </si>
  <si>
    <t>A768053</t>
  </si>
  <si>
    <t>EUROPSKE ŠKOLE</t>
  </si>
  <si>
    <t>Višegodišnji nasadi</t>
  </si>
  <si>
    <t>A768054</t>
  </si>
  <si>
    <t>DODATNA SREDSTVA IZRAVNANJA ZA DECENTRALIZIRANE FUNKCIJE</t>
  </si>
  <si>
    <t>Osnovno stado</t>
  </si>
  <si>
    <t>A768058</t>
  </si>
  <si>
    <t>PREUZETE OBVEZE PO MEĐUNARODNIM UGOVORIMA</t>
  </si>
  <si>
    <t>Ulaganja u računalne programe</t>
  </si>
  <si>
    <t>A768060</t>
  </si>
  <si>
    <t>OBZOR 2020. - SUDJELOVANJE REPUBLIKE HRVATSKE U EUROPSKOM ZAJEDNIČKOM PODUZEĆU ZA RAČUNALSTVO VISOKIH PERFORMANSI - EUROHPC</t>
  </si>
  <si>
    <t>K679116</t>
  </si>
  <si>
    <t>Umjetnička, literarna i znanstvena djela</t>
  </si>
  <si>
    <t>A768061</t>
  </si>
  <si>
    <t>ERASMUS+ UČINKOVITO PARTNERSTVO ZA UNAPRIJEĐENO PRIZNAVANJE - EPER</t>
  </si>
  <si>
    <t>Ostala nematerijalna proizvedena imovina</t>
  </si>
  <si>
    <t>A768064</t>
  </si>
  <si>
    <t>ERASMUS+ PROJEKT TRACER - TRANSPARENTNOST HRVATSKIH KVALIFIKACIJA RADI LAKŠEG PRIZNAVANJA</t>
  </si>
  <si>
    <t>Pohranjene knjige, umjetnička djela i slične vrijednosti</t>
  </si>
  <si>
    <t>A768065</t>
  </si>
  <si>
    <t>OBZOR 2020 - MENTORSTVO ZA UNAPRJEĐENJE ŠKOLE - MENSI</t>
  </si>
  <si>
    <t>Strateške zalihe</t>
  </si>
  <si>
    <t>A818021</t>
  </si>
  <si>
    <t>PRIMJENA UDŽBENIČKOG STANDARDA</t>
  </si>
  <si>
    <t>K679119</t>
  </si>
  <si>
    <t>Dodatna ulaganja na građevinskim objektima</t>
  </si>
  <si>
    <t>A818034</t>
  </si>
  <si>
    <t>PROJEKT POVEZIVANJA S EUROPSKIM KVALIFIKACIJSKIM OKVIROM - EQF NCP GRANT</t>
  </si>
  <si>
    <t>Dodatna ulaganja na postrojenjima i opremi</t>
  </si>
  <si>
    <t>A818035</t>
  </si>
  <si>
    <t>MENTORI I STRUČNI ISPITI U OSNOVNIM I SREDNJIM ŠKOLAMA</t>
  </si>
  <si>
    <t>Dodatna ulaganja na prijevoznim sredstvima</t>
  </si>
  <si>
    <t>A818049</t>
  </si>
  <si>
    <t>REGIONALNI CENTAR ZA IMPLEMENTACIJU REGIONALNE STRATEGIJE ZNANOSTI I ISTRAŽIVANJA ZAPADNOG BALKANA ZA INOVACIJE (WISE)</t>
  </si>
  <si>
    <t>Dodatna ulaganja za ostalu nefinancijsku imovinu</t>
  </si>
  <si>
    <t>K110283</t>
  </si>
  <si>
    <t>OPREMANJE OSNOVNOŠKOLSKIH KNJIŽNICA OBVEZNOM LEKTIROM I STRUČNOM LITERATUROM</t>
  </si>
  <si>
    <t>Dani zajmovi neprofitnim organizacijama, građanima i kućanst</t>
  </si>
  <si>
    <t>K110291</t>
  </si>
  <si>
    <t>OPREMANJE SREDNJOŠKOLSKIH KNJIŽNICA LEKTIROM I STRUČNOM LITERATUROM</t>
  </si>
  <si>
    <t>Otplata glavnice primljenih kredita od tuzemnih kreditnih in</t>
  </si>
  <si>
    <t>K252755</t>
  </si>
  <si>
    <t>RAČUNALNO KOMUNIKACIJSKA INFRASTRUKTURA U OSNOVNIM I SREDNJIM ŠKOLAMA</t>
  </si>
  <si>
    <t>Dani zajmovi neprofitnim organizacijama, građanima i kućanstvima u tuzemstvu</t>
  </si>
  <si>
    <t>K578010</t>
  </si>
  <si>
    <t>IZGRADNJA DJEČJEG CENTRA VOŠTARNICA</t>
  </si>
  <si>
    <t>Dani zajmovi neprofitnim organizacijama, građanima i kućanstvima u inozemstvu</t>
  </si>
  <si>
    <t>K578063</t>
  </si>
  <si>
    <t>UNAPRIJEĐENJE SUSTAVA PREDTERCIJALNOG OBRAZOVANJA</t>
  </si>
  <si>
    <t>Dani zajmovi trgovačkim društvima u javnom sektoru</t>
  </si>
  <si>
    <t>K578064</t>
  </si>
  <si>
    <t>CENTAR ZA ODGOJ I OBRAZOVANJE ČAKOVEC</t>
  </si>
  <si>
    <t>Izdaci za depozite u kreditnim i ostalim financijskim institucijama - tuzemni</t>
  </si>
  <si>
    <t>K578067</t>
  </si>
  <si>
    <t>PODKOMPONENTA C3.2. PODIZANJE ISTRAŽIVAČKOG I INOVACIJSKOG KAPACITETA - NPOO</t>
  </si>
  <si>
    <t xml:space="preserve">Izdaci za jamčevne pologe </t>
  </si>
  <si>
    <t>K578068</t>
  </si>
  <si>
    <t>PODKOMPONENTA C3.1. R1-I3 IZGRADNJA, DOGRADNJA, REKONSTRUKCIJA I OPREMANJE SREDNJIH ŠKOLA - NPOO</t>
  </si>
  <si>
    <t>Otplata glavnice primljenih kredita od kreditnih institucija u javnom sektoru</t>
  </si>
  <si>
    <t>K579064</t>
  </si>
  <si>
    <t>KAPITALNE INVESTICIJE U OSNOVNOM I SREDNJEM ŠKOLSTVU</t>
  </si>
  <si>
    <t>Otplata glavnice primljenih zajmova od trgovačkih društava u javnom sektoru</t>
  </si>
  <si>
    <t>K621173</t>
  </si>
  <si>
    <t>INFORMACIJSKA INFRASTRUKTURA SUSTAVA VISOKOG OBRAZOVANJA</t>
  </si>
  <si>
    <t>Otplata glavnice primljenih kredita od tuzemnih kreditnih institucija izvan javnog sektora</t>
  </si>
  <si>
    <t>K622113</t>
  </si>
  <si>
    <t>ULAGANJE U ODRŽAVANJE ZNANSTVENOISTRAŽIVAČKE OPREME I INFRASTRUKTURE</t>
  </si>
  <si>
    <t>Otplata glavnice primljenih zajmova od ostalih tuzemnih financijskih institucija izvan javnog sektora</t>
  </si>
  <si>
    <t>K676064</t>
  </si>
  <si>
    <t>TALIJANSKA SŠ LEONARDO DA VINCI BUJE-REKONSTRUKCIJA I DOGRADNJA</t>
  </si>
  <si>
    <t>Otplata glavnice primljenih zajmova od tuzemnih trgovačkih društava izvan javnog sektora</t>
  </si>
  <si>
    <t>K676066</t>
  </si>
  <si>
    <t>OBNOVA INFRASTRUKTURE I OPREME U PODRUČJU OBRAZOVANJA OŠTEĆENE POTRESOM - NPOO</t>
  </si>
  <si>
    <t>Otplata glavnice primljenih zajmova od županijskih proračuna</t>
  </si>
  <si>
    <t>K676067</t>
  </si>
  <si>
    <t>PODKOMPONENTA C3.1. R1-I1 IZGRADNJA, DOGRADNJA, REKONSTRUKCIJA I OPREMANJE PREDŠKOLSKIH USTANOVA - NPOO</t>
  </si>
  <si>
    <t>K733061</t>
  </si>
  <si>
    <t>OSNOVNA ŠKOLA MILAN AMRUŠ SLAVONSKI BROD</t>
  </si>
  <si>
    <t>K733067</t>
  </si>
  <si>
    <t>OP UČINKOVITI LJUDSKI POTENCIJALI 2021.-2027., PRIORITET 2</t>
  </si>
  <si>
    <t>K767031</t>
  </si>
  <si>
    <t>OŠ MIJATA STOJANOVIĆA U BABINOJ GREDI</t>
  </si>
  <si>
    <t>K767032</t>
  </si>
  <si>
    <t>OBRTNIČKA ŠKOLA SISAK</t>
  </si>
  <si>
    <t>K768066</t>
  </si>
  <si>
    <t>OBNOVA INFRASTRUKTURE I OPREME U PODRUČJU OBRAZOVANJA OŠTEĆENE POTRESOM</t>
  </si>
  <si>
    <t>K768067</t>
  </si>
  <si>
    <t>PODKOMPONENTA C3.1. R1-I2 IZGRADNJA, DOGRADNJA, REKONSTRUKCIJA I OPREMANJE OSNOVNIH ŠKOLA ZA POTREBE JEDNOSMJENSKOG RADA I CJELODNEVNE NASTAVE - NPOO</t>
  </si>
  <si>
    <t>REDOVNA DJELATNOST SVEUČILIŠTA U ZAGREBU</t>
  </si>
  <si>
    <t>A621002</t>
  </si>
  <si>
    <t>REDOVNA DJELATNOST SVEUČILIŠTA U RIJECI</t>
  </si>
  <si>
    <t>A621003</t>
  </si>
  <si>
    <t>REDOVNA DJELATNOST SVEUČILIŠTA U OSIJEKU</t>
  </si>
  <si>
    <t>A621004</t>
  </si>
  <si>
    <t>REDOVNA DJELATNOST SVEUČILIŠTA U SPLITU</t>
  </si>
  <si>
    <t>A621038</t>
  </si>
  <si>
    <t>PROGRAMI VJEŽBAONICA VISOKIH UČILIŠTA</t>
  </si>
  <si>
    <t>A621074</t>
  </si>
  <si>
    <t>REDOVNA DJELATNOST SVEUČILIŠTA U ZADRU</t>
  </si>
  <si>
    <t>A621138</t>
  </si>
  <si>
    <t>REDOVNA DJELATNOST SVEUČILIŠTA U DUBROVNIKU</t>
  </si>
  <si>
    <t>A621148</t>
  </si>
  <si>
    <t>REDOVNA DJELATNOST VELEUČILIŠTA I VISOKIH ŠKOLA</t>
  </si>
  <si>
    <t>A621168</t>
  </si>
  <si>
    <t>REDOVNA DJELATNOST SVEUČILIŠTA U PULI</t>
  </si>
  <si>
    <t>A621180</t>
  </si>
  <si>
    <t>REKTORSKI ZBOR</t>
  </si>
  <si>
    <t>A621181</t>
  </si>
  <si>
    <t>A621183</t>
  </si>
  <si>
    <t>STIPENDIJE I ŠKOLARINE ZA DOKTORSKI STUDIJ</t>
  </si>
  <si>
    <t>A622012</t>
  </si>
  <si>
    <t>REDOVNA DJELATNOST SEIZMOLOŠKE SLUŽBE</t>
  </si>
  <si>
    <t>PROGRAMSKO FINANCIRANJE JAVNIH VISOKIH UČILIŠTA</t>
  </si>
  <si>
    <t>A679079</t>
  </si>
  <si>
    <t>SVEUČILIŠTE U ZAGREBU - BICRO BIOCentar</t>
  </si>
  <si>
    <t>A679080</t>
  </si>
  <si>
    <t>REDOVNA DJELATNOST SVEUČILIŠTA SJEVER</t>
  </si>
  <si>
    <t>REDOVNA DJELATNOST SVEUČILIŠTA U ZAGREBU (IZ EVIDENCIJSKIH PRIHODA)</t>
  </si>
  <si>
    <t>A679089</t>
  </si>
  <si>
    <t>REDOVNA DJELATNOST SVEUČILIŠTA U RIJECI (IZ EVIDENCIJSKIH PRIHODA)</t>
  </si>
  <si>
    <t>A679090</t>
  </si>
  <si>
    <t>REDOVNA DJELATNOST SVEUČILIŠTA U OSIJEKU (IZ EVIDENCIJSKIH PRIHODA)</t>
  </si>
  <si>
    <t>A679091</t>
  </si>
  <si>
    <t>REDOVNA DJELATNOST SVEUČILIŠTA U SPLITU (IZ EVIDENCIJSKIH PRIHODA)</t>
  </si>
  <si>
    <t>A679092</t>
  </si>
  <si>
    <t>REDOVNA DJELATNOST SVEUČILIŠTA U ZADRU (IZ EVIDENCIJSKIH PRIHODA)</t>
  </si>
  <si>
    <t>A679093</t>
  </si>
  <si>
    <t>REDOVNA DJELATNOST SVEUČILIŠTA U DUBROVNIKU (IZ EVIDENCIJSKIH PRIHODA)</t>
  </si>
  <si>
    <t>A679094</t>
  </si>
  <si>
    <t>REDOVNA DJELATNOST VELEUČILIŠTA I VISOKIH ŠKOLA (IZ EVIDENCIJSKIH PRIHODA)</t>
  </si>
  <si>
    <t>A679095</t>
  </si>
  <si>
    <t>REDOVNA DJELATNOST SVEUČILIŠTA U PULI (IZ EVIDENCIJSKIH PRIHODA)</t>
  </si>
  <si>
    <t>A679096</t>
  </si>
  <si>
    <t>REDOVNA DJELATNOST SVEUČILIŠTA SJEVER (IZ EVIDENCIJSKIH PRIHODA)</t>
  </si>
  <si>
    <t>A679110</t>
  </si>
  <si>
    <t>POTPORA UMJETNIČKIM STUDIJIMA</t>
  </si>
  <si>
    <t>A679112</t>
  </si>
  <si>
    <t>REDOVNA DJELATNOST SVEUČILIŠTA U SLAVONSKOM BRODU</t>
  </si>
  <si>
    <t>A679114</t>
  </si>
  <si>
    <t>REDOVNA DJELATNOST SVEUČILIŠTA U SLAVONSKOM BRODU (IZ EVIDENCIJSKIH PRIHODA)</t>
  </si>
  <si>
    <t>A679117</t>
  </si>
  <si>
    <t>HPC - PROJEKT ISTRAŽIVANJA NA PODRUČJU POTRESNOG INŽENJERSTVA</t>
  </si>
  <si>
    <t>A679118</t>
  </si>
  <si>
    <t>PROJEKT PRAĆENJA GEOLOŠKIH HAZARDA I RIZIKA NAKON POTRESA U PETRINJI</t>
  </si>
  <si>
    <t>K621061</t>
  </si>
  <si>
    <t>ODRŽAVANJE OBJEKATA VISOKOOBRAZOVNIH USTANOVA</t>
  </si>
  <si>
    <t>OBNOVA INFRASTRUKTURE I OPREME U PODRUČJU OBRAZOVANJA OŠTEĆENE POTRESOM – NPOO</t>
  </si>
  <si>
    <t>K679120</t>
  </si>
  <si>
    <t>SUFINANCIRANJE POTRESOM STRADALIH VISOKIH UČILIŠTA</t>
  </si>
  <si>
    <t>K679121</t>
  </si>
  <si>
    <t>PODKOMPONENTA C3.1. R2-I1 DIGITALNA PREOBRAZBA VISOKOG OBRAZOVANJA - NPOO</t>
  </si>
  <si>
    <t>A622000</t>
  </si>
  <si>
    <t>REDOVNA DJELATNOST JAVNIH INSTITUTA</t>
  </si>
  <si>
    <t>A622002</t>
  </si>
  <si>
    <t>PROGRAM USAVRŠAVANJA ZNANSTVENIH NOVAKA</t>
  </si>
  <si>
    <t>A622009</t>
  </si>
  <si>
    <t>POTICAJ RAZVOJA ZNANOSTI I ULAGANJA U KADROVE - FINANCIRANJE ŠKOLARINA ZA POSLIJEDIPLOMSKI STUDIJ</t>
  </si>
  <si>
    <t>A622011</t>
  </si>
  <si>
    <t>REDOVNA DJELATNOST GEOLOŠKE SLUŽBE</t>
  </si>
  <si>
    <t>A622120</t>
  </si>
  <si>
    <t>A622132</t>
  </si>
  <si>
    <t>REDOVNA DJELATNOST JAVNIH INSTITUTA (IZ EVIDENCIJSKIH PRIHODA)</t>
  </si>
  <si>
    <t>A622137</t>
  </si>
  <si>
    <t>PROGRAMSKO FINANCIRANJE JAVNIH ZNANSTVENIH INSTITUTA</t>
  </si>
  <si>
    <t>A622140</t>
  </si>
  <si>
    <t>STRUČNA DJELATNOST JAVNIH ZNANSTVENIH INSTITUTA</t>
  </si>
  <si>
    <t>K622138</t>
  </si>
  <si>
    <t>K622139</t>
  </si>
  <si>
    <t>K622141</t>
  </si>
  <si>
    <t>SUFINANCIRANJE POTRESOM STRADALIH JAVNIH INSTITUTA</t>
  </si>
  <si>
    <t>A763000</t>
  </si>
  <si>
    <t>ADMINISTRACIJA I UPRAVLJANJE DRŽAVNOG ZAVODA ZA INTELEKTUALNO VLASNIŠTVO</t>
  </si>
  <si>
    <t>T763005</t>
  </si>
  <si>
    <t>SURADNJA DZIV-a S EUROPSKIM UREDOM ZA ŽIGOVE I DIZAJN</t>
  </si>
  <si>
    <t>A622017</t>
  </si>
  <si>
    <t>ADMINISTRACIJA I UPRAVLJANJE NACIONALNE SVEUČILIŠNE KNJIŽNICE</t>
  </si>
  <si>
    <t>A622131</t>
  </si>
  <si>
    <t>NABAVA INOZEMNIH ZNANSTVENIH ČASOPISA</t>
  </si>
  <si>
    <t>A622134</t>
  </si>
  <si>
    <t>ADMINISTRACIJA I UPRAVLJANJE NACIONALNE SVEUČILIŠNE KNJIŽNICE (IZ EVIDENCIJSKIH PRIHODA)</t>
  </si>
  <si>
    <t>K622116</t>
  </si>
  <si>
    <t>KNJIGE, UMJETNIČKA DJELA I OSTALE IZLOŽBENE VRIJEDNOSTI</t>
  </si>
  <si>
    <t>A628009</t>
  </si>
  <si>
    <t>ADMINISTRACIJA I UPRAVLJANJE HRVATSKE AKADEMSKE I ISTRAŽIVAČKE MREŽE CARNET</t>
  </si>
  <si>
    <t>A628011</t>
  </si>
  <si>
    <t>PROGRAM TELEKOMUNIKACIJSKIH KAPACITETA ZA MREŽU CARNET</t>
  </si>
  <si>
    <t>A628015</t>
  </si>
  <si>
    <t>UKLJUČIVANJE MREŽE CARNET U PAN-EUROPSKE AKADEMSKE I ISTRAŽIVAČKE MREŽE</t>
  </si>
  <si>
    <t>A628068</t>
  </si>
  <si>
    <t>SUDJELOVANJE NA IZGRADNJI, TESTIRANJU I RAZVOJU OKOSNICE PAN-EUROPSKE RAČUNALNO KOMUNIKACIJSKE MREŽE</t>
  </si>
  <si>
    <t>A628070</t>
  </si>
  <si>
    <t>PROGRAM OBJEDINJAVANJA I ODRŽAVANJA NACIONALNIH INFORMACIJSKIH SERVISA I E-ŠKOLA</t>
  </si>
  <si>
    <t>A628073</t>
  </si>
  <si>
    <t>PRIMJENA INFORMACIJSKE I KOMUNIKACIJSKE TEHNOLOGIJE U SUSTAVU SOCIJALNE SKRBI</t>
  </si>
  <si>
    <t>A628074</t>
  </si>
  <si>
    <t>PROGRAMI ZAJEDNICE</t>
  </si>
  <si>
    <t>A628078</t>
  </si>
  <si>
    <t>POTICANJE PRIMJENE INFORMACIJSKE I KOMUNIKACIJSKE TEHNOLOGIJE ZA POTREBE MINISTARSTVA ZAŠTITE OKOLIŠA I ENERGETIKE</t>
  </si>
  <si>
    <t>A628079</t>
  </si>
  <si>
    <t>POTICANJE PRIMJENE INFORMACIJSKE I KOMUNIKACIJSKE TEHNOLOGIJE ZA POTREBE HZMO</t>
  </si>
  <si>
    <t>A628082</t>
  </si>
  <si>
    <t>POTICANJE PRIMJENE INFORMACIJSKE I KOMUNIKACIJSKE TEHNOLOGIJE ZA POTREBE ZDRAVSTVENOG SUSTAVA REPUBLIKE HRVATSKE</t>
  </si>
  <si>
    <t>A628089</t>
  </si>
  <si>
    <t>JAČANJE KAPACITETA NACIONALNOG CERT-A I POBOLJŠANJE SURADNJE NA HR I EU RAZINI - GROWCERT</t>
  </si>
  <si>
    <t>A628090</t>
  </si>
  <si>
    <t>UNAPRJEĐENJE JEDNAKIH MOGUĆNOSTI U OBRAZOVANJU ZA UČENIKE S TEŠKOĆAMA U RAZVOJU</t>
  </si>
  <si>
    <t>K406669</t>
  </si>
  <si>
    <t>CARNET - ZAJEDNIČKA RK INFRASTRUKTURA</t>
  </si>
  <si>
    <t>K628069</t>
  </si>
  <si>
    <t>ULAGANJE U OPREMU ZA ODRŽAVANJE NACIONALNIH I INFORMACIJSKIH SERVISA</t>
  </si>
  <si>
    <t>A622107</t>
  </si>
  <si>
    <t>ADMINISTRACIJA I UPRAVLJANJE LEKSIKOGRAFSKOG ZAVODA MIROSLAV KRLEŽA</t>
  </si>
  <si>
    <t>A622136</t>
  </si>
  <si>
    <t>ADMINISTRACIJA I UPRAVLJANJE LEKSIKOGRAFSKOG ZAVODA MIROSLAV KRLEŽA (IZ EVIDENCIJSKIH PRIHODA)</t>
  </si>
  <si>
    <t>A628018</t>
  </si>
  <si>
    <t>ADMINISTRACIJA I UPRAVLJANJE SVEUČILIŠNOG RAČUNSKOG CENTRA SRCE</t>
  </si>
  <si>
    <t>A628084</t>
  </si>
  <si>
    <t>ADMINISTRACIJA I UPRAVLJANJE SVEUČILIŠNOG RAČUNSKOG CENTRA SRCE  (IZ EVIDENCIJSKIH PRIHODA)</t>
  </si>
  <si>
    <t>K628055</t>
  </si>
  <si>
    <t>SRCE -IZRAVNA KAPITALNA ULAGANJA</t>
  </si>
  <si>
    <t>K628085</t>
  </si>
  <si>
    <t>SRCE - IZRAVNA KAPITALNA ULAGANJA  (IZ EVIDENCIJSKIH PRIHODA)</t>
  </si>
  <si>
    <t>A580006</t>
  </si>
  <si>
    <t>STRUČNO USAVRŠAVANJE I IZOBRAZBA UČITELJA I NASTAVNIKA U SREDNJIM ŠKOLAMA I USAVRŠAVANJE ZA PROVEDBU NACIONALNIH PROGRAMA</t>
  </si>
  <si>
    <t>A733001</t>
  </si>
  <si>
    <t>ADMINISTRACIJA I UPRAVLJANJE AGENCIJE ZA ODGOJ I OBRAZOVANJE</t>
  </si>
  <si>
    <t>A733027</t>
  </si>
  <si>
    <t>STRUČNO USAVRŠAVANJE U OKVIRU ŽUPANIJSKIH STRUČNIH VIJEĆA</t>
  </si>
  <si>
    <t>A733032</t>
  </si>
  <si>
    <t>IZVANNASTAVNE AKTIVNOSTI U OSNOVNIM I SREDNJIM ŠKOLAMA-NATJECANJE</t>
  </si>
  <si>
    <t>A733058</t>
  </si>
  <si>
    <t>STRUČNO USAVRŠAVANJE UČITELJA I NASTAVNIKA TALIJANSKOG JEZIKA</t>
  </si>
  <si>
    <t>A767022</t>
  </si>
  <si>
    <t>STRUČNO USAVRŠAVANJE ODGOJNO-OBRAZOVNIH DJELATNIKA U SUSTAVU OSNOVNOG I SREDNJEG ŠKOLSTVA</t>
  </si>
  <si>
    <t>K733068</t>
  </si>
  <si>
    <t>OP UČINKOVITI LJUDSKI POTENCIJALI - PRIORITET 3</t>
  </si>
  <si>
    <t>K767054</t>
  </si>
  <si>
    <t>OP UČINKOVITI LJUDSKI POTENCIJALI 2014.-2020., PRIORITET 3</t>
  </si>
  <si>
    <t>A621155</t>
  </si>
  <si>
    <t>ADMINISTRACIJA I UPRAVLJANJE AGENCIJE ZA ZNANOST I VISOKO OBRAZOVANJE</t>
  </si>
  <si>
    <t>A621179</t>
  </si>
  <si>
    <t>TROŠKOVI NACIONALNOG VIJEĆA ZA ZNANOST I VISOKO OBRAZOVANJE</t>
  </si>
  <si>
    <t>A621182</t>
  </si>
  <si>
    <t>VIJEĆE VELEUČILIŠTA I VISOKIH ŠKOLA</t>
  </si>
  <si>
    <t>A621186</t>
  </si>
  <si>
    <t>VREDNOVANJE ZNANSTVENIH ORGANIZACIJA</t>
  </si>
  <si>
    <t>A621187</t>
  </si>
  <si>
    <t>VREDNOVANJE VISOKIH UČILIŠTA</t>
  </si>
  <si>
    <t>A621190</t>
  </si>
  <si>
    <t>VANJSKA PROSUDBA SUSTAVA OSIGURANJA KVALITETE VISOKIH UČILIŠTA I ZNANSTVENIH ORGANIZACIJA (VP)</t>
  </si>
  <si>
    <t>A621191</t>
  </si>
  <si>
    <t>PRAĆENJE ZAPOŠLJAVANJA DIPLOMIRANIH STUDENATA</t>
  </si>
  <si>
    <t>A621192</t>
  </si>
  <si>
    <t>TROŠKOVI SREDIŠNJEG PRIJAVNOG UREDA</t>
  </si>
  <si>
    <t>A867002</t>
  </si>
  <si>
    <t>USKLAĐIVANJE PRISTUPA STRUKOVNOG VISOKOG OBRAZOVANJA U EUROPI - EURASHE</t>
  </si>
  <si>
    <t>A867004</t>
  </si>
  <si>
    <t>ODBOR ZA ETIKU U ZNANOSTI I VISOKOM OBRAZOVANJU</t>
  </si>
  <si>
    <t>A867005</t>
  </si>
  <si>
    <t>JAČANJE STRUČNOG VISOKOG OBRAZOVANJA I STRUKOVNOG OBRAZOVANJA I OSPOSOBLJAVANJA U SREDNJOJ I JUGIOISTOČNOJ EUROPI (PROCSEE)</t>
  </si>
  <si>
    <t>A867009</t>
  </si>
  <si>
    <t>ERASMUS PLUS - MODERNIZACIJA VISOKIH UČILIŠTA PUTEM UNAPRJEĐENJA FUNKCIJE UPRAVLJANJA LJUDSKIM POTENCIJALIMA</t>
  </si>
  <si>
    <t>A867010</t>
  </si>
  <si>
    <t>MODERNIZACIJA, OBRAZOVANJE I LJUDSKA PRAVA (MEHR)</t>
  </si>
  <si>
    <t>A867013</t>
  </si>
  <si>
    <t>ERASMUS PLUS - BAZA PODATAKA REZULTATA VANJSKIH VREDNOVANJA</t>
  </si>
  <si>
    <t>A867014</t>
  </si>
  <si>
    <t>ERASMUS - JAČANJE MULTIPARTNERSKE SURADNJE U PRUŽANJU USLUGA CJELOŽIVOTNOG PROFESIONALNOG USMJERAVANJA - KEEP IN PACT</t>
  </si>
  <si>
    <t>A867015</t>
  </si>
  <si>
    <t>ERASMUS PLUS - ALOCIRANJE KREDITNIH BODOVA U EUROPSKIM STRUČNIM PROGRAMIMA - ACEPT</t>
  </si>
  <si>
    <t>A867018</t>
  </si>
  <si>
    <t>PRIMJENA HRVATSKOG KVALIFIKACIJSKOG OKVIRA U VISOKOM OBRAZOVANJU</t>
  </si>
  <si>
    <t>K621178</t>
  </si>
  <si>
    <t>OPREMANJE I UREĐENJE AGENCIJE ZA ZNANOST I VISOKO OBRAZOVANJE</t>
  </si>
  <si>
    <t>K621194</t>
  </si>
  <si>
    <t>NACIONALNI INFORMACIJSKI SUSTAV PRIJAVA NA VISOKA UČILIŠTA - NISpVU</t>
  </si>
  <si>
    <t>K867008</t>
  </si>
  <si>
    <t>K867012</t>
  </si>
  <si>
    <t>OP UČINKOVITI LJUDSKI POTENCIJALI 2014.-2020., CJELOŽIVOTNO PROFESIONALNO USMJERAVANJE</t>
  </si>
  <si>
    <t>A580046</t>
  </si>
  <si>
    <t>ADMINISTRACIJA I UPRAVLJANJE NACIONALNOG CENTRA ZA VANJSKO VREDNOVANJE OBRAZOVANJA</t>
  </si>
  <si>
    <t>A814000</t>
  </si>
  <si>
    <t>MEĐUNARODNI PROJEKTI VREDNOVANJA ZNANJA I VJEŠTINA (IEA: ICCS, ICILS, PIRLS, TIMSS - OECD: PISA, TALIS)</t>
  </si>
  <si>
    <t>A814001</t>
  </si>
  <si>
    <t>DRŽAVNA MATURA</t>
  </si>
  <si>
    <t>A814007</t>
  </si>
  <si>
    <t>UNAPREĐENJE KVALITETE OBRAZOVNOG SUSTAVA</t>
  </si>
  <si>
    <t>K814011</t>
  </si>
  <si>
    <t>OP UČINKOVITI LJUDSKI POTENCIJALI, PRIORITET 10</t>
  </si>
  <si>
    <t>K814012</t>
  </si>
  <si>
    <t>OP UČNIKOVITI LJUDSKI POTENCIJALI - PRIORITET 3</t>
  </si>
  <si>
    <t>A589088</t>
  </si>
  <si>
    <t>ADMINISTRACIJA I UPRAVLJANJE AGENCIJE ZA MOBILNOST I EU PROGRAME</t>
  </si>
  <si>
    <t>A589091</t>
  </si>
  <si>
    <t>DJELATNOST HRVATSKE MREŽE ZA MOBILNOST ISTRAŽIVAČA (FP7 Ad hoc-2007-13)</t>
  </si>
  <si>
    <t>A818017</t>
  </si>
  <si>
    <t>PROVOĐENJE MREŽNIH PROJEKATA IZ OBZOR 2020.PROGRAMA</t>
  </si>
  <si>
    <t>A818022</t>
  </si>
  <si>
    <t>PROVEDBA EUROPASS INICIJATIVE</t>
  </si>
  <si>
    <t>A818023</t>
  </si>
  <si>
    <t>PROVEDBA EURODESK MREŽE</t>
  </si>
  <si>
    <t>A818024</t>
  </si>
  <si>
    <t>PROVEDBA E-TWINNING MREŽE</t>
  </si>
  <si>
    <t>A818025</t>
  </si>
  <si>
    <t>PROVEDBA EUROGUIDANCE MREŽE</t>
  </si>
  <si>
    <t>A818032</t>
  </si>
  <si>
    <t>STRUČNA SKUPINA ZA ECVET</t>
  </si>
  <si>
    <t>A818033</t>
  </si>
  <si>
    <t>ZNANSTVENA I VISOKOŠKOLSKA MOBILNOST</t>
  </si>
  <si>
    <t>A818042</t>
  </si>
  <si>
    <t>OBZOR 2020. I MOBILNOST ISTRAŽIVAČA</t>
  </si>
  <si>
    <t>A818043</t>
  </si>
  <si>
    <t>ERASMUS PLUS PROVEDBA PROGRAMA OD 2014. DO 2020.</t>
  </si>
  <si>
    <t>A818044</t>
  </si>
  <si>
    <t>ERASMUS PLUS – PROJEKTI ZA KORISNIKE OBRAZOVANJE OD 2014. DO 2020.</t>
  </si>
  <si>
    <t>A818045</t>
  </si>
  <si>
    <t>ERASMUS PLUS – PROJEKTI ZA KORISNIKE MLADI OD 2014. DO 2020.</t>
  </si>
  <si>
    <t>A818055</t>
  </si>
  <si>
    <t>PORTAL STUDY IN CROATIA</t>
  </si>
  <si>
    <t>A818058</t>
  </si>
  <si>
    <t>EUROPSKE SNAGE SOLIDARNOSTI PROVEDBA PROGRAMA 2018. DO 2020.</t>
  </si>
  <si>
    <t>A818059</t>
  </si>
  <si>
    <t>EUROPSKE SNAGE SOLIDARNOSTI - PROJEKTI ZA KORISNIKE OD 2018. DO 2020.</t>
  </si>
  <si>
    <t>A818060</t>
  </si>
  <si>
    <t>EURYDICE EUROPSKA MREŽA ZA PODATKE I ANALIZE O SUSTAVIMA OBRAZOVANJA</t>
  </si>
  <si>
    <t>A818061</t>
  </si>
  <si>
    <t>ERASMUS PLUS - SUFINANCIRANJE – DIO PROVEDBE MLADI</t>
  </si>
  <si>
    <t>A818063</t>
  </si>
  <si>
    <t>EUROPSKE SNAGE SOLIDARNOSTI - PROJEKTI ZA KORISNIKE OD 2021. DO 2027.</t>
  </si>
  <si>
    <t>A818064</t>
  </si>
  <si>
    <t>ERASMUS - PROJEKTI  ZA KORISNIKE OBRAZOVANJE OD 2021. DO 2027.</t>
  </si>
  <si>
    <t>A818065</t>
  </si>
  <si>
    <t>ERASMUS - PROJEKTI ZA KORISNIKE MLADI OD 2021. DO 2027.</t>
  </si>
  <si>
    <t>A848001</t>
  </si>
  <si>
    <t>ADMINISTRACIJA I UPRAVLJANJE AGENCIJE ZA STRUKOVNO OBRAZOVANJE I  OBRAZOVANJE ODRASLIH</t>
  </si>
  <si>
    <t>A848009</t>
  </si>
  <si>
    <t>PROMICANJE KULTURE UČENJA: TJEDAN CJELOŽIVOTNOG UČENJA</t>
  </si>
  <si>
    <t>A848010</t>
  </si>
  <si>
    <t>STRUČNO SAVJETODAVNA DJELATNOST</t>
  </si>
  <si>
    <t>A848014</t>
  </si>
  <si>
    <t>RAZVOJ SUSTAVA STRUKOVNOG OBRAZOVANJA</t>
  </si>
  <si>
    <t>A848018</t>
  </si>
  <si>
    <t>DRŽAVNA NATJECANJA</t>
  </si>
  <si>
    <t>A848020</t>
  </si>
  <si>
    <t>A848023</t>
  </si>
  <si>
    <t>REFERNET U REPUBLICI HRVATSKOJ</t>
  </si>
  <si>
    <t>A848039</t>
  </si>
  <si>
    <t>NACIONALNA REFERENTNA TOČKA ZA EUROPSKI SUSTAV OSIGURANJA KVALITETE U STRUKOVNOM OBRAZOVANJU I OSPOSOBLJAVANJU - EQAVET NRP</t>
  </si>
  <si>
    <t>A848041</t>
  </si>
  <si>
    <t>ERASMUS PLUS - PROVEDBA ISTRAŽIVANJA KOMPETENCIJA ODRASLIH OSOBA U REPUBLICI HRVATSKOJ - PIAAC HRVATSKA</t>
  </si>
  <si>
    <t>A848042</t>
  </si>
  <si>
    <t>EPALE - NACIONALNA SLUŽBA ZA PODRŠKU ZA REPUBLIKU HRVATSKU 2019.-2020. (EPALE IV)</t>
  </si>
  <si>
    <t>A848043</t>
  </si>
  <si>
    <t>ERASMUS PLUS - UNAPREĐENJE VJEŠTINA U STRUKOVNOM OBRAZOVANJU I OSPOSOBLJAVANJU - IMPROVET</t>
  </si>
  <si>
    <t>A848044</t>
  </si>
  <si>
    <t>ERASMUS PLUS - ONLINE ALAT ZA ODREĐIVANJE REFERENTNIH VRIJEDNOSTI ZA OSIGURAVANJE KVALITETE U NAUKOVANJU - BEQUAL</t>
  </si>
  <si>
    <t>A848045</t>
  </si>
  <si>
    <t>ERASMUS PLUS - KA2 - TRENING ZA VJEŠTINE U VIRTUALNOM OKRUŽENJU</t>
  </si>
  <si>
    <t>A848046</t>
  </si>
  <si>
    <t>ERASMUS PLUS - PILOTIRANJE VIRTUALNOG PRAKTIČNOG TEČAJA ZA KUHARSTVO U STRUKOVNOM OBRAZOVANJU</t>
  </si>
  <si>
    <t>A848047</t>
  </si>
  <si>
    <t>ERASMUS PLUS - KA - INKLUZIVNO DIGITALNO UČENJE U SVRHU SPREČAVANJA NAPUŠTANJA ŠKOLOVANJA U STRUKOVNOM OBRAZOVANJU I OSPOSOBLJAVANJU - 2BDIGITAL</t>
  </si>
  <si>
    <t>T848027</t>
  </si>
  <si>
    <t>OP UČINKOVITI LJUDSKI POTENCIJALI 2014. - 2020., PRIORITET 5</t>
  </si>
  <si>
    <t>EU PODPROJEKTI - rashodi</t>
  </si>
  <si>
    <t>AKTIVNOST/PODPROJEKT
(odaberite)</t>
  </si>
  <si>
    <t>NAZIV NOVOG PODPROJEKTA</t>
  </si>
  <si>
    <t xml:space="preserve">Vrijedi od: </t>
  </si>
  <si>
    <t xml:space="preserve">Vrijedi do: </t>
  </si>
  <si>
    <t>TKO JE UPLATITELJ SREDSTAVA ZA EU PROJEKT</t>
  </si>
  <si>
    <t>OPIS PODPROJEKTA</t>
  </si>
  <si>
    <t>A679078.087</t>
  </si>
  <si>
    <t>Obzor 2020 OSTEOproSPINE - Novel Bone Regeneration Drug Osteogrow: Therapeutic Solution for Lumbar Back Pain</t>
  </si>
  <si>
    <t>01.01.2018.</t>
  </si>
  <si>
    <t>31.12.2022.</t>
  </si>
  <si>
    <t>Europska komisija</t>
  </si>
  <si>
    <t>U sklopu projekta OSTEOproSPINE unutar programa Obzor 2020 (Research and Innovation Action – Personalised Medicine) će se klinički testirati sigurnost i učinkovitost lijeka Osteogrow u bolesnika sa degenerativnim bolestima intervertebralnog diska u Austriji i Hrvatskoj. Pozitivan ishod u ovom ispitivanju će potvrditi osteogeni kapacitet Osteogrow / OSTEOproSPINE u postupcima spinalne fuzije kralježnice, osigurati podatke koji ga razlikuju od proizvoda dostupnih na tržištu što će imati značajnu refleksiju na komercijalizaciju proizvoda. Koordinator je Medicinski fakultet Sveučilišta u Zagrebu, a sudjeluje još 11 ustanova iz 5 država Europe. Ukupna vrijednost projekta iznosi 44.430.728,5 HRK, a provoditi će se 60 mjeseci.</t>
  </si>
  <si>
    <t>A679078.271</t>
  </si>
  <si>
    <t>Obzor 2020 LiverScreen - Screening for liver fibrosis – population-based study across European Countries</t>
  </si>
  <si>
    <t>01.01.2020.</t>
  </si>
  <si>
    <t>31.12.2024.</t>
  </si>
  <si>
    <t>Koordinator projekta: Fundació Clínic per a la Recerca Biomèdica, Španjolska</t>
  </si>
  <si>
    <t>Cilj je ove studije precizno identificirati osobe s asimptomatskom fibrozom jetre ili cirozom u općenitoj populaciji, a radi ispravnog upućivanja na sekundarnu ili tercijarnu hepatološku skrb ispitanika s pozitivnim nalazom. Istraživanje uključuje fizičku intervenciju odabranih sudionika. Biopsija jetre bit će predložena svim sudionicima kao standardna obrada za postavljanje dijagnoze i kroničnih bolesti jetre. Ukupna vrijednost projekta je  5.996.481,25 EUR; ukupni udio za Medicinski fakultet Sveučilišta u Zagrebu je  225.000,00 EUR. Projekt se provodi 48 mjeseci.</t>
  </si>
  <si>
    <t>NOVI PODPROJEKT</t>
  </si>
  <si>
    <t>K578051.001</t>
  </si>
  <si>
    <t>Znanstveno i tehnologijsko predviđanje</t>
  </si>
  <si>
    <t>K578051.002</t>
  </si>
  <si>
    <t>Ulaganje u znanost i inovacije (SIIF)</t>
  </si>
  <si>
    <t>K578051.003</t>
  </si>
  <si>
    <t>Jačanje kapaciteta za istraživanje, razvoj i inovacije (STRIP)</t>
  </si>
  <si>
    <t>K578051.004</t>
  </si>
  <si>
    <t>Ulaganje u organizacijsku reformu i infrastrukturu sektora istraživanja, razvoja i inovacija</t>
  </si>
  <si>
    <t>A679078.086</t>
  </si>
  <si>
    <t>Obzor 2020 Alliance for Life Sciences: From Strategies to Actions in Central and Eastern Europe</t>
  </si>
  <si>
    <t>1.5.2021.</t>
  </si>
  <si>
    <t>30.12.2024.</t>
  </si>
  <si>
    <t xml:space="preserve"> Cilj projekta Alliance4Life (A4L) je smanjivanje razlika i podjela u istraživanju i inovacijama u području biomedicine između EU15 i EU13 zemalja. Temeljem analize i pronalaženja zajedničkih nedostataka predložit će se mjere za unapređenje i strateške preporuke za jačanje kapaciteta institucija. </t>
  </si>
  <si>
    <t>K578051.005</t>
  </si>
  <si>
    <t>Veliki projekt: ˝Dječji centar za translacijsku medicinu˝ Dječje bolnice Srebrnjak</t>
  </si>
  <si>
    <t>K578051.006</t>
  </si>
  <si>
    <t>Priprema IRI infrastrukturnih projekata</t>
  </si>
  <si>
    <t>H2020 Consolidating the capacities of EATRIS-ERIC for Personalised Medicine - Eatris Plus</t>
  </si>
  <si>
    <t>1.1.2020.</t>
  </si>
  <si>
    <t>31.12.2023.</t>
  </si>
  <si>
    <t>Projekt se provodi u 16 zemalja EU-a koje podupiru prikupljanje i korištenje translacijskih akademskih kapaciteta u naprednim tehnologijama kako bi se povećala istraživanja o znanstvenim i društvenim izazovima povezanima s personaliziranom medicinom.</t>
  </si>
  <si>
    <t>K578051.008</t>
  </si>
  <si>
    <t>Poziv Centri kompetencija</t>
  </si>
  <si>
    <t>A679078.270</t>
  </si>
  <si>
    <t>(Erasmus+) EPL European Prescribing License</t>
  </si>
  <si>
    <t>1.9.2019.</t>
  </si>
  <si>
    <t>31.8.2022.</t>
  </si>
  <si>
    <t>Koordinator projekta: STICHTING VUMC</t>
  </si>
  <si>
    <t>Projekt EPL će razvijati, testirati i primijeniti standardiziranu procjenu sigurnosti propisivanja 
tijekom dodiplomskog medicinskog programa u Europskoj uniji. 
Ukupna vrijednost projekta je 395.665,00 EUR; Udio za Medicinski fakultet Sveučilišta u Zagrebu
je 17.937,00 EUR. Projekt se provodi 36 mjeseci.</t>
  </si>
  <si>
    <t>K578051.009</t>
  </si>
  <si>
    <t>Tehnička pomoć za MZO</t>
  </si>
  <si>
    <t>K818050.001</t>
  </si>
  <si>
    <t>Osiguravanje pomoćnika u nastavi i stručnih komunikacijskih posrednika učenicima s teškoćama u razvoju u osnovnoškolskim i srednjoškolskim odgojno-obrazovnim ustanovama - faza III</t>
  </si>
  <si>
    <t>(Erasmus+)  EUROP2E - European Open Platform for Prescribing Education</t>
  </si>
  <si>
    <t xml:space="preserve">Projekt EUROP2E ima za cilj poboljšati obrazovanje u dijelu farmakološkog prepisivanja lijekova u Europi na način da se isto uključi u nastavni kurikulum uz primjenu aktvnog pristupa osposobljavanju studenata, te da se uvede digitalna otvorena platforma koja će i nastavnicima i studentima omogućiti pristup svim potrebim resursima za nastavak edukacije nakon završetka projekta.Ukupna vrijednost projekta je 229.710,00 EUR; Udio za Medicinski fakultet Sveučilišta u Zagrebu je 8.815,00 EUR. Projekt se provodi 24 mjeseca. 
</t>
  </si>
  <si>
    <t>K818050.003</t>
  </si>
  <si>
    <t>Unapređenje pismenosti u svrhu promocije cjeloživotnog učenja</t>
  </si>
  <si>
    <t xml:space="preserve">Projekt EUROP2E ima za cilj poboljšati obrazovanje u dijelu farmakološkog prepisivanja lijekova u Europi na način da se isto uključi u nastavni kurikulum uz primjenu aktvnog pristupa osposobljavanju studenata, te da se uvede digitalna otvorena platforma koja će i nastavnicima i studentima omogućiti pristup svim potrebim resursima za nastavak edukacije nakon završetka projekta. Ukupna vrijednost projekta je 229.710,00 EUR; Udio za Medicinski fakultet Sveučilišta u Zagrebu je 8.815,00 EUR. Projekt se provodi 24 mjeseca.
</t>
  </si>
  <si>
    <t>K818050.004</t>
  </si>
  <si>
    <t>Podrška obrazovanju odraslih polaznika uključivanjem u prioritetne programe obrazovanja, usmjerene unapređenju vještina i kompetencija polaznika u svrhu povećanja zapošljivosti</t>
  </si>
  <si>
    <t>(Horizon) ROUTE - A roadmap out of medical deserts into supportive health workforce initiatives and policies</t>
  </si>
  <si>
    <t>Koordinator projekta: NIVEL</t>
  </si>
  <si>
    <t>ROUTE-HWF ima za cilj smanjiti nejednakosti u pristupu zdravstvenoj skrbi među zemljama i regijama Europe podupiranjem državama članicama u osmišljavanju i provedbi svojih politika povezanih s regionalnim područjima bez medicinske skrbi (medicinskim pustinjama).Ukupna vrijednost projekta je 398.039,00 EUR; Udio za Medicinski fakultet Sveučilišta u Zagrebu
je 78.815,40 EUR. Projekt se provodi 36 mjeseci.</t>
  </si>
  <si>
    <t>K818050.005</t>
  </si>
  <si>
    <t>Programska,stručna i financijska podrška obrazovanju učenika romske nacionalne manjine</t>
  </si>
  <si>
    <t>K818050.006</t>
  </si>
  <si>
    <t>Internacionalizacija visokog obrazovanja - razvoj studijskih programa na stranim jezicima u prioritetnim područjima i združenih studija</t>
  </si>
  <si>
    <t>K818050.007</t>
  </si>
  <si>
    <t>Provedba HKO-a na razini visokog obrazovanja</t>
  </si>
  <si>
    <t>K679084.001</t>
  </si>
  <si>
    <t xml:space="preserve">ZCI projekt Reproduktivna i regenerativna medicina – istraživanja novih platformi i potencijala </t>
  </si>
  <si>
    <t>1.11.2021.</t>
  </si>
  <si>
    <t>31.10.2022.</t>
  </si>
  <si>
    <t>K818050.008</t>
  </si>
  <si>
    <t>Razvoj, unapređenje i provedba stručne prakse u visokom obrazovanju</t>
  </si>
  <si>
    <t>K818050.009</t>
  </si>
  <si>
    <t>Sufinanciranje troškova uključivanja djece  u socio-ekonomski nepovoljnoj situaciji u predškolske ustanove</t>
  </si>
  <si>
    <t>K818050.010</t>
  </si>
  <si>
    <t>Unapređenje kvalitete obrazovanja odraslih kroz razvoj i provedbu HKO-a</t>
  </si>
  <si>
    <t>K818050.011</t>
  </si>
  <si>
    <t>Uspostava regionalnih centara kompetencija u strukovnom obrazovanju u odabranim sektorima</t>
  </si>
  <si>
    <t>K818050.013</t>
  </si>
  <si>
    <t>Dodjela stipendija studentima nižeg socio-ekonomskog statusa</t>
  </si>
  <si>
    <t>K818050.014</t>
  </si>
  <si>
    <t>Dodjela stipendija studentima u prioritetnim područjima STEM</t>
  </si>
  <si>
    <t>K818050.015</t>
  </si>
  <si>
    <t>Projekt razvoja karijera mladih istraživača - izobrazba novih doktora znanosti</t>
  </si>
  <si>
    <t>K818050.016</t>
  </si>
  <si>
    <t>Program suradnje s hrvatskim znanstvenicima u dijaspori ''ZNANSTVENA SURADNJA''</t>
  </si>
  <si>
    <t>ZCI projekt Eksperimentalna i klinička istraživanja hipoksijsko-ishemijskog oštećenja mozga u perinatalnoj i odrasloj dobi</t>
  </si>
  <si>
    <t>K818050.017</t>
  </si>
  <si>
    <t>Program razvoja karijera mladih znanstvenika – poslijedoktoranada</t>
  </si>
  <si>
    <t>K818050.019</t>
  </si>
  <si>
    <t>Uspostava i upravljanje Registrom HKO</t>
  </si>
  <si>
    <t>K818050.020</t>
  </si>
  <si>
    <t>Priprema i uvođenje programskih ugovora</t>
  </si>
  <si>
    <t>K818050.021</t>
  </si>
  <si>
    <t>Podrška provedbi cjelovite kurikularne reforme (CKR)</t>
  </si>
  <si>
    <t>K818050.022</t>
  </si>
  <si>
    <t>Podrška provedbi cjelovite kurikularne reforme (CKR) - faza II</t>
  </si>
  <si>
    <t>K818050.023</t>
  </si>
  <si>
    <t>MZO Tehnička pomoć OP ULJP faza I</t>
  </si>
  <si>
    <t>K818050.024</t>
  </si>
  <si>
    <t>Informatizacija procesa i uspostava cjelovite elektroničke usluge upisa u odgojne i obrazovne ustanove</t>
  </si>
  <si>
    <t>ESIF SineMozak - Sinergija molekularnih biljega i multimodalnog in vivo snimanja u
pretkliničkoj procjeni posljedica ishemijskog moždanog udara (SineMozak)</t>
  </si>
  <si>
    <t>15.12.2020.</t>
  </si>
  <si>
    <t>14.12.2023.</t>
  </si>
  <si>
    <t>Europskih strukturni i investicijski fond (ESIF)</t>
  </si>
  <si>
    <t>Cilj projekta je tijekom oporavka mozga definirati molekularne i funkcionalne korelate multimodalnog snimanja, čime bi se ostvarila sinergija upotrebljenih postupaka u procjeni posljedica moždanog udara. Ostvarenjem ovog cilja postigla bi se nova kvaliteta uvida u oporavak mozga miša, koja bi omogućila na novi način procijeniti kako posljedice tako i domet i snagu procesa obnove. Time bi stekli ne samo  samo novi uvid u parametre oporavka mozga, već osigurali jedinstvenu pretkliničku platformu za procjenu oporavka nakon moždanog udara s izrazitim komercijalnim i inovativnim potencijalom. Ukupna vrijednost projekta: 8.384.777,60 kn. Projekt se provod 36 mjeseci.</t>
  </si>
  <si>
    <t>K818050.026</t>
  </si>
  <si>
    <t>Osiguravanje pomoćnika u nastavi i stručnih komunikacijskih posrednika učenicima s teškoćama u razvoju u osnovnoškolskim i srednjoškolskim odgojno-obrazovnim ustanovama - faza IV</t>
  </si>
  <si>
    <t>A679071.001</t>
  </si>
  <si>
    <t>ERASMUS+ projekt razvijanja i certificiranja nastavnog plana obrazovnog modula logistike na diplomskim studijima Sveučilišta u Osijeku</t>
  </si>
  <si>
    <t>A679071.002</t>
  </si>
  <si>
    <t>ERASMUS+ projekt uvođenja novog kolegija u nastavni plan i program Ekonomskog fakulteta u Osijeku</t>
  </si>
  <si>
    <t>A679071.003</t>
  </si>
  <si>
    <t>ERASMUS+ projekt unaprjeđenja i promicanja telekomunikacijskog inženjeringa</t>
  </si>
  <si>
    <t>A679071.004</t>
  </si>
  <si>
    <t>ERASMUS + Ključna mjera 2: suradnja za inovacije i razmjena dobre prakse - e-ProfEng</t>
  </si>
  <si>
    <t>A679071.005</t>
  </si>
  <si>
    <t>ERASMUS+ projekt individualne mobilnosti nastavnog i nenastavnog osoblja kroz boravak na inozemnim ustanovama</t>
  </si>
  <si>
    <t>ESF BIMIS - Biomedicinsko istraživačko središte Šalata</t>
  </si>
  <si>
    <t>28.6.2020.</t>
  </si>
  <si>
    <t>28.12.2022.</t>
  </si>
  <si>
    <t>Razvoj projektne dokumentacije potrebne za provedbu infrastrukturnih projekata u sektoru istraživanja, razvoja i inovacija (uključujući i provedbu organizacijske reforme) u okviru ESI fondova, kako bi se pospješio i ubrzao proces transformacije hrvatskih znanstvenih organizacija u međunarodno konkurentne znanstvene institucije koje stvaraju novu znanstvenu, društvenu i ekonomsku vrijednost. Ukupna vrijednost Projekta se određuje u iznosu 9.119.930,04 HRK, a provodit će se 30 mjeseci.</t>
  </si>
  <si>
    <t>A679071.009</t>
  </si>
  <si>
    <t>IPA AGRICULTURAL WASTE projekt poboljšanja konkurentnosti regionalnih ekonomskih subjekata u prekograničnom području</t>
  </si>
  <si>
    <t>A679071.010</t>
  </si>
  <si>
    <t>INTERREG IPA Ozelenjivanje gradova</t>
  </si>
  <si>
    <t>A679071.011</t>
  </si>
  <si>
    <t>ARDENT-Unapređenje ruralnog razvoja kroz poduzetničko obrazovanje za odrasle</t>
  </si>
  <si>
    <t>A679071.012</t>
  </si>
  <si>
    <t>EUFams II - Olakšavanje prekograničnog obiteljskog života</t>
  </si>
  <si>
    <t>Sinergijska inovativna kombinacija sastavnica mikrobiote kao osnova za razvoj inovativnih topikalnih proizvoda za tretiranje i prevenciju upalnih stanja humane kože - PROBITECT</t>
  </si>
  <si>
    <t>16.8.2020.</t>
  </si>
  <si>
    <t>15.8.2023.</t>
  </si>
  <si>
    <t>Proteco d.o.o. Hrvatska</t>
  </si>
  <si>
    <t>U sklopu projekta razvit će se topikalni pripravci na bazi humane mikrobiote izuzetno dobrog profila dermatološke kompatibilnosti koji u odnosu na konvencionalne alternative nemaju nuspojava pri primjeni i koji se smiju koristiti bez recepta i nadzora liječnika te na taj način smanjuju financijsko opterećenje na zdravstveni sustav, a poboljšavaju kvalitetu života tih pacijenata.</t>
  </si>
  <si>
    <t>A679071.013</t>
  </si>
  <si>
    <t>Zaštita otmičnih majki u postupku za povratak: Raskrižje između nasilja u obitelji i roditeljskog otmica djeteta</t>
  </si>
  <si>
    <t>A679071.014</t>
  </si>
  <si>
    <t>INTERREG IPA CBC Hrvatska - Srbija</t>
  </si>
  <si>
    <t xml:space="preserve">Obzor 2020 MEDICTA - Development of Systems for Dictation of Medical Findings in Bosnian/Croatian/Serbian including Latin Expressions  </t>
  </si>
  <si>
    <t>Alfanum d.o.o. Serbia</t>
  </si>
  <si>
    <t>Glavni cilj projekta je razvoj sistema koji bi omogućio liječnicima diktiranje svojih nalaza koji bi se automatski konvertirali u tekst.Projekt je usmjeren na razvoj sustava za automatsko prepoznavanje diktiranih medicinskih nalaza i njihovo pretvaranje u tekstualni oblik na bosanskom / hrvatskom / srpskom jeziku, uključujući latinske izraze, kako bi se povećala produktivnost liječnika i kvaliteta usluge koja se nudi pacijentima.
Bit ovog projekta je smanjiti vrijeme pisanja nalaza visoko kvalificiranog medicinskog osoblja.</t>
  </si>
  <si>
    <t>A679071.015</t>
  </si>
  <si>
    <t>HKO-ELE- Primjena Hrvatskog kvalifikacijskog okvira za sveučilišne studijske programe u području elektrotehnike</t>
  </si>
  <si>
    <t>A679071.016</t>
  </si>
  <si>
    <t>INTERREG SeNs Wetlands</t>
  </si>
  <si>
    <t>ESF CasMouse - Genomsko inženjerstvo i genska regulacija u staničnim linijama i modelnim organizmima tehnologijom CRISPR/Cas9</t>
  </si>
  <si>
    <t>20.12.2019.</t>
  </si>
  <si>
    <t>19.12.2022.</t>
  </si>
  <si>
    <t>Pririodoslovno matematički fakultet u Zagrebu</t>
  </si>
  <si>
    <t>Projekt CasMouse obuhvaća istraživanja u području (epi)genomskog inženjerstva i genske regulacije, koje je bitno unaprijedila pojava molekularnih alata temeljenih na CRISPR/Cas9 sustavu, a omogućavaju precizno navođenje enzima nukleaza ili pak modulatora ekspresije gena na gotovo bilo koje mjesto u genomu, time i manipulaciju funkcije željenih gena u staničnim linijama i modelnim organizmima. Ukupna vrijednost projekta je 7.091.972,07 kn; ukupni udio za Medicinski fakultet Sveučilišta u Zagrebu je2.566.208,14 kn. Projekt se provodi 36 mjeseci.</t>
  </si>
  <si>
    <t>A679071.017</t>
  </si>
  <si>
    <t>INTERREG Rescue</t>
  </si>
  <si>
    <t>ESF CasMouse - Genomsko inženjerstvo i genska regulacija u staničnim linijama i modelnim organizmima tehnologijom CRISPR/Cas10</t>
  </si>
  <si>
    <t>A679071.018</t>
  </si>
  <si>
    <t>ERAMCA-Procjena ekološkog rizika i ublažavanje imovine kulturne baštine u Srednjoj Aziji</t>
  </si>
  <si>
    <t>ESF CasMouse - Genomsko inženjerstvo i genska regulacija u staničnim linijama i modelnim organizmima tehnologijom CRISPR/Cas11</t>
  </si>
  <si>
    <t>A679071.019</t>
  </si>
  <si>
    <t>Znanstveni centar izvrsnosti personalizirana briga o zdravlju</t>
  </si>
  <si>
    <t>ESF CasMouse - Genomsko inženjerstvo i genska regulacija u staničnim linijama i modelnim organizmima tehnologijom CRISPR/Cas12</t>
  </si>
  <si>
    <t>A679071.020</t>
  </si>
  <si>
    <t>IPA INTERREG CBC</t>
  </si>
  <si>
    <t>ESF CasMouse - Genomsko inženjerstvo i genska regulacija u staničnim linijama i modelnim organizmima tehnologijom CRISPR/Cas13</t>
  </si>
  <si>
    <t>A679071.021</t>
  </si>
  <si>
    <t>Potpora za očuvanje, održivo korištenje i razvoj genetskih izvora u poljoprivredi</t>
  </si>
  <si>
    <t>K679106.002</t>
  </si>
  <si>
    <t>HKO projekt Unapređenje postojećeg integriranog preddiplomskog i diplomskog studijskog programa Medicina</t>
  </si>
  <si>
    <t>22.3.2019.</t>
  </si>
  <si>
    <t>21.3.2022.</t>
  </si>
  <si>
    <t>Medicinski fakultet Split</t>
  </si>
  <si>
    <t>Izrada novih studijskih programa/programa cjeloživotnog učenja usklađenih s novo izrađenim standardima kvalifikacija. Ukupna vrijednost projekta i ukupni udio za Medicinski fakultet Sveučilišta u Zagrebu je 1.756.562,71 kn. Projekt se provodi 36 mjeseci.</t>
  </si>
  <si>
    <t>A679071.022</t>
  </si>
  <si>
    <t>Izvrsnost i učinkovitost u visokom obrazovanju u polju ekonomije (E4)</t>
  </si>
  <si>
    <t>A679071.023</t>
  </si>
  <si>
    <t>Unaprjeđenje kvalitete studiranja na pravnim fakultetima u Hrvatskoj</t>
  </si>
  <si>
    <t>A679071.025</t>
  </si>
  <si>
    <t>IRI PROJEKT - AGROSIMPA</t>
  </si>
  <si>
    <t>A679071.026</t>
  </si>
  <si>
    <t>IPA INTERREG CBC ESTABLISHING DEVELOPMENT OF SUSTAINABLE CROSS BORDER CLUSTERS</t>
  </si>
  <si>
    <t>A679071.027</t>
  </si>
  <si>
    <t>APPLERESIST</t>
  </si>
  <si>
    <t>A679071.028</t>
  </si>
  <si>
    <t>BIO4FEED PARTNER</t>
  </si>
  <si>
    <t>A679071.029</t>
  </si>
  <si>
    <t>AGROEKOTEH HAPIH</t>
  </si>
  <si>
    <t>A679071.030</t>
  </si>
  <si>
    <t>ERASMUS K2 - FAKULTET AGROBIOTEHNIČKIH ZNANOSTI OSIJEK</t>
  </si>
  <si>
    <t>A679071.031</t>
  </si>
  <si>
    <t>TRAIN -CE-FOOD</t>
  </si>
  <si>
    <t>A679071.032</t>
  </si>
  <si>
    <t>HARISA</t>
  </si>
  <si>
    <t>A679071.033</t>
  </si>
  <si>
    <t>HKO na razini visokog obrazovanja</t>
  </si>
  <si>
    <t>A679071.034</t>
  </si>
  <si>
    <t>Jean Monnet Module  Language and EU Law Excellence</t>
  </si>
  <si>
    <t>A679071.035</t>
  </si>
  <si>
    <t>ICT u poljoprivrednim znanostima</t>
  </si>
  <si>
    <t>A679071.036</t>
  </si>
  <si>
    <t>ERASMUS+GAMe based learning in MAthematics</t>
  </si>
  <si>
    <t>A679071.037</t>
  </si>
  <si>
    <t>EU Contemporary Puppetry Critical Platform</t>
  </si>
  <si>
    <t>A679071.038</t>
  </si>
  <si>
    <t>Istraživanje i razvoj inovativne funkcionalne hrane za pčele radi povećanja efikasnosti globalne pčelarske proizvodnje.</t>
  </si>
  <si>
    <t>A679071.039</t>
  </si>
  <si>
    <t>Bioproscpecting Jadranskog mora</t>
  </si>
  <si>
    <t>A679071.041</t>
  </si>
  <si>
    <t>Generation Peace: Children, Conflict and Competing Identities in Europe</t>
  </si>
  <si>
    <t>A679071.042</t>
  </si>
  <si>
    <t>Interpreting Child-Centredness to support Quality and Diversity in Early Childhood Education and Care</t>
  </si>
  <si>
    <t>A679071.043</t>
  </si>
  <si>
    <t>Helping Kids! Promoting Positive Intergroup Relations and Peacebuilding in Divided Societies</t>
  </si>
  <si>
    <t>A679071.044</t>
  </si>
  <si>
    <t>Mobility and Inclusion in Multilingual Europe</t>
  </si>
  <si>
    <t>A679071.045</t>
  </si>
  <si>
    <t>Kompetencijski standardi nastavnika, pedagoga i mentora</t>
  </si>
  <si>
    <t>A679071.047</t>
  </si>
  <si>
    <t>ERASMUS+ STRATEŠKO PARTNERSTVO INSPIRED -  Innovative Solutions for Practicallity and Impact in Refugee and Migration Oriented Education (agreement no. 2017-1-HR01-KA203-035359)</t>
  </si>
  <si>
    <t>A679071.048</t>
  </si>
  <si>
    <t>Treasure- OBZOR 2020 (Obzor 2020- horizon projket TreasureDiversity of local pig breeds and production systems for high quality traditional products and sustainable pork chains"Ugovaratelj Kmetijski institut Slovenije)</t>
  </si>
  <si>
    <t>A679071.049</t>
  </si>
  <si>
    <t>Digital Education for Crisis Situations: Times when there is no alternative (DECriS)</t>
  </si>
  <si>
    <t>A679071.050</t>
  </si>
  <si>
    <t>HRZZ Vlakna i proteini kao osnova za razvoj novih bioaktivnih dodataka hrani (ESF)</t>
  </si>
  <si>
    <t>A679071.051</t>
  </si>
  <si>
    <t>CUVid – Curriculum Video Erasmus +</t>
  </si>
  <si>
    <t>A679071.052</t>
  </si>
  <si>
    <t>Modern logistics learning: Certified module on master study level</t>
  </si>
  <si>
    <t>A679071.053</t>
  </si>
  <si>
    <t>VIRTUALS - VIRTUAL VISITING PROFESSORS ERASMUS +</t>
  </si>
  <si>
    <t>A679071.054</t>
  </si>
  <si>
    <t>CroViZone  - Prilagodba vinogradarskih zona RH klimatskim promjenama Operativni program Konkurentnost i kohezija</t>
  </si>
  <si>
    <t>A679071.055</t>
  </si>
  <si>
    <t>Istraživanje i razvoj samoizbijajućeg betona za 3D printer s dodatkom pepela</t>
  </si>
  <si>
    <t>A679071.056</t>
  </si>
  <si>
    <t>'Erasmus + 'Time to Become Digital in Law - DIGinLAW</t>
  </si>
  <si>
    <t>A679072.001</t>
  </si>
  <si>
    <t>ERASMUS+ projekt razvoja prometnih modaliteta kod trajekata i putničkih brodova</t>
  </si>
  <si>
    <t>A679072.002</t>
  </si>
  <si>
    <t>INTERREG DIGILOGOS projekt digitalizacije logistike multimodalnog teretnog i putničkog transporta Italije i Hrvatske</t>
  </si>
  <si>
    <t>A679072.007</t>
  </si>
  <si>
    <t>ERASMUS+ SKILLS projekt definiranja modula zanimanja na tržištu rada na kopnu po završetku karijere na brodovima</t>
  </si>
  <si>
    <t>A679072.008</t>
  </si>
  <si>
    <t>INTERREG DEEPSEA projekt razvoja sustava upravljanja i inovativnih usluga za nautičare u lukama temeljenih na obnovljivim izvorima energije</t>
  </si>
  <si>
    <t>A679072.009</t>
  </si>
  <si>
    <t>INTERREG E-CHAIN projekt izrade modularnog softvera  za poboljšanje povezanosti i uskladu podataka Jadranske Intermodalne Mreže</t>
  </si>
  <si>
    <t>A679072.010</t>
  </si>
  <si>
    <t>INTERREG PROMARES projekt unaprjeđenja suradnje u logistici pomorskog i multimodalnog teretnog prometa za sve luke</t>
  </si>
  <si>
    <t>A679072.011</t>
  </si>
  <si>
    <t>ERASMUS+ LOGIN projekt pripreme stvaranja sustava kvalifikacija i programa za izobrazbu kadrova u logistici</t>
  </si>
  <si>
    <t>A679072.014</t>
  </si>
  <si>
    <t>Projekt Europskog društva za izučavanje traumatskog stresa</t>
  </si>
  <si>
    <t>A679072.015</t>
  </si>
  <si>
    <t>ERASMUS+ projekt jačanja kapaciteta za izučavanje medicine boli u zemljama zapadnog Balkana</t>
  </si>
  <si>
    <t>A679072.016</t>
  </si>
  <si>
    <t>ERASMUS projekt proučavanja socijalnog angažmana za rješavanje izazova kroničnih bolesti</t>
  </si>
  <si>
    <t>A679072.017</t>
  </si>
  <si>
    <t>H2020 PIXEL Učinkovito korištenje resursa, održivi razvoj i zeleni rast luka i okolnih gradova</t>
  </si>
  <si>
    <t>A679072.018</t>
  </si>
  <si>
    <t>Wom@rts projekt promicanja razvoja svijesti o ravnopravnosti spolova kroz transnacionalnu mrežu i platformu</t>
  </si>
  <si>
    <t>A679072.021</t>
  </si>
  <si>
    <t>ERASMUS+ TEFCE Prema europskom okviru za angažiranje visokog obrazovanja u zajednici</t>
  </si>
  <si>
    <t>A679072.023</t>
  </si>
  <si>
    <t>INTERREG ADRIREEF Istraživanje potencijala grebena u Jadranskom moru s ciljem jačanja Plave ekonomije</t>
  </si>
  <si>
    <t>A679072.024</t>
  </si>
  <si>
    <t>ERASMUS+ Projekt Interaktivni tečaj za teoriju kontrole (ICCT) 2018-1-SI01-KA203-047081</t>
  </si>
  <si>
    <t>A679072.025</t>
  </si>
  <si>
    <t>HORIZON 2020-MSCA-ITN-2019 - THREAD</t>
  </si>
  <si>
    <t>A679072.026</t>
  </si>
  <si>
    <t>ERASMUS + SWARM PROJEKT</t>
  </si>
  <si>
    <t>A679072.027</t>
  </si>
  <si>
    <t>H2020 Financijski nadzor i tehnološka usklađenost</t>
  </si>
  <si>
    <t>A679072.028</t>
  </si>
  <si>
    <t>Transformativni turizam u europskoj prijestolnici kulture</t>
  </si>
  <si>
    <t>A679072.029</t>
  </si>
  <si>
    <t>ManuFacturing model upravljanja i osposobljavanja za industriju 4.0 u Jadransko-jonskoj regiji</t>
  </si>
  <si>
    <t>A679072.030</t>
  </si>
  <si>
    <t>ERASMUS+ TEACHING2030 -FMTU Opatija 2017.-2020.</t>
  </si>
  <si>
    <t>A679072.031</t>
  </si>
  <si>
    <t>INTERREG SLO-HR MITSKI PARK, FMTU-Kozina</t>
  </si>
  <si>
    <t>A679072.032</t>
  </si>
  <si>
    <t>INTERREG ITA-HR ADRIAAQUANET,Sv. Udine</t>
  </si>
  <si>
    <t>A679072.034</t>
  </si>
  <si>
    <t>Personalizirano rješenje u europskom zakonu o obitelji i sukcesiji (PSEFS) (I)</t>
  </si>
  <si>
    <t>A679072.035</t>
  </si>
  <si>
    <t>Modernizacija master programa</t>
  </si>
  <si>
    <t>A679072.036</t>
  </si>
  <si>
    <t>Raznolikost izvršnih naslova u prekograničnoj naplati duga EU-EU-En4s</t>
  </si>
  <si>
    <t>A679072.037</t>
  </si>
  <si>
    <t>Povećavanje i proširenje odgovora T-stanica na glioblastoma</t>
  </si>
  <si>
    <t>A679072.038</t>
  </si>
  <si>
    <t>Podrška obiteljskog njegovatelja - strategije i alati za promicanje mentalnog i emocionalnog zdravlja njegovatelja</t>
  </si>
  <si>
    <t>A679072.039</t>
  </si>
  <si>
    <t>HERA - Zdravstvo kao javni prostor: Socijalna integracija i socijalna raznolikost u kontekstu pristupa zdravstvenoj skrbi u Europi</t>
  </si>
  <si>
    <t>A679072.040</t>
  </si>
  <si>
    <t>VALUECARE - METODOLOGIJA NA VRIJEDNOSTI ZA INTEGRIRANU NjEGU PODRUČENA IcT-om</t>
  </si>
  <si>
    <t>A679072.041</t>
  </si>
  <si>
    <t>ERASMUS+ SKILLSEA</t>
  </si>
  <si>
    <t>A679072.042</t>
  </si>
  <si>
    <t>Umjetnička i humanistička poduzetnička središta</t>
  </si>
  <si>
    <t>A679072.043</t>
  </si>
  <si>
    <t>ERASMUS + Coding4girls</t>
  </si>
  <si>
    <t>A679072.044</t>
  </si>
  <si>
    <t>ERASMUS +LANGUIDE</t>
  </si>
  <si>
    <t>A679072.045</t>
  </si>
  <si>
    <t>INTERREG Sigurno sidrenje i zaštita morske trave u Jadranskom moru-SASPAS</t>
  </si>
  <si>
    <t>A679072.046</t>
  </si>
  <si>
    <t>SPEAR - Podržavanje i implantacija planova za rodnu ravnopravnost u istraživanju</t>
  </si>
  <si>
    <t>A679072.047</t>
  </si>
  <si>
    <t>OBZOR 2020 -HERITAGE- Podržavanje i implantacija planova za rodnu ravnopravnost u istraživanju</t>
  </si>
  <si>
    <t>A679072.049</t>
  </si>
  <si>
    <t>PROMEHS</t>
  </si>
  <si>
    <t>A679072.050</t>
  </si>
  <si>
    <t>ERASMUS + Digitalna društvena inovacija: nove obrazovne kompetencije za socijalnu uključenost</t>
  </si>
  <si>
    <t>A679072.051</t>
  </si>
  <si>
    <t>HKO-Dig IT - Izrada standarda zanimanja i standarda kvalifikacija u djelatnostima računarstva</t>
  </si>
  <si>
    <t>A679072.052</t>
  </si>
  <si>
    <t>HKO-ELE Primjena Hrvatskog kvalifikacijskog okvira za sveučilišne studijske programe u području elektrotehnike</t>
  </si>
  <si>
    <t>A679072.053</t>
  </si>
  <si>
    <t>Novi koncepti vektora citomegaloviralnog cjepiva</t>
  </si>
  <si>
    <t>A679072.054</t>
  </si>
  <si>
    <t>Rješavanje m04 paradoksa: Izbjegavanje samo-prepoznavanja koji nedostaje i ubijanje CD8 T stanica MAT uORF</t>
  </si>
  <si>
    <t>A679072.055</t>
  </si>
  <si>
    <t>PROLOG   (HOK projekt)</t>
  </si>
  <si>
    <t>A679072.056</t>
  </si>
  <si>
    <t>GLAT-Igre za učenje algoritamskog mišljenja</t>
  </si>
  <si>
    <t>A679072.057</t>
  </si>
  <si>
    <t>DIP2Future: Razvoj obrazovnih programa, standarda kvalifikacije i standarda zanimanja iz područja IKT-a u skladu s HKO-om</t>
  </si>
  <si>
    <t>A679072.058</t>
  </si>
  <si>
    <t>Veleri- OI IoT School: Razvoj racionalnog obrazovnog programa</t>
  </si>
  <si>
    <t>A679072.059</t>
  </si>
  <si>
    <t>Bioprospecting Jadranskog mora</t>
  </si>
  <si>
    <t>A679072.060</t>
  </si>
  <si>
    <t>SEEYW - Podržavanje obrazovanja mladih radnika</t>
  </si>
  <si>
    <t>A679072.061</t>
  </si>
  <si>
    <t>Turistička valorizacija reprezentativnih spomenika riječke industrijske baštine</t>
  </si>
  <si>
    <t>A679072.062</t>
  </si>
  <si>
    <t>ERASMUS + 2019. Mobilnost studenata i osoblja između programskih i partnerskih zemalja (KA107)</t>
  </si>
  <si>
    <t>A679072.063</t>
  </si>
  <si>
    <t>CEKOM Podrška razvoju centara kompetencija</t>
  </si>
  <si>
    <t>A679072.065</t>
  </si>
  <si>
    <t>Industrijska baština</t>
  </si>
  <si>
    <t>A679072.067</t>
  </si>
  <si>
    <t>DATACROSS – Napredne metode i tehnologije u znanosti o podatcima i kooperativnim sustavima</t>
  </si>
  <si>
    <t>A679072.068</t>
  </si>
  <si>
    <t>KLIMOD</t>
  </si>
  <si>
    <t>A679072.069</t>
  </si>
  <si>
    <t>Capacity Building of BLUE Economy Stakeholders to Effectively use CROWFUNDING</t>
  </si>
  <si>
    <t>A679072.070</t>
  </si>
  <si>
    <t>Provedba HKO-a na razini visokog obrazovanja - EFRI</t>
  </si>
  <si>
    <t>A679072.071</t>
  </si>
  <si>
    <t>Social and Creative - EFRI</t>
  </si>
  <si>
    <t>A679072.072</t>
  </si>
  <si>
    <t>MI – jučer, danas, sutra</t>
  </si>
  <si>
    <t>A679072.073</t>
  </si>
  <si>
    <t>RCK PECEPT - REG. CENTAR PROFESIJA U TURIZMU</t>
  </si>
  <si>
    <t>A679072.074</t>
  </si>
  <si>
    <t>RECEZA-REGIONALNI CENTAR ZABOK</t>
  </si>
  <si>
    <t>A679072.075</t>
  </si>
  <si>
    <t>ERASMUS+ CAMPMASTER, SVEUČILIŠTE U RIJECI</t>
  </si>
  <si>
    <t>A679072.076</t>
  </si>
  <si>
    <t>Train to enforce — Train 2 EN4CE’</t>
  </si>
  <si>
    <t>A679072.077</t>
  </si>
  <si>
    <t>A679072.078</t>
  </si>
  <si>
    <t>Menage a trois: Neuro-endocrino-immune regulation of metabolic homeostasis</t>
  </si>
  <si>
    <t>A679072.079</t>
  </si>
  <si>
    <t>Razvoj inovativnog brzog testa za dijagnozu subkliničkog mastitisa u mliječnih krava</t>
  </si>
  <si>
    <t>A679072.080</t>
  </si>
  <si>
    <t>Rino sprej</t>
  </si>
  <si>
    <t>A679072.081</t>
  </si>
  <si>
    <t>ERASMUS+ COMPETING</t>
  </si>
  <si>
    <t>A679072.082</t>
  </si>
  <si>
    <t>INTERREG  PSAMIDES</t>
  </si>
  <si>
    <t>A679072.084</t>
  </si>
  <si>
    <t>INTERREG MIMOSA</t>
  </si>
  <si>
    <t>A679072.085</t>
  </si>
  <si>
    <t>INTERREG FRAMEWORK</t>
  </si>
  <si>
    <t>A679072.086</t>
  </si>
  <si>
    <t>Infant Theory of Mind-H2020-MSCA-IF-2017</t>
  </si>
  <si>
    <t>A679072.087</t>
  </si>
  <si>
    <t>MindBot</t>
  </si>
  <si>
    <t>A679072.088</t>
  </si>
  <si>
    <t>BEAT - Blue enhancement action for technology transfer</t>
  </si>
  <si>
    <t>A679072.089</t>
  </si>
  <si>
    <t>YUFE (The Young Universities for the Future of Europe)</t>
  </si>
  <si>
    <t>A679072.090</t>
  </si>
  <si>
    <t>DIOSI - Developing and implementing hands-on training on Open Science and Open Innovation for Early Career Researchers</t>
  </si>
  <si>
    <t>A679072.091</t>
  </si>
  <si>
    <t>YUFERING - YUFE Transforming Research and Innovation through Europe-wide Knowledge Transfer</t>
  </si>
  <si>
    <t>A679072.092</t>
  </si>
  <si>
    <t>Measuring the Social Dimension of Culture (MESOC)</t>
  </si>
  <si>
    <t>A679072.094</t>
  </si>
  <si>
    <t>INTERREG InnovaMare projekt</t>
  </si>
  <si>
    <t>A679072.095</t>
  </si>
  <si>
    <t>CEKOM Smart City.4DII</t>
  </si>
  <si>
    <t>A679072.096</t>
  </si>
  <si>
    <t>THEY LIVE Student lives revealed through context-based art practices</t>
  </si>
  <si>
    <t>A679072.097</t>
  </si>
  <si>
    <t>ALGOLITTLE</t>
  </si>
  <si>
    <t>A679072.098</t>
  </si>
  <si>
    <t>Peshes - Erazmus +</t>
  </si>
  <si>
    <t>A679072.099</t>
  </si>
  <si>
    <t>INNO HPC</t>
  </si>
  <si>
    <t>A679072.100</t>
  </si>
  <si>
    <t>ORG BIO</t>
  </si>
  <si>
    <t>A679072.101</t>
  </si>
  <si>
    <t>In Math</t>
  </si>
  <si>
    <t>A679072.102</t>
  </si>
  <si>
    <t>'Roles of miRNAs in Herpes simplex virus 1 infection“ (HSVmiR-IJ)</t>
  </si>
  <si>
    <t>A679072.103</t>
  </si>
  <si>
    <t>'ERASMUS+ CAMPMASTER, SVEUČILIŠTE U RIJECI</t>
  </si>
  <si>
    <t>A679072.104</t>
  </si>
  <si>
    <t>Sustainable service - FFRI</t>
  </si>
  <si>
    <t>A679072.105</t>
  </si>
  <si>
    <t>MEHR- Modernity, Education and Human Rights</t>
  </si>
  <si>
    <t>A679072.107</t>
  </si>
  <si>
    <t>SLIHE</t>
  </si>
  <si>
    <t>A679072.108</t>
  </si>
  <si>
    <t>Taec</t>
  </si>
  <si>
    <t>A679072.109</t>
  </si>
  <si>
    <t>AHEH</t>
  </si>
  <si>
    <t>A679072.110</t>
  </si>
  <si>
    <t>AThEME</t>
  </si>
  <si>
    <t>A679072.111</t>
  </si>
  <si>
    <t>E-confidence</t>
  </si>
  <si>
    <t>A679072.112</t>
  </si>
  <si>
    <t>HRMinHEI</t>
  </si>
  <si>
    <t>A679072.113</t>
  </si>
  <si>
    <t>ERASMUS+ ATHLETS FOOT</t>
  </si>
  <si>
    <t>A679072.114</t>
  </si>
  <si>
    <t>eTMS IRI projekt</t>
  </si>
  <si>
    <t>A679072.115</t>
  </si>
  <si>
    <t>OPK Konkurentnost i kohezija ProtectAS</t>
  </si>
  <si>
    <t>A679072.116</t>
  </si>
  <si>
    <t>RIVIERA 4SEASONS</t>
  </si>
  <si>
    <t>A679072.117</t>
  </si>
  <si>
    <t>FOST INNO EU</t>
  </si>
  <si>
    <t>A679072.118</t>
  </si>
  <si>
    <t>ERASMUS+ FOODBIZ</t>
  </si>
  <si>
    <t>A679072.119</t>
  </si>
  <si>
    <t>MORZ - Mreže Organizacije Ribara i Znanstvenika</t>
  </si>
  <si>
    <t>A679072.120</t>
  </si>
  <si>
    <t>Jean Monnet - centar izvrsnosti</t>
  </si>
  <si>
    <t>A679072.121</t>
  </si>
  <si>
    <t>IRI-2 ABsistemDCiCloud (korisnik AlarmAutomatika d.o.o.Rijeka)</t>
  </si>
  <si>
    <t>A679072.122</t>
  </si>
  <si>
    <t>IRI-2 Razvoj ekoloških proizvodnih procesa i novih proizvoda visoke kvalitete aktivnostima istraživanja i razvoja (korisnik Feroplast d.o.o.Buje)</t>
  </si>
  <si>
    <t>A679072.123</t>
  </si>
  <si>
    <t>EuroCC</t>
  </si>
  <si>
    <t>A679072.124</t>
  </si>
  <si>
    <t>Arts and Humanities Entrpreneurship Hubs</t>
  </si>
  <si>
    <t>A679072.125</t>
  </si>
  <si>
    <t>Erasmus +Transnational Alignment of English Competences for University Lectures” (TAEC)</t>
  </si>
  <si>
    <t>A679072.126</t>
  </si>
  <si>
    <t>ERASMUS +  Inclusion through CrowdFunding”("InCrowd”)</t>
  </si>
  <si>
    <t>A679072.127</t>
  </si>
  <si>
    <t>ERASMUS + E-laboratory for digital education (LaDiEd)</t>
  </si>
  <si>
    <t>A679072.128</t>
  </si>
  <si>
    <t>INTERREG ADRION EUREKA</t>
  </si>
  <si>
    <t>A679072.129</t>
  </si>
  <si>
    <t>Erazmus partnerske zemlje 2019/2021 - HR01-KA107-060242</t>
  </si>
  <si>
    <t>A679072.130</t>
  </si>
  <si>
    <t>Erazmus partnerske zemlje 2018/2020 - HR01-KA107-046921</t>
  </si>
  <si>
    <t>A679072.131</t>
  </si>
  <si>
    <t>Erazmus 2020 - HR01-KA107-077121</t>
  </si>
  <si>
    <t>A679072.132</t>
  </si>
  <si>
    <t>Erazmus 2019/20 - HR01-KA103-060229</t>
  </si>
  <si>
    <t>A679072.133</t>
  </si>
  <si>
    <t>Erazmus 2020/21 - HR01-KA103-077087</t>
  </si>
  <si>
    <t>A679073.002</t>
  </si>
  <si>
    <t>ERASMUS+ Mobilnost studenata i osoblja unutar programskih zemalja-KA103</t>
  </si>
  <si>
    <t>A679073.003</t>
  </si>
  <si>
    <t>ERASMUS+ mobilnost studenata i osoblja unutar programskih zemalja</t>
  </si>
  <si>
    <t>A679073.004</t>
  </si>
  <si>
    <t>ERASMUS+ mobilnost studenata između programskih i partnerskih zemalja</t>
  </si>
  <si>
    <t>A679073.005</t>
  </si>
  <si>
    <t>ELEGANT - poboljšanje podučavanja, učenja i mogućnosti diplomiranja</t>
  </si>
  <si>
    <t>A679073.006</t>
  </si>
  <si>
    <t>Digitalno poduzetničko obrazovanje kroz virtualni trening</t>
  </si>
  <si>
    <t>A679073.007</t>
  </si>
  <si>
    <t>IDEA - digitalno poduzetništvo</t>
  </si>
  <si>
    <t>A679073.008</t>
  </si>
  <si>
    <t>EXCHANGE - Istraživanje prekogranične vodene biološke raznolikosti</t>
  </si>
  <si>
    <t>A679073.009</t>
  </si>
  <si>
    <t>Razvoj sustava kontrole i obrane luka od unosa stranih vrsta ( ProtectAS)</t>
  </si>
  <si>
    <t>A679073.010</t>
  </si>
  <si>
    <t>FishAqu - Poboljšanje znanja u održivom upravljanju ribarstvom i akvakulturi u mediteranskoj regiji</t>
  </si>
  <si>
    <t>A679073.011</t>
  </si>
  <si>
    <t>DigIT - izrada standarda zanimanja i standarda kvalifikacija u djelatnostima računarstva</t>
  </si>
  <si>
    <t>A679073.012</t>
  </si>
  <si>
    <t>Start-up Nacija: Hrvatska Tematska mreža za razvoj poduzetništva i samozapošljavanja</t>
  </si>
  <si>
    <t>A679073.013</t>
  </si>
  <si>
    <t>MARLESS -prekogranične mjere podizanja svijesti o morskom otpadu</t>
  </si>
  <si>
    <t>A679073.014</t>
  </si>
  <si>
    <t>Cisto more, pretraživanje, identifikacija i prikupljanje morskog otpada s bespilotnim podvodnim i površinskim plovilima</t>
  </si>
  <si>
    <t>A679073.015</t>
  </si>
  <si>
    <t>Innovamare: Razvoj inovativnih tehnologija za održivost Jadranskog mora</t>
  </si>
  <si>
    <t>A679073.016</t>
  </si>
  <si>
    <t>DATACROSS- napredne metode i tehnologije u znanosti o podatcima i kooperativnim sustavima</t>
  </si>
  <si>
    <t>A679073.017</t>
  </si>
  <si>
    <t>HKO-ELE- primjena HKO za sveučilišne studijske programe u području elektrotehnike</t>
  </si>
  <si>
    <t>A679073.018</t>
  </si>
  <si>
    <t>Izvrsnost i učinkovitost u visokom obrazovanju u polju ekonomije E4</t>
  </si>
  <si>
    <t>A679073.019</t>
  </si>
  <si>
    <t>Agrobioraznolikost- osnova za prilagodbu i ublažavanje posljedica klimatskih promjena u poljoprivredi</t>
  </si>
  <si>
    <t>A679074.002</t>
  </si>
  <si>
    <t>INTERREG STRONGER projekt osnivanja prekograničnog klastera i e-platforme iz područja prerađivačke industrije ljekovitog i začinskog bilja</t>
  </si>
  <si>
    <t>A679074.003</t>
  </si>
  <si>
    <t>INTERREG APPRODI projekt izrade strateškog plana za poticanje ekoturizma kroz istraživanja o povijesnim utjecajima pomorskog prometa</t>
  </si>
  <si>
    <t>A679074.004</t>
  </si>
  <si>
    <t>Zadar Baštini projekt stvaranja kulturno-turističkog proizvoda grada Zadra s ciljem povećanja turističke posjećenosti</t>
  </si>
  <si>
    <t>A679074.005</t>
  </si>
  <si>
    <t>MADE IN-LAND projekt očuvanja prirodnih i kulturnih resursa u unutrašnjosti Italije i Hrvatske</t>
  </si>
  <si>
    <t>A679074.006</t>
  </si>
  <si>
    <t>INTERREG DISCOVER projekt pozicioniranja slabije poznatih mjesta Italije i  Hrvatske na turističku kartu ponude</t>
  </si>
  <si>
    <t>A679074.007</t>
  </si>
  <si>
    <t>INTERREG REPLICATE projekt revitalizacije zabačenih područja i izgubljene baštine</t>
  </si>
  <si>
    <t>A679074.008</t>
  </si>
  <si>
    <t>INTERREG GUTTA projekt pilot akcije pronalaska eko-rute s naglaskom na zaštitu okoliša</t>
  </si>
  <si>
    <t>A679074.009</t>
  </si>
  <si>
    <t>INTERREG AADRIREEF -Inovativno iskorištavanje jadranskih grebena radi jačanja plave ekonomije</t>
  </si>
  <si>
    <t>A679074.010</t>
  </si>
  <si>
    <t>ERASMUS + LA GUIDE</t>
  </si>
  <si>
    <t>A679074.011</t>
  </si>
  <si>
    <t>ERASMUS + EU-CONEXUXS</t>
  </si>
  <si>
    <t>A679074.012</t>
  </si>
  <si>
    <t>SAN -Pametna poljoprivredna mreža</t>
  </si>
  <si>
    <t>A679074.013</t>
  </si>
  <si>
    <t>ERASMUS+ KA1- mobilnost u visokom obrazovanju</t>
  </si>
  <si>
    <t>A679074.014</t>
  </si>
  <si>
    <t>OPERAS- P H2020-INFRADEV-2018-2020</t>
  </si>
  <si>
    <t>A679074.015</t>
  </si>
  <si>
    <t>BUDI SPREMAN I KOMPETENTAN</t>
  </si>
  <si>
    <t>A679074.016</t>
  </si>
  <si>
    <t>STREAM Interreg Italija Hrvatska</t>
  </si>
  <si>
    <t>A679074.017</t>
  </si>
  <si>
    <t>Interreg Italija Hrvatska ERDF</t>
  </si>
  <si>
    <t>A679074.018</t>
  </si>
  <si>
    <t>VODI ME  Vode Imotske krajine</t>
  </si>
  <si>
    <t>A679074.019</t>
  </si>
  <si>
    <t>TRIPLE  H2020-INFRAEOSC-2018-2020</t>
  </si>
  <si>
    <t>A679074.020</t>
  </si>
  <si>
    <t>SHEMA  Proizvodnja hrane u kružnom biog</t>
  </si>
  <si>
    <t>A679074.021</t>
  </si>
  <si>
    <t>2CODE Intrr.  CBC Hrvatska -BIH i  - Crna gora</t>
  </si>
  <si>
    <t>A679075.007</t>
  </si>
  <si>
    <t>ERASMUS KA103 Mobilnost studenata i osoblja Sveučilišta u Puli</t>
  </si>
  <si>
    <t>A679075.008</t>
  </si>
  <si>
    <t>ERASMUS KA107 Odlazne i dolazne mobilnosti studenata i osoblja Sveučilišta u Puli</t>
  </si>
  <si>
    <t>A679075.009</t>
  </si>
  <si>
    <t>ERASMUS+ KA2 - razvoj kapaciteta WILLIAM</t>
  </si>
  <si>
    <t>A679075.010</t>
  </si>
  <si>
    <t>ERASMUS KA2 - DYNAMIC</t>
  </si>
  <si>
    <t>A679075.011</t>
  </si>
  <si>
    <t>ERASMUS + KA103 Broj: 2020-1-HR01-KA103-077157 - Mobilnost studenata i osoblja Sveučilišta u Puli</t>
  </si>
  <si>
    <t>A679075.012</t>
  </si>
  <si>
    <t>ERASMUS + KA107 Broj: 2020-1-HR01-KA107-077587 - Odlazne i dolazne mobilnosti studenata i osoblja Sveučilišta u Puli</t>
  </si>
  <si>
    <t>A679075.013</t>
  </si>
  <si>
    <t>ERASMUS + KA202 broj: 2019-1-HR01-KA202-061006 - strukovno obrazovanje i osposobljavanje</t>
  </si>
  <si>
    <t>A679075.014</t>
  </si>
  <si>
    <t>Projekt "IN DIV EU"</t>
  </si>
  <si>
    <t>A679075.016</t>
  </si>
  <si>
    <t>Partnerstvo između znanstvenika I ribara</t>
  </si>
  <si>
    <t>A679076.001</t>
  </si>
  <si>
    <t>INTERREG SLO-HR Živi dvorci - projekt očuvanja kulturnog nasljeđa</t>
  </si>
  <si>
    <t>A679076.002</t>
  </si>
  <si>
    <t>ERASMUS+ KA103 Mobilnost studenata i osoblja Veleučilišta u Vukovaru</t>
  </si>
  <si>
    <t>A679076.003</t>
  </si>
  <si>
    <t>ERASMUS+ KA107</t>
  </si>
  <si>
    <t>A679076.004</t>
  </si>
  <si>
    <t>LIFE LYNX 16/NAT/SI/000634</t>
  </si>
  <si>
    <t>A679076.005</t>
  </si>
  <si>
    <t>Erasmus+</t>
  </si>
  <si>
    <t>A679076.006</t>
  </si>
  <si>
    <t>Milk-ed</t>
  </si>
  <si>
    <t>A679076.007</t>
  </si>
  <si>
    <t>EDUAGRNTERREG V-A HUNGARYI, I</t>
  </si>
  <si>
    <t>A679076.008</t>
  </si>
  <si>
    <t>Odčepljivanje ruralnog naslijeđa: autohtona proizvodnja fermentiranih pića za lokalnu kulturnu i okolišnu održivost, 2018-1-0682</t>
  </si>
  <si>
    <t>A679076.009</t>
  </si>
  <si>
    <t>Moderno obrazovanje prvostupnika mehatronike</t>
  </si>
  <si>
    <t>A679076.011</t>
  </si>
  <si>
    <t>Snaga vještina</t>
  </si>
  <si>
    <t>A679076.012</t>
  </si>
  <si>
    <t>Bespilotne letjelice</t>
  </si>
  <si>
    <t>A679076.013</t>
  </si>
  <si>
    <t>Stipendiranje studenata visokih učilišta iz područja biotehničkih znanosti na području Slavonije, Baranje i Srijema</t>
  </si>
  <si>
    <t>A679076.014</t>
  </si>
  <si>
    <t>Measures</t>
  </si>
  <si>
    <t>A679076.015</t>
  </si>
  <si>
    <t>Izgradnja studentskog doma u Požegi</t>
  </si>
  <si>
    <t>A679076.017</t>
  </si>
  <si>
    <t>Razvoj uređaja sa potopljenim isparivačem</t>
  </si>
  <si>
    <t>A679077.001</t>
  </si>
  <si>
    <t>BLUTOURSYSTEM projekt unaprjeđenja okvira za održivi rast Plavog turizma</t>
  </si>
  <si>
    <t>A679077.002</t>
  </si>
  <si>
    <t>ERASMUS+ Inovativna poslovna suradnja - model inovativnog učenja u području turizma</t>
  </si>
  <si>
    <t>A679077.004</t>
  </si>
  <si>
    <t>ERASMUS+ Novi sveučilišni kurikul Cultural Studies in Business</t>
  </si>
  <si>
    <t>A679077.005</t>
  </si>
  <si>
    <t>WIRE 2020 Inovacije ekosustava i razvoj regija Europe</t>
  </si>
  <si>
    <t>A679077.006</t>
  </si>
  <si>
    <t>GIANTLEAP Nezagađivački promet autobusa s Pem gorivim stanicama</t>
  </si>
  <si>
    <t>A679077.007</t>
  </si>
  <si>
    <t>HYDRIDE4MOBILITY Razvoj komunalnih vozila pomoću MH spremnika vodika i PEM gorivnih ćelija</t>
  </si>
  <si>
    <t>A679077.008</t>
  </si>
  <si>
    <t>SAVE Sport Against Violence and Exclusion - Sportom protiv nasilja i isključenosti</t>
  </si>
  <si>
    <t>A679077.010</t>
  </si>
  <si>
    <t>ENTIRE Mapiranje normativnog okvira za etiku provođenja istraživanja</t>
  </si>
  <si>
    <t>A679077.011</t>
  </si>
  <si>
    <t>VIR2UE Etika utemeljena na istraživačkoj čestitosti</t>
  </si>
  <si>
    <t>A679077.012</t>
  </si>
  <si>
    <t>SOPs4RI Europski kodeks ponašanja za istraživačku čestitost</t>
  </si>
  <si>
    <t>A679077.013</t>
  </si>
  <si>
    <t>INTERREG IPA CBC HR-BA-ME Unaprjeđenje dijagnostičkih i terapijskih usluga medicine spavanja u prekograničnom području južne Hrvatske i zapadne Bosne i Hercegovine</t>
  </si>
  <si>
    <t>A679077.014</t>
  </si>
  <si>
    <t>COSME COS Europska poduzetnička mreža za potporu i savjet gospodarstvenicima diljem Europe</t>
  </si>
  <si>
    <t>A679077.015</t>
  </si>
  <si>
    <t>OBZOR 2020 MIROR Europski program združenog doktorata radi integrirane obuke na doktorskoj razini</t>
  </si>
  <si>
    <t>A679077.019</t>
  </si>
  <si>
    <t>ERASMUS+ BESTSDI Izrada kurikula na temu infrastrukture prostornih podataka u zemljama Zapadnog Balkana</t>
  </si>
  <si>
    <t>A679077.020</t>
  </si>
  <si>
    <t>ERASMUS+ InCounselling50+ Razvoj holističkog i znanstveno utemeljenog koncepta za inovativno savjetovanje i usmjeravanje kroz karijeru</t>
  </si>
  <si>
    <t>A679077.022</t>
  </si>
  <si>
    <t>ERASMUS+ CAPUS Očuvanje umjetnosti u javnim prostorima</t>
  </si>
  <si>
    <t>A679077.023</t>
  </si>
  <si>
    <t>ERASMUS+ FOODQA Poticanje suradnje akademije i industrije u sigurnosti i kvaliteti hrane</t>
  </si>
  <si>
    <t>A679077.024</t>
  </si>
  <si>
    <t>ERASMUS+ CABUFAL Izgradnja kapaciteta Pravnog fakulteta Crne Gore u procesu pristupanja EU</t>
  </si>
  <si>
    <t>A679077.025</t>
  </si>
  <si>
    <t>ERASMUS+ MEMUD MA studij u području urbanog dizajna za područje centralne i jugoistočne Europe</t>
  </si>
  <si>
    <t>A679077.026</t>
  </si>
  <si>
    <t>EUROPEAID: INTERCAP projekt mijenjanja javne percepcije o migracijama, sigurnosti i održivom razvoju u međuzavisnom svijetu</t>
  </si>
  <si>
    <t>A679077.027</t>
  </si>
  <si>
    <t>ERASMUS+ SpeculativeEDU projekt obrazovanja i stjecanja iskustva u području dizajna u nastajanju</t>
  </si>
  <si>
    <t>A679077.029</t>
  </si>
  <si>
    <t>ERASMUS+ Programske zemlje KA103 Mobilnost studenata i osoblja Sveučilišta u Splitu</t>
  </si>
  <si>
    <t>A679077.030</t>
  </si>
  <si>
    <t>A679077.033</t>
  </si>
  <si>
    <t>ERASMUS+  Partnerske zemlje KA107 Odlazne i dolazne mobilnosti studenata i osoblja Sveučilišta u Splitu</t>
  </si>
  <si>
    <t>A679077.035</t>
  </si>
  <si>
    <t>A679077.037</t>
  </si>
  <si>
    <t>INTERREG-NET4mPLASTIC- Nove tehnologije za detekciju i analizu marko i mirkoplastike u Jadranskom bazenu</t>
  </si>
  <si>
    <t>A679077.038</t>
  </si>
  <si>
    <t>INTERREG PMO-GATE - sprječavanje, upravljanje i prevladavanje rizika od prirodnih katastrofa radi ublažavanja njihova utjecaja na gospodarstvo i društvo</t>
  </si>
  <si>
    <t>A679077.039</t>
  </si>
  <si>
    <t>INTERREG DEEP-SEA – Razvoj planiranja energetske učinkovitosti i mobilnih usluga marina na Jadranskoj obali</t>
  </si>
  <si>
    <t>A679077.040</t>
  </si>
  <si>
    <t>INTERREG E-CITIJENS - Sustav za podršku odlučivanju (SPO) u upravljanju hitnim situacijama za potrebe civilne zaštite zasnovan na građanskom novinarstvu, a za poboljšanje sigurnosti na području Jadrana</t>
  </si>
  <si>
    <t>A679077.041</t>
  </si>
  <si>
    <t>INTERREG MoST - Monitoring prodora slane vode u obalne vodonosnike i testiranje pilot projekata za smanjenje štetnog utjecaja od zaslanjivanja</t>
  </si>
  <si>
    <t>A679077.042</t>
  </si>
  <si>
    <t>INTERREG AdSWiM - Upravljano korištenje pročišćenih komunalnih otpadnih voda radi kvalitete Jadranskog mora</t>
  </si>
  <si>
    <t>A679077.043</t>
  </si>
  <si>
    <t>INTERREG Plastic Busters MPA: Očuvanje biološke raznolikosti od plastike u zaštićenim morskim područjima na Mediteranu</t>
  </si>
  <si>
    <t>A679077.044</t>
  </si>
  <si>
    <t>SHExtreme</t>
  </si>
  <si>
    <t>A679077.045</t>
  </si>
  <si>
    <t>ERASMUS + Izgradnja kapaciteta za plavi rast i razvoj kurikuluma morskog ribarstva u Albaniji</t>
  </si>
  <si>
    <t>A679077.046</t>
  </si>
  <si>
    <t>INTERREG MED ARISTOIL</t>
  </si>
  <si>
    <t>A679077.047</t>
  </si>
  <si>
    <t>INTERREG FAIRSEA- Ribolov u jadranskoj regiji zajednički pristup ekosustavu</t>
  </si>
  <si>
    <t>A679077.048</t>
  </si>
  <si>
    <t>INTERREG  WATERCARE</t>
  </si>
  <si>
    <t>A679077.049</t>
  </si>
  <si>
    <t>IP-ojačani, suzbijanje štetočina i izvan sezone IPM usmjeren protiv novih i novih voćnih muha</t>
  </si>
  <si>
    <t>A679077.050</t>
  </si>
  <si>
    <t>Društvene znanosti i humanističke znanosti u međusektorskoj suradnji za bolje obrazovanje i održive inovacije</t>
  </si>
  <si>
    <t>A679077.051</t>
  </si>
  <si>
    <t>BLUEWBC - Održivi razvoj BLUE ekonomija putem visokog obrazovanja i inovacija u zemljama zapadnog Balkana</t>
  </si>
  <si>
    <t>A679077.052</t>
  </si>
  <si>
    <t>SEA EU - Europsko sveučilište mora</t>
  </si>
  <si>
    <t>A679077.053</t>
  </si>
  <si>
    <t>RMPPI - HR-BA-ME262- Održiva prekogranična inicijativa za obnovljive mikroelektrane</t>
  </si>
  <si>
    <t>A679077.054</t>
  </si>
  <si>
    <t>DATACROSS – Napredne metode i tehnologije u znanosti o podacima i kooperativnim sustavima</t>
  </si>
  <si>
    <t>A679077.055</t>
  </si>
  <si>
    <t>STIM-REI</t>
  </si>
  <si>
    <t>A679077.056</t>
  </si>
  <si>
    <t>Primjena HKO za sveučilišne studijske programe u području elektrotehnike</t>
  </si>
  <si>
    <t>A679077.057</t>
  </si>
  <si>
    <t>EUROfusion</t>
  </si>
  <si>
    <t>A679077.058</t>
  </si>
  <si>
    <t>FizKO - Razvoj studija fizike uz primjernu HKO</t>
  </si>
  <si>
    <t>A679077.059</t>
  </si>
  <si>
    <t>Razvoj tehnologije za procjenu autopurifikacijskih sposobnosti priobalnih voda</t>
  </si>
  <si>
    <t>A679077.060</t>
  </si>
  <si>
    <t>GEOBIZ</t>
  </si>
  <si>
    <t>A679077.061</t>
  </si>
  <si>
    <t>PROMISE -Personalizirana medicina- osnovna edukacija</t>
  </si>
  <si>
    <t>A679077.062</t>
  </si>
  <si>
    <t>mathSTEM - Podučavanje matematike i izrada smjernica za mathSTEM metodologiju</t>
  </si>
  <si>
    <t>A679077.063</t>
  </si>
  <si>
    <t>ERASMUS+ KA104 Obrazovanje odraslih</t>
  </si>
  <si>
    <t>A679077.064</t>
  </si>
  <si>
    <t>Provedba HKO u stručnim studijima računarstva</t>
  </si>
  <si>
    <t>A679077.065</t>
  </si>
  <si>
    <t>ASPEMS - Aktivni sustav za pohranu električne energije i stabilizaciju elektroenergetske mreže</t>
  </si>
  <si>
    <t>A679077.066</t>
  </si>
  <si>
    <t>ISPIS – Razvoj funkcionalnog prototipa sustava za potrage i spašavanja ljudi pomoću bespilotnih letjelica</t>
  </si>
  <si>
    <t>A679077.067</t>
  </si>
  <si>
    <t>Razvoj karijera mladih istraživača</t>
  </si>
  <si>
    <t>A679077.068</t>
  </si>
  <si>
    <t>Pametni kulturni turizam kao pokretač održivog razvoja europskih regija</t>
  </si>
  <si>
    <t>A679077.069</t>
  </si>
  <si>
    <t>CAAT</t>
  </si>
  <si>
    <t>A679077.070</t>
  </si>
  <si>
    <t>EUROCC -Nacionalni centri za kompetencije u okviru, Obzor 2020</t>
  </si>
  <si>
    <t>A679077.071</t>
  </si>
  <si>
    <t>RCK</t>
  </si>
  <si>
    <t>A679077.072</t>
  </si>
  <si>
    <t>IRA1 - CEKOM: Razvoj inovativnih kompozitnih struktura za zvučnu izolaciju</t>
  </si>
  <si>
    <t>A679077.073</t>
  </si>
  <si>
    <t>IRA2-CEKOM: Razvoj napredne integralne numeričke procedure</t>
  </si>
  <si>
    <t>A679077.074</t>
  </si>
  <si>
    <t>IRA 3-CEKOM: Inovativno rješenje vodomlaznog propulzora </t>
  </si>
  <si>
    <t>A679077.075</t>
  </si>
  <si>
    <t>IRA5 CEKOM : Razvoj LNG sustava za brodove pogonjene motorima na dvojno gorivo (FO/LNG) </t>
  </si>
  <si>
    <t>A679077.076</t>
  </si>
  <si>
    <t>IRA 7-CEKOM: Razvoj LNG spremnika za plovne objekte za skladištenje i regasifikaciju LNG-a </t>
  </si>
  <si>
    <t>A679077.077</t>
  </si>
  <si>
    <t>IRA 8-CEKOM: Razvoj novih konstrukcijskih i tehnoloških rješenja natpalubnih konstrukcija i elemenata od aluminijevih legura </t>
  </si>
  <si>
    <t>A679077.078</t>
  </si>
  <si>
    <t>IRA 10-CEKOM: Razvoj inovativnog pristupa u procesu opremanja broda putem proširene stvarnosti </t>
  </si>
  <si>
    <t>A679077.079</t>
  </si>
  <si>
    <t>IRA 11-CEKOM: Razvoj uređaja za praćenje rada brodskog motora analizom akustičnog signala </t>
  </si>
  <si>
    <t>A679077.080</t>
  </si>
  <si>
    <t>IRA 12-CEKOM: Razvoj plutajuće platforme od umjetno zamrznute vode na zračnim komorama </t>
  </si>
  <si>
    <t>A679077.081</t>
  </si>
  <si>
    <t>IRA 15-CEKOM: Razvoj paketa palubne opreme specijalnih brodova različitih namjena za uzgajališta ribe </t>
  </si>
  <si>
    <t>A679077.082</t>
  </si>
  <si>
    <t>IRA 16-CEKOM: Brodski pritezni sustavi namijenjeni pozicioniranju plovnih objekata</t>
  </si>
  <si>
    <t>A679077.083</t>
  </si>
  <si>
    <t>VODIME - Vode Imotske krajine</t>
  </si>
  <si>
    <t>A679077.084</t>
  </si>
  <si>
    <t>CEKOM, Razvoj centara kompetencija</t>
  </si>
  <si>
    <t>A679077.085</t>
  </si>
  <si>
    <t>WRECKS4ALL: jačanje i diverzifikacija turističke ponude na Jadranu</t>
  </si>
  <si>
    <t>A679077.086</t>
  </si>
  <si>
    <t>Europska akademija za poslovno i financijsko pravo</t>
  </si>
  <si>
    <t>A679077.087</t>
  </si>
  <si>
    <t>Usluge podrške poslovanju i inovacijama u Hrvatskoj - upravljanje ključnim računima - SSBI-CRO-KAM5</t>
  </si>
  <si>
    <t>A679077.088</t>
  </si>
  <si>
    <t>Ispitni sloj sljedeće generacije za nadogradnju mikrofluidnih uređaja na bazi nano omogućenih površina i membrana</t>
  </si>
  <si>
    <t>A679077.089</t>
  </si>
  <si>
    <t>MareMathics- Inovativni pristup u matematičkom obrazovanju za studente pomorstva</t>
  </si>
  <si>
    <t>A679077.090</t>
  </si>
  <si>
    <t>Bio zaštitne kulture i bioaktivni ekstrakti kao održive kombinirane strategije za poboljšanje roka trajanja kvarljive mediteranske hrane (BioProMedFood)</t>
  </si>
  <si>
    <t>A679077.091</t>
  </si>
  <si>
    <t>Jačanje održivih akcija, otpornosti, suradnje i usklađivanja širom i od strane Saveza SEA-EU</t>
  </si>
  <si>
    <t>A679077.092</t>
  </si>
  <si>
    <t>Dalje od akademske zajednice: širenje horizonta karijere doktoranda u pomorskim i pomorskim znanostima u Europi</t>
  </si>
  <si>
    <t>A679077.093</t>
  </si>
  <si>
    <t>Korištenje energije i zeleni javni prijevoz u budućim pametnim gradovima: Inovativni program podučavanja za studente, dionike i poduzetnike</t>
  </si>
  <si>
    <t>A679077.094</t>
  </si>
  <si>
    <t>ITSHEC- Integracija transverzalnih vještina u visoko obrazovanje i kurikulum zdravstvene i socijalne skrbi</t>
  </si>
  <si>
    <t>A679077.095</t>
  </si>
  <si>
    <t>INQUAPH- Inovativni alati za ocjenu kvalitete za studije farmacije u Bosni i Hercegovini</t>
  </si>
  <si>
    <t>A679077.096</t>
  </si>
  <si>
    <t>EPISECC- Uspostaviti paneuropski informacijski prostor za poboljšanje sigurnosti građana</t>
  </si>
  <si>
    <t>A679077.097</t>
  </si>
  <si>
    <t>Metode u istraživanju istraživanja MiRoR</t>
  </si>
  <si>
    <t>A679077.098</t>
  </si>
  <si>
    <t>A679077.099</t>
  </si>
  <si>
    <t>A679077.100</t>
  </si>
  <si>
    <t>SAPPHIRE - Projekt „System Automation of PEMFCs with Prognostics and Health management for Improved Reliability and Economy“</t>
  </si>
  <si>
    <t>A679077.101</t>
  </si>
  <si>
    <t>AUTORE - Automotive derivative energy system</t>
  </si>
  <si>
    <t>A679077.102</t>
  </si>
  <si>
    <t>REFUNDACIJE DJELATNICIMA KOJI SUDJELUJU NA EU PROJEKTIMA</t>
  </si>
  <si>
    <t>A679077.103</t>
  </si>
  <si>
    <t>Erasmus+ mobilnost nastavnog i nenastavnog osblja u natječajnoj godini 2019</t>
  </si>
  <si>
    <t>A679077.105</t>
  </si>
  <si>
    <t>COST - NEW FRONTIERS OF PEER REVIEW</t>
  </si>
  <si>
    <t>A679077.106</t>
  </si>
  <si>
    <t>MLE - EUROPSKA KOMISIJA - GOVERMENTAL EXPERTS</t>
  </si>
  <si>
    <t>A679077.107</t>
  </si>
  <si>
    <t>Projekt Horizon 2020-FF IPM "In-silico boosted, pest prevention and off-season focused IPM against new and emerging fruit flies ('OFF-Season' FF- IPM)"</t>
  </si>
  <si>
    <t>A679077.108</t>
  </si>
  <si>
    <t>Projekt Potential for Using SIT, Mating Disruption and Other IPM Tools to Eradicate Box Tree Moth Incursions in the U.S.</t>
  </si>
  <si>
    <t>A679077.109</t>
  </si>
  <si>
    <t>Erasmus Plus Ka103 2020</t>
  </si>
  <si>
    <t>A679077.110</t>
  </si>
  <si>
    <t>Erasmus Mundus SUNBEAM -  Structured UNiversity mobility between the Balkans and Europe for the Adriatic-ionian Macro-region</t>
  </si>
  <si>
    <t>A679077.111</t>
  </si>
  <si>
    <t>Projekt Horizon 2020-Nextgen Microfluidics    "Next generation test bed for upscaling of microfluidic devices based on nano-enabled surfaces and membranes"</t>
  </si>
  <si>
    <t>A679077.112</t>
  </si>
  <si>
    <t>SI4CARE-  Socijalne inovacije za integriranu zdravstvenu njegu starijeg stanovništva u ADRION regijama</t>
  </si>
  <si>
    <t>A679078.001</t>
  </si>
  <si>
    <t>CoSMass Projekt proučavanja razvoja rasta zvjezdane mase središnjih supermasivnih crnih rupa kroz kozmičko vrijeme</t>
  </si>
  <si>
    <t>A679078.002</t>
  </si>
  <si>
    <t>AeRoTwin - Twinning koordinacijska akcija za širenje izvrsnosti i sudjelovanja u zračnoj robotici</t>
  </si>
  <si>
    <t>A679078.003</t>
  </si>
  <si>
    <t>ENDORSE Efikasno brusenje  robotskim sustavom potpomognuto HORSE okruženjem</t>
  </si>
  <si>
    <t>A679078.010</t>
  </si>
  <si>
    <t>H2020  SAFE 10-T Razvoj sigurnosnog okvira za transportnu infrastrukturu</t>
  </si>
  <si>
    <t>A679078.011</t>
  </si>
  <si>
    <t>Regional Center Adria Umrežavanje dionika sektora mineralnih neenergetskih sirovina</t>
  </si>
  <si>
    <t>A679078.012</t>
  </si>
  <si>
    <t>HORIZON 2020 BBI - Razvijanje funkcionalnih molekula za biološke premaze</t>
  </si>
  <si>
    <t>A679078.013</t>
  </si>
  <si>
    <t>FITNESS Platforma za e-učenje svih aspekata pakiranja hrane</t>
  </si>
  <si>
    <t>A679078.014</t>
  </si>
  <si>
    <t>ASKFOOD Savez za vještine i znanje vezano za prehrambeni sektor</t>
  </si>
  <si>
    <t>A679078.015</t>
  </si>
  <si>
    <t>STRENGTH2FOOD  Istraživanje u cilju poboljšanja učinkovitosti programa EU o kvaliteti hrane</t>
  </si>
  <si>
    <t>A679078.016</t>
  </si>
  <si>
    <t>e-Škole A projekt - Uspostava sustava razvoja digitalno zrelih škola</t>
  </si>
  <si>
    <t>A679078.017</t>
  </si>
  <si>
    <t>IRI IDG - Razvoj inovativne platforme za digitalnu transformaciju poduzeća</t>
  </si>
  <si>
    <t>A679078.018</t>
  </si>
  <si>
    <t>IRI HYPER - Razvoj inovativne platforme za digitalnu transformaciju poduzeća</t>
  </si>
  <si>
    <t>A679078.020</t>
  </si>
  <si>
    <t>ABCitiEs Razvoj novih vrsta poduzetničkih zajednica koje stvaraju atraktivnije lokalno poslovno okruženje</t>
  </si>
  <si>
    <t>A679078.021</t>
  </si>
  <si>
    <t>ERASMUS+ Potpora za nastavno i nenastavno osoblje</t>
  </si>
  <si>
    <t>A679078.022</t>
  </si>
  <si>
    <t>Obzor 2020  CEF - Poticanje istraživanja Connecting Europe Facilites i Norveške zaklade za znanost</t>
  </si>
  <si>
    <t>A679078.023</t>
  </si>
  <si>
    <t>Europska noć istraživača</t>
  </si>
  <si>
    <t>A679078.024</t>
  </si>
  <si>
    <t>ERASMUS+ projekt mobilnosti i aktivnosti studenata kroz istraživanja u inozemstvu</t>
  </si>
  <si>
    <t>A679078.027</t>
  </si>
  <si>
    <t>OBZOR2020 MEET Kapitaliziranje iskorištavanja naprednih geotermalnih sustava i potencijala</t>
  </si>
  <si>
    <t>A679078.030</t>
  </si>
  <si>
    <t>TEchnology TRAnsfer putem višenacionalnih aplikacija eXperiments</t>
  </si>
  <si>
    <t>A679078.031</t>
  </si>
  <si>
    <t>Immersive Visual Technologies (IVT) Vizualne tehnologije za sigurnosne aplikacije</t>
  </si>
  <si>
    <t>A679078.034</t>
  </si>
  <si>
    <t>OBZOR 2020 PentaHelix Inovativna metoda u provedbi održivog razvoja i klime</t>
  </si>
  <si>
    <t>A679078.035</t>
  </si>
  <si>
    <t>OBZOR 2020 PROSEU  PROSumers FOR THE Energy Union: integriranje aktivnog sudjelovanja građana u tranziciju energije</t>
  </si>
  <si>
    <t>A679078.036</t>
  </si>
  <si>
    <t>OBZOR 2020 UPGRADE DH Unaprjeđenje performansi daljinskog grijanja u Europi</t>
  </si>
  <si>
    <t>A679078.037</t>
  </si>
  <si>
    <t>GoSAFE RAIL Globalni okvir upravljanja sigurnošću za željeznice</t>
  </si>
  <si>
    <t>A679078.038</t>
  </si>
  <si>
    <t>Dubrovnik International ESEE Mining school Škola rudarstva za istočnu i jugoistočnu Europu</t>
  </si>
  <si>
    <t>A679078.039</t>
  </si>
  <si>
    <t>InvestRM Multifaktorski model za ulaganja u sektor sirovina</t>
  </si>
  <si>
    <t>A679078.040</t>
  </si>
  <si>
    <t>rESEErve Mineralni potencijal istočne i jugoistočne Europe (ESEE produčje)</t>
  </si>
  <si>
    <t>A679078.041</t>
  </si>
  <si>
    <t>REEBAUX Potencijali ležišta boksita i boksitnih ostataka u istočnoj i jugoistočnoj Europi</t>
  </si>
  <si>
    <t>A679078.042</t>
  </si>
  <si>
    <t>MINERS -  Edukacijski program za spašavanje iz rudnika</t>
  </si>
  <si>
    <t>A679078.044</t>
  </si>
  <si>
    <t>EXERTER Mreža pan-europskih stručnjaka za sigurnost eksploziva</t>
  </si>
  <si>
    <t>A679078.045</t>
  </si>
  <si>
    <t>CRISS Demonstracija skalabilne i ekonomične infrastrukture za digitalno učenje temeljeno na oblaku</t>
  </si>
  <si>
    <t>A679078.048</t>
  </si>
  <si>
    <t>ERASMUS+  Razvijanje pismenosti i usvajanje jezika obrazovanja kod djece u nepovoljnom položaju (manjine, migranti i ostale skupine)</t>
  </si>
  <si>
    <t>A679078.049</t>
  </si>
  <si>
    <t>H2020 Uspostava Living Labs (životni laboratoriji) u urbanim područjima koja se suočavaju s izazovom postindustrijske regeneracije</t>
  </si>
  <si>
    <t>A679078.050</t>
  </si>
  <si>
    <t>H2020 DOIT Poduzetničke vještine mladih socijalnih inovatora u otvorenom digitalnom svijetu</t>
  </si>
  <si>
    <t>A679078.052</t>
  </si>
  <si>
    <t>Digital Traceablity Chain for AC Voltage and Current omogućit će dinamičko mjerenje strujnih i naponskih valnih oblika</t>
  </si>
  <si>
    <t>A679078.060</t>
  </si>
  <si>
    <t>H2020 - NMBP ENCORE - BIM platforma u oblaku za energetski učinkovito i cjenovno efikasno renoviranje zgrada</t>
  </si>
  <si>
    <t>A679078.061</t>
  </si>
  <si>
    <t>H2020 - SGA EPI SGA1 - Inicijativa za Europski procesor</t>
  </si>
  <si>
    <t>A679078.062</t>
  </si>
  <si>
    <t>H2020 –WIDESPREAD –Twinning koordinacijska akcija u području otvorenih podataka</t>
  </si>
  <si>
    <t>A679078.064</t>
  </si>
  <si>
    <t>STRONG - 2020</t>
  </si>
  <si>
    <t>A679078.065</t>
  </si>
  <si>
    <t>H2020 Inovativni trening za metode u budućnosti (IMforFuture)</t>
  </si>
  <si>
    <t>A679078.066</t>
  </si>
  <si>
    <t>H2020 Pristup sistemske medicine za kronični infl.dis. (SYSCID)</t>
  </si>
  <si>
    <t>A679078.067</t>
  </si>
  <si>
    <t>H2020 Usporedna genomika beskralježnjaka koji nisu modelirani (IGNITE)</t>
  </si>
  <si>
    <t>A679078.068</t>
  </si>
  <si>
    <t>ERASMUS+ K2  KAAT Savez znanja u zračnom prometu</t>
  </si>
  <si>
    <t>A679078.069</t>
  </si>
  <si>
    <t>RADAR (Procjena rizika na cestama područja Dunava)</t>
  </si>
  <si>
    <t>A679078.070</t>
  </si>
  <si>
    <t>ERASMUS+  LOG-IN</t>
  </si>
  <si>
    <t>A679078.071</t>
  </si>
  <si>
    <t>ATCOSIMA</t>
  </si>
  <si>
    <t>A679078.072</t>
  </si>
  <si>
    <t>OBZOR 2020 CEN CE - Certificirani stručnjaci za CEN standard- Shema kvalifikacija i osposobljavanja za cijelu EU zasnovanu na CEN standardima s EPBD</t>
  </si>
  <si>
    <t>A679078.073</t>
  </si>
  <si>
    <t>OBZOR 2020 KeepWarm - Poboljšanje performansi sustava daljinskog grijanja u srednjoj i istočnoj Europi</t>
  </si>
  <si>
    <t>A679078.074</t>
  </si>
  <si>
    <t>OBZOR 2020 INEX ADAM - veća izvrsnost u proizvodnji naprednih aditiva</t>
  </si>
  <si>
    <t>A679078.075</t>
  </si>
  <si>
    <t>OBZOR 2020 QUIET - Kvalificiranje i primjena korisničkog dizajniranog i EfficienT električnog vozila</t>
  </si>
  <si>
    <t>A679078.076</t>
  </si>
  <si>
    <t>OBZOR 2020 INSULAE - Maksimiziranje utjecaja inovativnih energetskih pristupa na otocima EU-a</t>
  </si>
  <si>
    <t>A679078.077</t>
  </si>
  <si>
    <t>OBZOR 2020 NOWELTIES - Zajednički doktorski laboratorij za nove materijale i inovativne tehnologije pročišćavanja vode</t>
  </si>
  <si>
    <t>A679078.078</t>
  </si>
  <si>
    <t>ERASMUS+ CASPROD -Prijestolnice razvoja pametnih proizvoda</t>
  </si>
  <si>
    <t>A679078.079</t>
  </si>
  <si>
    <t>ERASMUS+ TRAILs LSP Ljetna škola za učitelje</t>
  </si>
  <si>
    <t>A679078.080</t>
  </si>
  <si>
    <t>EMPIR ADVANCT - Računalna tomografija AdvancE za dimenzionalna mjerenja površina u industriji</t>
  </si>
  <si>
    <t>A679078.081</t>
  </si>
  <si>
    <t>NET-UBIEP</t>
  </si>
  <si>
    <t>A679078.082</t>
  </si>
  <si>
    <t>BIMzeED</t>
  </si>
  <si>
    <t>A679078.083</t>
  </si>
  <si>
    <t>HORIZON 2020 SOLARNET</t>
  </si>
  <si>
    <t>A679078.084</t>
  </si>
  <si>
    <t>HORIZON 2020 PRE-EST</t>
  </si>
  <si>
    <t>A679078.085</t>
  </si>
  <si>
    <t>INTERREG CHANGE WE CARE ITALIJA-HRVATSKA</t>
  </si>
  <si>
    <t>OBZOR 2020 Alliance4life, Savez za nauke o životu: Završne podjele u istraživanju i inovacijama u Europskoj uniji</t>
  </si>
  <si>
    <t>OBZOR 2020-OSTEOproSPINE - Novostenski lijek za regeneraciju kostiju</t>
  </si>
  <si>
    <t>A679078.088</t>
  </si>
  <si>
    <t>Erasmus+ KA2 CBHE - ODISsEA - Inovativne strategije darivanja organa za jugoistočnu Aziju</t>
  </si>
  <si>
    <t>A679078.089</t>
  </si>
  <si>
    <t>OBZOR 2020 FAPIC - Brzi test za identifikaciju i karakterizaciju patogena</t>
  </si>
  <si>
    <t>A679078.090</t>
  </si>
  <si>
    <t>OBZOR 2020 - Biochip BIO inženjerski grafti za liječenje hrskavice u pacijenata</t>
  </si>
  <si>
    <t>A679078.091</t>
  </si>
  <si>
    <t>ERASMUS+ HEDU -LEARN-IT Harmonizirani europski dermato-venerološki dodiplomski</t>
  </si>
  <si>
    <t>A679078.092</t>
  </si>
  <si>
    <t>GLOBAL INITIATIVE</t>
  </si>
  <si>
    <t>A679078.093</t>
  </si>
  <si>
    <t>CEPIL</t>
  </si>
  <si>
    <t>A679078.094</t>
  </si>
  <si>
    <t>CROSSJUSTICE</t>
  </si>
  <si>
    <t>A679078.095</t>
  </si>
  <si>
    <t>CLEOPATRA - Otvorena jezična akademija Open Analytics orijentirana na događaj</t>
  </si>
  <si>
    <t>A679078.096</t>
  </si>
  <si>
    <t>ERASMUS + ASD-EAST</t>
  </si>
  <si>
    <t>A679078.097</t>
  </si>
  <si>
    <t>ASAP Training</t>
  </si>
  <si>
    <t>A679078.098</t>
  </si>
  <si>
    <t>IA_CHILD</t>
  </si>
  <si>
    <t>A679078.099</t>
  </si>
  <si>
    <t>OBZOR 2020-ISTRAŽIVANJE I INOVACIJE - H2020-MCCA-ITN-2017-EJD: 785423 MANNA</t>
  </si>
  <si>
    <t>A679078.100</t>
  </si>
  <si>
    <t>LIFE 16 NAT/SI/000634 PROJECT LIFE LYNX</t>
  </si>
  <si>
    <t>A679078.101</t>
  </si>
  <si>
    <t>EKHAGA</t>
  </si>
  <si>
    <t>A679078.102</t>
  </si>
  <si>
    <t>INTERREG CARNIVORA DINARICA - Prekogranična suradnja za dugoroočno očuvanje velikih zvijeri</t>
  </si>
  <si>
    <t>A679078.103</t>
  </si>
  <si>
    <t>TrainESSE v.2</t>
  </si>
  <si>
    <t>A679078.104</t>
  </si>
  <si>
    <t>MineHeritage</t>
  </si>
  <si>
    <t>A679078.105</t>
  </si>
  <si>
    <t>iTARG3T.Innovative targeting procesing of W-Sn-Ta-Li ores</t>
  </si>
  <si>
    <t>A679078.106</t>
  </si>
  <si>
    <t>ENGIE.Poticanje djevojčica da studiraju geoznanosti i inženjerstvo</t>
  </si>
  <si>
    <t>A679078.107</t>
  </si>
  <si>
    <t>STRATEGY CCUS</t>
  </si>
  <si>
    <t>A679078.108</t>
  </si>
  <si>
    <t>AMED</t>
  </si>
  <si>
    <t>A679078.109</t>
  </si>
  <si>
    <t>ERASMUS+ EDUBOTS,E-DIGILIT,KEEP IN P.</t>
  </si>
  <si>
    <t>A679078.111</t>
  </si>
  <si>
    <t>EIT HEALTH - Local activities in Regional Innovation Scheme regions</t>
  </si>
  <si>
    <t>A679078.112</t>
  </si>
  <si>
    <t>EKO SANDWICH</t>
  </si>
  <si>
    <t>A679078.113</t>
  </si>
  <si>
    <t>CROSKILLS</t>
  </si>
  <si>
    <t>A679078.114</t>
  </si>
  <si>
    <t>BRIDGE SMS</t>
  </si>
  <si>
    <t>A679078.115</t>
  </si>
  <si>
    <t>ANAGENNISI</t>
  </si>
  <si>
    <t>A679078.116</t>
  </si>
  <si>
    <t>HORIZON 2020 FIT-TO-Nzeb</t>
  </si>
  <si>
    <t>A679078.117</t>
  </si>
  <si>
    <t>AMIGA</t>
  </si>
  <si>
    <t>A679078.118</t>
  </si>
  <si>
    <t>H 2020 RISE OpenInnoTrain</t>
  </si>
  <si>
    <t>A679078.119</t>
  </si>
  <si>
    <t>A Game-Changing Year:  Czechoslovakia in 1968 and Europe</t>
  </si>
  <si>
    <t>A679078.120</t>
  </si>
  <si>
    <t>FOCUS -Prisilna raseljavanja i solidarnost zajednice domaćina prema izbjeglica</t>
  </si>
  <si>
    <t>A679078.122</t>
  </si>
  <si>
    <t>SMART</t>
  </si>
  <si>
    <t>A679078.124</t>
  </si>
  <si>
    <t>H2020-SC1-2016-2017-RIA PROJECT OSTEOPROSPINE</t>
  </si>
  <si>
    <t>A679078.125</t>
  </si>
  <si>
    <t>ERASMUS+ PROGRAM PROJECT SOFTVETS 2018-1-HR01-KA203-047494</t>
  </si>
  <si>
    <t>A679078.126</t>
  </si>
  <si>
    <t>e-Škole B</t>
  </si>
  <si>
    <t>A679078.127</t>
  </si>
  <si>
    <t>EDU4GAMES - HKO</t>
  </si>
  <si>
    <t>A679078.129</t>
  </si>
  <si>
    <t>OBZOR 2020 - TO DO</t>
  </si>
  <si>
    <t>A679078.130</t>
  </si>
  <si>
    <t>ERASMUS + 2020-HR01-KA103</t>
  </si>
  <si>
    <t>A679078.131</t>
  </si>
  <si>
    <t>EFRR - IRI Agrivi Smart - Agrivi Smart</t>
  </si>
  <si>
    <t>A679078.132</t>
  </si>
  <si>
    <t>EFRR - IRI ARIEN - Upravljanje energetskom infrastrukturom kroz kolaboraciju u proširenoj stvarnosti</t>
  </si>
  <si>
    <t>A679078.133</t>
  </si>
  <si>
    <t>EFRR - IRI bigEVdata - IT rješenje analitike velikih skupova podataka emobilnosti</t>
  </si>
  <si>
    <t>A679078.134</t>
  </si>
  <si>
    <t>EFRR - IRI CCS - Cyber Conflict Simulator</t>
  </si>
  <si>
    <t>A679078.135</t>
  </si>
  <si>
    <t>EFRR - IRI CloudSec - Sigurnost računarstva u oblaku prilikom korištenja mobilnih aplikacija</t>
  </si>
  <si>
    <t>A679078.136</t>
  </si>
  <si>
    <t>EFRR - IRI ComEnergy - Poboljšanje efikasnosti prerađivačke industrije kroz istraživanje i razvoj inovativnih ICT usluga</t>
  </si>
  <si>
    <t>A679078.137</t>
  </si>
  <si>
    <t>EFRR - IRI DFDM - Istraživanje i razvoj sustava za prepoznavanje umora i distrakcije vozača</t>
  </si>
  <si>
    <t>A679078.138</t>
  </si>
  <si>
    <t>EFRR - IRI EKORAS24 - Ekološki prihvatljiva rastavna sklopka 24 kV za napredne mreže</t>
  </si>
  <si>
    <t>A679078.139</t>
  </si>
  <si>
    <t>EFRR - IRI HSG - Helm Smart Grid</t>
  </si>
  <si>
    <t>A679078.140</t>
  </si>
  <si>
    <t>EFRR - IRI KONPRO 2 - Konpro 2 - Razvoj nove generacije uređaja numeričke zaštite</t>
  </si>
  <si>
    <t>A679078.141</t>
  </si>
  <si>
    <t>EFRR - IRI KONTRAC - KONTRAC GP170DC_SK - Razvoj pretvarača glavnog pogona tramvaja sa superkondenzatorskim modulom</t>
  </si>
  <si>
    <t>A679078.142</t>
  </si>
  <si>
    <t>EFRR - IRI Mareton - Razvoj nove generacije sustava neprekidnog napajanja</t>
  </si>
  <si>
    <t>A679078.143</t>
  </si>
  <si>
    <t>EFRR - IRI MAS - Razvoj multifunkcionalnog antiterorističkog sustava (MAS)</t>
  </si>
  <si>
    <t>A679078.144</t>
  </si>
  <si>
    <t>EFRR - IRI Omega GS - Razvoj  LED rasvjete</t>
  </si>
  <si>
    <t>A679078.145</t>
  </si>
  <si>
    <t>EFRR - IRI OperOSS - Istraživanje i razvoj naprednog sustava za upravljanje pametnim elektroenergetskim i komunikacijskim mrežama</t>
  </si>
  <si>
    <t>A679078.146</t>
  </si>
  <si>
    <t>EFRR - IRI PC-ATE-Buildings - Razvoj sustava upravljanja i trgovanja energijom u zgradi</t>
  </si>
  <si>
    <t>A679078.147</t>
  </si>
  <si>
    <t>EFRR - IRI SafeTRAM - SafeTRAM - Sustav za povećanje sigurnosti vožnje tračničkog prometa</t>
  </si>
  <si>
    <t>A679078.148</t>
  </si>
  <si>
    <t>EFRR - IRI SMART UTX - SMART UTX:  Sustav za ultrazvučnu dijagnostiku u ekstremnim uvjetima</t>
  </si>
  <si>
    <t>A679078.149</t>
  </si>
  <si>
    <t>RURASL Rural 3.0: Uslužno učenje za ruralni razvoj</t>
  </si>
  <si>
    <t>A679078.150</t>
  </si>
  <si>
    <t>IRCiS Integracija djece izbjeglica u škole: izgradnja pozitivnih odnosa između djece izbjeglica i djece lokalnog stanovništva</t>
  </si>
  <si>
    <t>A679078.151</t>
  </si>
  <si>
    <t>CEKOM Centar kompetencija u molekularnoj dijagnostici</t>
  </si>
  <si>
    <t>A679078.152</t>
  </si>
  <si>
    <t>POP-UP</t>
  </si>
  <si>
    <t>A679078.153</t>
  </si>
  <si>
    <t>EFRR - IRI RASCO-FER-SMART-EV - Kompaktna gradska vakuumska čistilica</t>
  </si>
  <si>
    <t>A679078.155</t>
  </si>
  <si>
    <t>CEKOM-Centar kompetencija za digitalnu transformaciju prehrambene industrije na ruralnim područjima</t>
  </si>
  <si>
    <t>A679078.156</t>
  </si>
  <si>
    <t>STEM revolucija u zajednici</t>
  </si>
  <si>
    <t>A679078.157</t>
  </si>
  <si>
    <t>ORKAN-Okvir za kontrolu i nadzor bespilotnih letjelica-HRZZ</t>
  </si>
  <si>
    <t>A679078.158</t>
  </si>
  <si>
    <t>ERASMUS+Higher education-International Capacity Building</t>
  </si>
  <si>
    <t>A679078.159</t>
  </si>
  <si>
    <t>Erasmus+AAMSIAQ</t>
  </si>
  <si>
    <t>A679078.163</t>
  </si>
  <si>
    <t>ERASMUS+projekt FitBack</t>
  </si>
  <si>
    <t>A679078.186</t>
  </si>
  <si>
    <t>IRI CEKOM</t>
  </si>
  <si>
    <t>A679078.187</t>
  </si>
  <si>
    <t>ORKAN</t>
  </si>
  <si>
    <t>A679078.188</t>
  </si>
  <si>
    <t>ERASMUS + EDUBOTS</t>
  </si>
  <si>
    <t>A679078.189</t>
  </si>
  <si>
    <t>ERASMUS + E-DigiLit</t>
  </si>
  <si>
    <t>A679078.190</t>
  </si>
  <si>
    <t>ERASMUS +</t>
  </si>
  <si>
    <t>A679078.191</t>
  </si>
  <si>
    <t>RAST</t>
  </si>
  <si>
    <t>A679078.192</t>
  </si>
  <si>
    <t>LOMI</t>
  </si>
  <si>
    <t>A679078.193</t>
  </si>
  <si>
    <t>IC4HEDS</t>
  </si>
  <si>
    <t>A679078.194</t>
  </si>
  <si>
    <t>Hibridne metoda umjetne inteligencije za računalne igre</t>
  </si>
  <si>
    <t>A679078.195</t>
  </si>
  <si>
    <t>ERASMUS + TEACH4EDU4</t>
  </si>
  <si>
    <t>A679078.196</t>
  </si>
  <si>
    <t>ERASMUS + Vrijeme</t>
  </si>
  <si>
    <t>A679078.197</t>
  </si>
  <si>
    <t>ERASMUS+ WeRln - Žene poduzetetnice u regionalnim uključivim ekosustavima</t>
  </si>
  <si>
    <t>A679078.198</t>
  </si>
  <si>
    <t>LIFE 18 NAT/HR/00847- Dinara povratak životu</t>
  </si>
  <si>
    <t>A679078.199</t>
  </si>
  <si>
    <t>H2020-Swafs</t>
  </si>
  <si>
    <t>A679078.200</t>
  </si>
  <si>
    <t>H2020- upravljanje poljoprivrednom hranom</t>
  </si>
  <si>
    <t>A679078.201</t>
  </si>
  <si>
    <t>Arhitektonski zagrobni život: Višesektorski utjecaj arhitektonske kvalifikacije</t>
  </si>
  <si>
    <t>A679078.202</t>
  </si>
  <si>
    <t>Zdravo urbano okruženje: Razvoj višeg obrazovanja iz arhitekture i građevine u Bosni i Hercegovini</t>
  </si>
  <si>
    <t>A679078.203</t>
  </si>
  <si>
    <t>Centar pametnih urbanih i ruralnih prostora - Inovativna urbanistička i arhitektonska rješenja za povećanje energetske učinkovitosti u tradicijskim i zaštičenim cjelinama</t>
  </si>
  <si>
    <t>A679078.204</t>
  </si>
  <si>
    <t>Razvoj dvostruke fasade s hermetički zatvorenom šupljinom (H-CCF)</t>
  </si>
  <si>
    <t>A679078.205</t>
  </si>
  <si>
    <t>MARDS - Reforma doktorskog studija u Crnoj Gori i Albaniji</t>
  </si>
  <si>
    <t>A679078.206</t>
  </si>
  <si>
    <t>ERASMUS+KA2 Startup obrazovanje i podrška studentima doktorskih studija, istraživačima i znanstvenicima</t>
  </si>
  <si>
    <t>A679078.207</t>
  </si>
  <si>
    <t>ERASMUS+KA2 - Strateška partnerstva Geo3N</t>
  </si>
  <si>
    <t>A679078.208</t>
  </si>
  <si>
    <t>ERASMUS+KA2 - Strateška partnerstva SmartSoc</t>
  </si>
  <si>
    <t>A679078.209</t>
  </si>
  <si>
    <t>ERASMUS+KA2 - Strateška partnerstva ASKNOW</t>
  </si>
  <si>
    <t>A679078.210</t>
  </si>
  <si>
    <t>ERASMUS+KA2 - Strateška partnerstva INNOSID</t>
  </si>
  <si>
    <t>A679078.211</t>
  </si>
  <si>
    <t>ERASMUS+KA2 - Strateška partnerstva IMPACT - Inteligentni Pomorski Sustavi - put prema održivom obrazovanju, znanju i osnaživanju</t>
  </si>
  <si>
    <t>A679078.212</t>
  </si>
  <si>
    <t>ERASMUS + KA2 - Strateška partnerstva RoboGirls Osnaživanje djevojaka u STEAM-u kroz robotiku i kodiranje</t>
  </si>
  <si>
    <t>A679078.213</t>
  </si>
  <si>
    <t>H2020-WIDESPREAD-2018-2020  Katedra za umjetnu inteligenciju za robotiku</t>
  </si>
  <si>
    <t>A679078.214</t>
  </si>
  <si>
    <t>H2020 - ICT AERIAL-CORE - Kognitivni integrirani višenamjenski robotski sustav s proširenim opsegom rada i sigurnošću</t>
  </si>
  <si>
    <t>A679078.215</t>
  </si>
  <si>
    <t>H2020 - NMBP - ENCORE - BIM Cloud platforma svjesna energije, u ekonomičnom kontekstu renoviranja zgrada</t>
  </si>
  <si>
    <t>A679078.216</t>
  </si>
  <si>
    <t>H2020 - JTI-EuroHPC - MEEP - Eksperimentalna platforma</t>
  </si>
  <si>
    <t>A679078.217</t>
  </si>
  <si>
    <t>H2020 - LC-SC3 FLEXIGRID - Interoperabilna rješenja za holističku implementaciju usluga fleksibilnosti u distribucijskoj mreži</t>
  </si>
  <si>
    <t>A679078.218</t>
  </si>
  <si>
    <t>H2020 - SC5 REWAISE Elastična inovacija vode za pametnu ekonomiju</t>
  </si>
  <si>
    <t>A679078.219</t>
  </si>
  <si>
    <t>A679078.220</t>
  </si>
  <si>
    <t>H2020 – WIDESPREAD – Twinning AeRoTwin - Twinning koordinacijska akcija za širenje izvrsnosti i sudjelovanja u zračnoj robotici – AeRoTwin</t>
  </si>
  <si>
    <t>A679078.221</t>
  </si>
  <si>
    <t>H2020 - LCE - SGS CROSSBOW - CROSS BOARD Upravljanje promjenjivim obnovljivim izvorima energije i jedinicama za skladištenje omogućujući transnacionalno veletržnicu</t>
  </si>
  <si>
    <t>A679078.223</t>
  </si>
  <si>
    <t>H2020 - LC-SC3 FARCROSS Omogućavanje regionalne trgovine/razmjene električne energije kroz inovacije</t>
  </si>
  <si>
    <t>A679078.224</t>
  </si>
  <si>
    <t>ANETREC (611487-EPP-1-2019-1-SI-EPPJMO-NETWORK)</t>
  </si>
  <si>
    <t>A679078.225</t>
  </si>
  <si>
    <t>DEBATING EUROPE (620428-EPP-1-2020-1-DE-EPPJMO-NETWORK)</t>
  </si>
  <si>
    <t>A679078.226</t>
  </si>
  <si>
    <t>MEDIADELCOM</t>
  </si>
  <si>
    <t>A679078.227</t>
  </si>
  <si>
    <t>SESAR AISA - automatizaciju u upravljanju zračnim prometom</t>
  </si>
  <si>
    <t>A679078.228</t>
  </si>
  <si>
    <t>SESAR FMP MET - sektorska aplikacija s konvektivnim vremenskim informacijama za više izvora za položaj upravljanja protokom</t>
  </si>
  <si>
    <t>A679078.229</t>
  </si>
  <si>
    <t>SumBoost 2020 RIS Inovacija</t>
  </si>
  <si>
    <t>A679078.230</t>
  </si>
  <si>
    <t>MetForTC - Sljedive mjerne mogućnosti za praćenje rada termoparova</t>
  </si>
  <si>
    <t>A679078.231</t>
  </si>
  <si>
    <t>SEADRION - Poticanje širenja tehnologija grijanja i hlađenja pomoću pumpe morske vode u jadransko-jonskoj regiji</t>
  </si>
  <si>
    <t>A679078.232</t>
  </si>
  <si>
    <t>BLUE DEAL -  plava energija u mediteranskim obalnim područjima</t>
  </si>
  <si>
    <t>A679078.233</t>
  </si>
  <si>
    <t>REWARDHEAT- Uporaba topline iz obnovljivih izvora i otpada za konkurentne mreže daljinskog grijanja i hlađenja</t>
  </si>
  <si>
    <t>A679078.234</t>
  </si>
  <si>
    <t>SEEETD-Dijalog o tranziciji energije u jugoistočnoj Europi</t>
  </si>
  <si>
    <t>A679078.235</t>
  </si>
  <si>
    <t>SEAVIEWS- Sektorski prilagodljivi virtualni sustav ranog upozoravanja na zagađenje mora</t>
  </si>
  <si>
    <t>A679078.236</t>
  </si>
  <si>
    <t>ProbeTrace - Sljedivost za mjerenje kontaktnih sondi i olovnih instrumenata</t>
  </si>
  <si>
    <t>A679078.237</t>
  </si>
  <si>
    <t>Osiguranje električne energije u slučaju klimatskih ekstrema i prirodnih katastrofa</t>
  </si>
  <si>
    <t>A679078.238</t>
  </si>
  <si>
    <t>NRLE - Nacionalni referentni laboratorij za emisije iz motora s unutarnjim izgaranjem za necestovne pokretne strojeve</t>
  </si>
  <si>
    <t>A679078.239</t>
  </si>
  <si>
    <t>Regionalni centar kompetentnosti u strukovnom obrazovanju u strojarstvu-Industrija 4.0</t>
  </si>
  <si>
    <t>A679078.240</t>
  </si>
  <si>
    <t>ARS MECHANICA za nove kompetencije</t>
  </si>
  <si>
    <t>A679078.241</t>
  </si>
  <si>
    <t>RCK Ruđera Boškovića</t>
  </si>
  <si>
    <t>A679078.242</t>
  </si>
  <si>
    <t>ELPID - platforma za e-učenje za inovativni razvoj proizvoda</t>
  </si>
  <si>
    <t>A679078.243</t>
  </si>
  <si>
    <t>OPORTO -Optimizacija održavanja sustava antikorozivne zaštite i zaštite protiv obraštanja ribarskih brodova</t>
  </si>
  <si>
    <t>A679078.244</t>
  </si>
  <si>
    <t>MORZ - Mreža organizacija ribara i znanstvenika</t>
  </si>
  <si>
    <t>A679078.245</t>
  </si>
  <si>
    <t>IN AQUA - Integracija visokog stupnja obnovljivih izvora energije u akvakulturna uzgajališta</t>
  </si>
  <si>
    <t>A679078.246</t>
  </si>
  <si>
    <t>APROPO- Autonomno Pomoćno RibarskO PlovilO</t>
  </si>
  <si>
    <t>A679078.247</t>
  </si>
  <si>
    <t>DATACROSS -Napredne metode i tehnologije u znanosti o podatcima i kooperativnim sustavima</t>
  </si>
  <si>
    <t>A679078.248</t>
  </si>
  <si>
    <t>Edukacijom o strukturnim i investicijskim fondovima do inovacija u poduzetništvu</t>
  </si>
  <si>
    <t>A679078.249</t>
  </si>
  <si>
    <t>ASAP-Autonomni sustav za pregled i predviđanje integriteta prometne infrastrukture</t>
  </si>
  <si>
    <t>A679078.250</t>
  </si>
  <si>
    <t>LoMI- internacionalizacijom preskačemo granice</t>
  </si>
  <si>
    <t>A679078.251</t>
  </si>
  <si>
    <t>Istraživanje i razvoj specijaliziranih multirotornih bespilotnih letjelica SPECDRON</t>
  </si>
  <si>
    <t>A679078.252</t>
  </si>
  <si>
    <t>Razvoj hibridnog skidera - HISKID</t>
  </si>
  <si>
    <t>A679078.253</t>
  </si>
  <si>
    <t>Primjena Hrvatskog kvalifikacijskog okvira u području biomedicinskog inženjerstva - HKO-BI</t>
  </si>
  <si>
    <t>A679078.254</t>
  </si>
  <si>
    <t>A679078.256</t>
  </si>
  <si>
    <t>FOKUS - Prisilno raseljavanje i solidarnost zajednice domaćina izbjeglica</t>
  </si>
  <si>
    <t>A679078.257</t>
  </si>
  <si>
    <t>CLEOPATRA - Višejezična istraživačka akademija Open Analytics usmjerena na događaje</t>
  </si>
  <si>
    <t>A679078.258</t>
  </si>
  <si>
    <t>IRCiS Integriranje izbjegličke djece u škole: mješovita studija o učinkovitosti kontakt-u-škole za izgradnju pozitivnih međugrupnih odnosa između djece izbjeglica i domaćina</t>
  </si>
  <si>
    <t>A679078.259</t>
  </si>
  <si>
    <t>HILAR</t>
  </si>
  <si>
    <t>A679078.260</t>
  </si>
  <si>
    <t>DuRSAAM</t>
  </si>
  <si>
    <t>A679078.261</t>
  </si>
  <si>
    <t>ERASMUS PLUS CSETIR</t>
  </si>
  <si>
    <t>A679078.262</t>
  </si>
  <si>
    <t>OVERFLOW  EU mehanizmi civilne zaštite</t>
  </si>
  <si>
    <t>A679078.263</t>
  </si>
  <si>
    <t>TRANSBOT -H2020</t>
  </si>
  <si>
    <t>A679078.264</t>
  </si>
  <si>
    <t>Potrošački angažman u obnovi zgrada i obnovi za klimatske akcije na terenu</t>
  </si>
  <si>
    <t>A679078.265</t>
  </si>
  <si>
    <t>BUS - GoCircular-H2020</t>
  </si>
  <si>
    <t>A679078.266</t>
  </si>
  <si>
    <t>BUILDUP -SKILLSBANK-H2020</t>
  </si>
  <si>
    <t>A679078.267</t>
  </si>
  <si>
    <t>OBZOR 2020 Znanost i tehnologija u politici pretilosti djece- STOP</t>
  </si>
  <si>
    <t>A679078.268</t>
  </si>
  <si>
    <t>WE-CARE Projekt: Uspostavljanjem nacionalne skrbi i razvojnim centrima podržavamo elitne sportaše u uravnoteženju rezultata sporta i obrazovanja / zapošljavanja</t>
  </si>
  <si>
    <t>A679078.269</t>
  </si>
  <si>
    <t>Projekt: Stvaranje mehanizama za kontinuiranu provedba sportskog kluba za zdravlje u Europskoj uniji</t>
  </si>
  <si>
    <t>Erasmus + EPL Europska licenca za propisivanje</t>
  </si>
  <si>
    <t>Obzor 2020 LiverScreen - Probir na fibrozu jetre - populacijsko istraživanje u europskim zemljama</t>
  </si>
  <si>
    <t>A679078.272</t>
  </si>
  <si>
    <t>A679078.273</t>
  </si>
  <si>
    <t>HKO projekt Promjena hrvatskog kvalifikacijskog okvira u području biomedicinskog inženjerstva HKO-BI</t>
  </si>
  <si>
    <t>A679078.274</t>
  </si>
  <si>
    <t>A679078.275</t>
  </si>
  <si>
    <t>Razvoj sustava za ispitivanje višefaznih strujanja i izgaranja s ciljem povećanja istraživačkih aktivnosti znanstvenog i poslovnog sektora</t>
  </si>
  <si>
    <t>A679078.276</t>
  </si>
  <si>
    <t>TODO-HORIZON 2020.</t>
  </si>
  <si>
    <t>A679078.280</t>
  </si>
  <si>
    <t>ANEUPLOIDIJA - Molekularno podrijetlo aneuploidija u zdravih i bolesnih ljudskih tkiva</t>
  </si>
  <si>
    <t>A679078.281</t>
  </si>
  <si>
    <t>ERASMUS+  KA2 TIME</t>
  </si>
  <si>
    <t>A679078.282</t>
  </si>
  <si>
    <t>MEMORIE Mjere prilagodbe klimatskim promjenama za održivo upravljanje prirodnim resursima</t>
  </si>
  <si>
    <t>A679078.283</t>
  </si>
  <si>
    <t>IRI- IMforFUTURE - aktivnosti istraživanja i razvoja</t>
  </si>
  <si>
    <t>A679078.284</t>
  </si>
  <si>
    <t>RESTORE - Procjena ostataka crvenog blata u regiji</t>
  </si>
  <si>
    <t>A679078.285</t>
  </si>
  <si>
    <t>MARILIA - testovi za detekciju patogena u uzorcima vode</t>
  </si>
  <si>
    <t>A679078.286</t>
  </si>
  <si>
    <t>The ONE - mehanizam sparivanja i stvaranja bozonskih kvazičestica</t>
  </si>
  <si>
    <t>A679078.287</t>
  </si>
  <si>
    <t>CroViZone - Prilagodba vinogradarskih zona RH klimatskim promjenama</t>
  </si>
  <si>
    <t>A679078.288</t>
  </si>
  <si>
    <t>ECOBIAS -  ekološko praćenje i procjenu vodenih bioloških ustanova</t>
  </si>
  <si>
    <t>A679078.289</t>
  </si>
  <si>
    <t>IRI- REMAKE - Razvoj efikasne metodologije za analizu konstrukcije plovnih objekata metodom konačnih elemenata</t>
  </si>
  <si>
    <t>A679078.290</t>
  </si>
  <si>
    <t>KLIMOD - Računalni model strujanja, poplavljivanja i širenja onečišćenja u rijekama i obalnim morskim područjima</t>
  </si>
  <si>
    <t>A679078.291</t>
  </si>
  <si>
    <t>ERASMUS + KA2 PROMISE - Obrazovanje zasnovano na upitima za personaliziranu medicinu</t>
  </si>
  <si>
    <t>A679078.292</t>
  </si>
  <si>
    <t>MOBI-US - Prijevod programa na engleski za suradnju s drugim fakultetima u Europi s istim programima</t>
  </si>
  <si>
    <t>A679078.293</t>
  </si>
  <si>
    <t>RM@Schools-ESEE - Povezivanje obrazovnih ustanova u ESEE regiji s industrijom</t>
  </si>
  <si>
    <t>A679078.294</t>
  </si>
  <si>
    <t>RIS obrazovanje i poduzetništvo</t>
  </si>
  <si>
    <t>A679078.295</t>
  </si>
  <si>
    <t>PRI-MJER</t>
  </si>
  <si>
    <t>A679078.296</t>
  </si>
  <si>
    <t>ERASMUS+ CCC4ECEC - Kompetencija za obrazovanje i njegu u ranom djetinjstvu usmjerena na dijete</t>
  </si>
  <si>
    <t>A679078.297</t>
  </si>
  <si>
    <t>UNICEF - Poboljšanje inkluzivnosti početnog obrazovanja učitelja za obrazovanje i njegu u ranom djetinjstvu</t>
  </si>
  <si>
    <t>A679078.298</t>
  </si>
  <si>
    <t>Dijagnostički značaj kalprotektina u ranom prepoznavanju upalnih stanja</t>
  </si>
  <si>
    <t>A679078.299</t>
  </si>
  <si>
    <t>Potencijal mikroinkapsulacije u proizvodnji sireva</t>
  </si>
  <si>
    <t>A679078.300</t>
  </si>
  <si>
    <t>Erasmus + dijalog u obrazovanju odraslih (DIA)</t>
  </si>
  <si>
    <t>A679078.301</t>
  </si>
  <si>
    <t>INTERREG Central Europe Store4HUC- Integracija i napredno gospodarenje sustavima za pohranu energije na povijesnim lokalitetima u gradovima</t>
  </si>
  <si>
    <t>A679078.302</t>
  </si>
  <si>
    <t>EERR-IRI-II RI2MOFA - Razvoj inteligentne interaktivne modularne fasade</t>
  </si>
  <si>
    <t>A679078.303</t>
  </si>
  <si>
    <t>INTERREG-DUNAV DanuP-2-Gas-DanuP-2-Gas: Inovativni model za potporu sigurnosti i diversifikaciju u dunavskoj regiji kombiniranjem energije iz biomase s viskovima obnovljive energije</t>
  </si>
  <si>
    <t>A679078.304</t>
  </si>
  <si>
    <t>INTERREG-IT-HR InnovaMare- Plava tehnologija - razvijanje inovativnih tehnologija za održivosti Jadranskog mora</t>
  </si>
  <si>
    <t>A679078.305</t>
  </si>
  <si>
    <t>EFRR-IR-II AACES- Odlučivanje u upravljanju elektroenergetskim sustavom u uvjetima nesigurnosti uvjetovanih klimatskim promjenama - AACES</t>
  </si>
  <si>
    <t>A679078.306</t>
  </si>
  <si>
    <t>EFRR - Klimatske promjene AgroSPARC- Napredna i prediktivna poljoprivreda za otpornost klimatskim promjenama</t>
  </si>
  <si>
    <t>A679078.307</t>
  </si>
  <si>
    <t>EFRR-IR-II Al Defender- Sustav umjetne inteligencije za automatski nadzor i upravljanje sigurnosti cloud okruženja - AL DEFENDER</t>
  </si>
  <si>
    <t>A679078.308</t>
  </si>
  <si>
    <t>EFRR-IR-II AIPD2- Digitalna platforma za zaštitu privatnosti i sprječavanje zloupotreba životnim ciklusom osobnih podataka- AIPD3</t>
  </si>
  <si>
    <t>A679078.309</t>
  </si>
  <si>
    <t>EFRR-IR-II A-UNIT- Istraživanje i razvoj napredne jedinice za autonomno upravljanje mobilnim vozilima u logistici</t>
  </si>
  <si>
    <t>A679078.310</t>
  </si>
  <si>
    <t>EFRR-IR-II BatEVCharg - Punionica električnih vozila s integriranim baterijskim spremnikom</t>
  </si>
  <si>
    <t>A679078.311</t>
  </si>
  <si>
    <t>EFRR-IR-II CEGlog- Istraživanje i razvoj jedinstvenog sustava za logističku i transportnu optimizaciju</t>
  </si>
  <si>
    <t>A679078.312</t>
  </si>
  <si>
    <t>EFFRR-CEKOM-SUS- Centar kompetencija za kibernetičku sigurnost upravljačkih sustava</t>
  </si>
  <si>
    <t>A679078.313</t>
  </si>
  <si>
    <t>EFRR-IR-II cyberAUT- Inovativno rješenje za upravljanje kibernetickom sigurnosti industrijskih sustava automatizacije postrojenja i procesa</t>
  </si>
  <si>
    <t>A679078.314</t>
  </si>
  <si>
    <t>EFRR-IR-II DRUNE- Razvoj uređaja za prijenos video signala ultra niske latencije</t>
  </si>
  <si>
    <t>A679078.315</t>
  </si>
  <si>
    <t>EFRR-IR-II ENEDAT- Razvoj sustava za optimalizaciju potrošnje električne energije u podatkovnim centrima</t>
  </si>
  <si>
    <t>A679078.316</t>
  </si>
  <si>
    <t>EFRR-IR-II ENEDAT- Razvoj pametnog modularnog sustava upravljanja pogonom dizala za povećanje energetske učinkovitosti zgrade</t>
  </si>
  <si>
    <t>A679078.317</t>
  </si>
  <si>
    <t>EFRR-IR-II GMP- Razvoj Greyp platforme za mikromobilnost GMP</t>
  </si>
  <si>
    <t>A679078.318</t>
  </si>
  <si>
    <t>EFRR-IR-II IRI2-OIE- Integrirano rješenje za upravljanje imovinom i podršku investicijskim procesima projektiranja, planiranja i provedbe izgradnje obnovljivih izvora energije</t>
  </si>
  <si>
    <t>A679078.319</t>
  </si>
  <si>
    <t>EFRR-IR-II LAMCAB- Razvoj tehnologije povezivanja komponenti upravljačkih električnih ormara upotrebom laminiranih vodica</t>
  </si>
  <si>
    <t>A679078.320</t>
  </si>
  <si>
    <t>EFRR-IR-II PCC- Sustav za nadzor i kontrolu usklađenosti distribuiranih procesa u realnom vremenu, otkrivanje anomalija, rano upozoravanje i forenzičku analizu transakcije</t>
  </si>
  <si>
    <t>A679078.321</t>
  </si>
  <si>
    <t>EFRR-IR-II PEP- Razvoj inovativnog polifaznog elektromotornog pogona</t>
  </si>
  <si>
    <t>A679078.322</t>
  </si>
  <si>
    <t>EFRR-IR-II Pinova- Razvoj agrometeorološke platforme i mreže IoT uređaja tvrtke Pinova d.o.o.</t>
  </si>
  <si>
    <t>A679078.323</t>
  </si>
  <si>
    <t>EFRR- UZI RESIN- Razvoj sustava za ispitivanje visefaznih strujanja i izgaranja s ciljem povećanja istraživačkih aktivnosti znanstvenog i poslovnog spektra</t>
  </si>
  <si>
    <t>A679078.324</t>
  </si>
  <si>
    <t>EFRR-IR-II RPA-NPV- Razvoj potopljenog agregata za male hidroelektrane s niskim padom vode</t>
  </si>
  <si>
    <t>A679078.325</t>
  </si>
  <si>
    <t>EFRR-IR-II SARI- Sustava za automatsko raspoznavanje, identifikaciju te precizno mjerenje duljine plovila</t>
  </si>
  <si>
    <t>A679078.326</t>
  </si>
  <si>
    <t>EFRR-IR-II SMAGRILOS- Sustav za optimizaciju gubitaka u naprednim mrežama</t>
  </si>
  <si>
    <t>A679078.327</t>
  </si>
  <si>
    <t>EFRR-IR-II SOC4- Platforma za nadzor ugroza u heterogenim mrežnim okruženjima</t>
  </si>
  <si>
    <t>A679078.328</t>
  </si>
  <si>
    <t>EFRR-IR-II SUPELEK- Sustav za upravljanje potrošnjom električne energije u kućanstvima</t>
  </si>
  <si>
    <t>A679078.329</t>
  </si>
  <si>
    <t>EFRR-IR-II Agrivi Smart- povećanje produktivnosti uzgoja krumpira uz pomoć algoritma strojnog učenja</t>
  </si>
  <si>
    <t>A679078.330</t>
  </si>
  <si>
    <t>EFRR-IR-II bigEVdata- IT rješenja analitike velikih skupova podataka emobilnosti</t>
  </si>
  <si>
    <t>A679078.332</t>
  </si>
  <si>
    <t>EFRR-IR-II CloudSec- Sigurnost računarstva u oblaku prilikom korištenja mobilnih aplikacija</t>
  </si>
  <si>
    <t>A679078.333</t>
  </si>
  <si>
    <t>EFRR-IR-II DFDM- Istraživanje i razvoj sustava za prepoznavanje umora i distrakcije vozača</t>
  </si>
  <si>
    <t>A679078.334</t>
  </si>
  <si>
    <t>EFRR-IR EKORAS24- Ekološki prihvatljiva rastavna sklopka 24kV za napredne mreže</t>
  </si>
  <si>
    <t>A679078.335</t>
  </si>
  <si>
    <t>EFRR-IRI Geolux- 4D akustična kamera</t>
  </si>
  <si>
    <t>A679078.336</t>
  </si>
  <si>
    <t>EFRR-IRI HSG - Helm Smart Grid</t>
  </si>
  <si>
    <t>A679078.337</t>
  </si>
  <si>
    <t>EFRR-IRI KONPRO 2 - Razvoj nove generacije uređaja numeričke zaštite</t>
  </si>
  <si>
    <t>A679078.338</t>
  </si>
  <si>
    <t>EFRR- IRI KONTRAC - Razvoj pretvarača glavnog pogona tramvaja sa superkondezatorskim modulom</t>
  </si>
  <si>
    <t>A679078.339</t>
  </si>
  <si>
    <t>EFRR- IRI Mareton - Razvoj nove generacije industrijskih modularnih, redundantnih, višeizlaznih sustava neprekidnog napajanja istosmjernim i izmjeničnim naponima</t>
  </si>
  <si>
    <t>A679078.340</t>
  </si>
  <si>
    <t>EFRR- IRI MAS- Razvoj multifunkcionalnog antiterorističkog sustava</t>
  </si>
  <si>
    <t>A679078.341</t>
  </si>
  <si>
    <t>EFRR- IRI Omega GS- Razvoj otvorene pametne mreže energetski učinkovite javne LED rasvjete</t>
  </si>
  <si>
    <t>A679078.342</t>
  </si>
  <si>
    <t>EFRR- IRI OperOSS- Istraživanja i razvoj naprednog sustava za upravljanje pametnim elektroenergetskim i komunikacijskim mrežama</t>
  </si>
  <si>
    <t>A679078.343</t>
  </si>
  <si>
    <t>EFRR- IRI PC-ATE-Buildings- Razvoj sustava prediktivnog upravljanja i automatskog trovanja energijom u zgradi</t>
  </si>
  <si>
    <t>A679078.344</t>
  </si>
  <si>
    <t>EFRR- IRI SMART UTX: Pametni modularni sustav za ultrazvučnu dijagnostiku u ekstremnim uvjetima</t>
  </si>
  <si>
    <t>A679078.345</t>
  </si>
  <si>
    <t>ERASMUS + Projekt: SC4H Creating mehanisam for continous implementation of  the sports club for health guidelines in EU</t>
  </si>
  <si>
    <t>A679078.346</t>
  </si>
  <si>
    <t>ERASMUS + Projekt: SC4H Network</t>
  </si>
  <si>
    <t>A679078.347</t>
  </si>
  <si>
    <t>ERASMUS+mobilnost osoblja zmeđu programskih i partnerskih zemalja u svrhu podučavanja KA 107</t>
  </si>
  <si>
    <t>A679078.348</t>
  </si>
  <si>
    <t>SESAR-FPM</t>
  </si>
  <si>
    <t>A679078.349</t>
  </si>
  <si>
    <t>SABRINA</t>
  </si>
  <si>
    <t>A679078.350</t>
  </si>
  <si>
    <t>SLAIN</t>
  </si>
  <si>
    <t>A679078.351</t>
  </si>
  <si>
    <t>SumBoost</t>
  </si>
  <si>
    <t>A679078.352</t>
  </si>
  <si>
    <t>CA16227-2 INVESTIGATION AND MATEMATICAL ANALYSIS OF AVANT-GARED DISEASE CONTROL VIA MOSQUITO NANO TECH REPELLENTS</t>
  </si>
  <si>
    <t>A679078.353</t>
  </si>
  <si>
    <t>Modernizacija infrastrukture Znanstveno-istraživačkog centra za tekstil (MI-TSRC) KK.01.1.1.02.0024</t>
  </si>
  <si>
    <t>A679078.354</t>
  </si>
  <si>
    <t>ERASMUS + K2, 1.1.2020.-31.12.2022., 612248-EPP-1-2019-BG-EPPKA2-KA, ICT IN TEXTILE AND CLOTHING HIGHER EDUCATION I BUSINESS</t>
  </si>
  <si>
    <t>A679078.355</t>
  </si>
  <si>
    <t>ERASMUS+ Education Curricula Development on the Collaborative Economy in Europe COLECO (2019-1-UK01-KA201-062118)</t>
  </si>
  <si>
    <t>A679078.356</t>
  </si>
  <si>
    <t>ERASMUS+ Challenges and practices of teaching economic disciplines in era of digitalization 2020-1-HR01-KA202-0777771</t>
  </si>
  <si>
    <t>A679078.358</t>
  </si>
  <si>
    <t>Umreženi stacionarni baterijski spremnici energije KK.01.1.1.04.0034</t>
  </si>
  <si>
    <t>A679078.359</t>
  </si>
  <si>
    <t>KALPROTEKTIN (SVETI DUH)</t>
  </si>
  <si>
    <t>A679078.360</t>
  </si>
  <si>
    <t>SIR JE IN (AGRONOMSKI FAKULTET)</t>
  </si>
  <si>
    <t>A679078.361</t>
  </si>
  <si>
    <t>HKO akademija u hodu</t>
  </si>
  <si>
    <t>A679078.362</t>
  </si>
  <si>
    <t>HKO FIZKO- Sveučilište u Rijeci</t>
  </si>
  <si>
    <t>A679078.363</t>
  </si>
  <si>
    <t>HORIZON 2020- DRYVER</t>
  </si>
  <si>
    <t>A679078.364</t>
  </si>
  <si>
    <t>IBD-BIOM - Diagnostic and prognostic biomarkers for inflammatory bowel disease - orig br ug: GA-305479</t>
  </si>
  <si>
    <t>A679078.365</t>
  </si>
  <si>
    <t>Tenure Track Pilot Programe - Exotic Nuclear Structure and Dynamics</t>
  </si>
  <si>
    <t>A679078.366</t>
  </si>
  <si>
    <t>KLIMA-4HR</t>
  </si>
  <si>
    <t>A679078.367</t>
  </si>
  <si>
    <t>COST CA 18232- potpora</t>
  </si>
  <si>
    <t>A679078.368</t>
  </si>
  <si>
    <t>Flora Croatica</t>
  </si>
  <si>
    <t>A679078.369</t>
  </si>
  <si>
    <t>Obzor 2020. ERASE_GBV Education and Raising Awareness in Schools to Prevent and Encounter Gender-Based Violence: Developing and implementing a training programme for teachers and other professionals at school</t>
  </si>
  <si>
    <t>A679078.370</t>
  </si>
  <si>
    <t>CEF MARCELL Multilingual Resources for CEF.AT in the legal domain</t>
  </si>
  <si>
    <t>A679078.371</t>
  </si>
  <si>
    <t>CEF PRINCIPLE Providing Resources in Irish, Norwegian, Croatian and Icelandic for Purposes of Language Engineering</t>
  </si>
  <si>
    <t>A679078.372</t>
  </si>
  <si>
    <t>CEF Translation Automation Services for EU ouncil Presidency</t>
  </si>
  <si>
    <t>A679078.373</t>
  </si>
  <si>
    <t>Erasmus+ Development of innovative approach for training for university professors to work in the modern diverse and intercultural environment, UniCulture</t>
  </si>
  <si>
    <t>A679078.374</t>
  </si>
  <si>
    <t>Erasmus+, aktivnost Strateško partnerstvo HERISTEM - STEM in Heritage Sciences</t>
  </si>
  <si>
    <t>A679078.375</t>
  </si>
  <si>
    <t>Erasmus + Reforming Foreigne Languages in Academia in Montenegro - ReFALME</t>
  </si>
  <si>
    <t>A679078.376</t>
  </si>
  <si>
    <t>12-HERA-JRP-CE-FP-091 projekt ENTRAS Encounters and Transformationa in Iron Age Europe</t>
  </si>
  <si>
    <t>A679078.377</t>
  </si>
  <si>
    <t>Obzor 2020 Accelerate co-creation by setting up a multi -actor platform for impact from Social Sciences and Humanities ACCOMPLISSH</t>
  </si>
  <si>
    <t>A679078.378</t>
  </si>
  <si>
    <t>HRZZ Golobalni humanizmi:Novi pogledi na Srednji Vijek</t>
  </si>
  <si>
    <t>A679078.379</t>
  </si>
  <si>
    <t>E-rudito: Napredni online obrazovni sustav za pametnu specijalizaciju i poslove budućnosti</t>
  </si>
  <si>
    <t>A679078.380</t>
  </si>
  <si>
    <t>Cost 2020 Kišiček</t>
  </si>
  <si>
    <t>A679078.381</t>
  </si>
  <si>
    <t>SHARED Čorkalo Biruški Dinka</t>
  </si>
  <si>
    <t>A679078.382</t>
  </si>
  <si>
    <t>HKO Zadar</t>
  </si>
  <si>
    <t>A679078.383</t>
  </si>
  <si>
    <t>TODO-TWINING OPEN DANA</t>
  </si>
  <si>
    <t>A679078.384</t>
  </si>
  <si>
    <t>SPIDER ERASMUS+STRATEGIC PARTNERSHIP</t>
  </si>
  <si>
    <t>A679078.385</t>
  </si>
  <si>
    <t>ERASMUS+SDI AND EO EDUCATION AND TRAINING FOR NORTH AFRICA(SEED4NA)</t>
  </si>
  <si>
    <t>A679078.386</t>
  </si>
  <si>
    <t>GEOBIZ-ERASMUS+Ka2 IZGRADNJA KAPACITETA U PODRUČJU VISOKOG OBRAZOVANJA</t>
  </si>
  <si>
    <t>A679078.387</t>
  </si>
  <si>
    <t>LIDAR</t>
  </si>
  <si>
    <t>A679078.389</t>
  </si>
  <si>
    <t>HIDROLAB</t>
  </si>
  <si>
    <t>A679078.390</t>
  </si>
  <si>
    <t>3SMART-	Pametna zgrada -- pametna mreža -- pametni grad"</t>
  </si>
  <si>
    <t>A679078.391</t>
  </si>
  <si>
    <t>ADRIATIC - Unaprjeđenje sposobnosti interakcije ronilac-robot</t>
  </si>
  <si>
    <t>A679078.392</t>
  </si>
  <si>
    <t>AEROWIND-Autonomna inspekcija vjetroelektrana primjenom bespilotnih letjelica</t>
  </si>
  <si>
    <t>A679078.393</t>
  </si>
  <si>
    <t>AIDEFEND-Sustav umjetne inteligencije za autonomni nadzor i upravljanje sigurnosti cloud okruženja - AI DFENDER</t>
  </si>
  <si>
    <t>A679078.394</t>
  </si>
  <si>
    <t>AIPD2 - Digitalna platforma za zaštitu privatnosti i sprječavanje zlouporaba upravljanjem životnim ciklusom osobnih podataka</t>
  </si>
  <si>
    <t>A679078.395</t>
  </si>
  <si>
    <t>ASAP - Autonomni sustav za pregled i predviđanje integriteta prometne infrastrukture"</t>
  </si>
  <si>
    <t>A679078.396</t>
  </si>
  <si>
    <t>A-UNIT - Istraživanje i razvoj napredne jedinice za autonomno upravljanje mobilnim vozilima u logistici</t>
  </si>
  <si>
    <t>A679078.397</t>
  </si>
  <si>
    <t>AWAKE - Ultra low power wake-up interfaces for autonomous robotic sensor networks in sea/subsea environments</t>
  </si>
  <si>
    <t>A679078.398</t>
  </si>
  <si>
    <t>CADDY-Cognitive autonomous diving buddy</t>
  </si>
  <si>
    <t>A679078.399</t>
  </si>
  <si>
    <t>CALIPER-	Projekt CALIPER: Povezivanje istraživanja i inovacija za ravnopravnost spolova"</t>
  </si>
  <si>
    <t>A679078.400</t>
  </si>
  <si>
    <t>CASHPRED-Predviđanje vremena i obrazaca ponašanja novčanih tokova u međunarodnim bankovnim računima</t>
  </si>
  <si>
    <t>A679078.401</t>
  </si>
  <si>
    <t>CEGLOG - Istraživanje i razvoj jedinstvenog sustava za logističku i transportnu optimizaciju - Collaborative Elastic and Green Logistics - CEGLog</t>
  </si>
  <si>
    <t>A679078.402</t>
  </si>
  <si>
    <t>CEKOMSUS -Centar kompetencija za kibernetičku sigurnost upravljačkih sustava</t>
  </si>
  <si>
    <t>A679078.403</t>
  </si>
  <si>
    <t>CE-PEP-Razvoj inovativnog polifaznog elektromotornog pogona - PEP</t>
  </si>
  <si>
    <t>A679078.404</t>
  </si>
  <si>
    <t>CMETA-Analysis and design of curved metamaterial structures"</t>
  </si>
  <si>
    <t>A679078.405</t>
  </si>
  <si>
    <t>COGSTEPS - Crossing the Gap: Startup edukacija i potpora doktorandima, istraživačima i znanstvenicima</t>
  </si>
  <si>
    <t>A679078.406</t>
  </si>
  <si>
    <t>COST11-04-Slučajno mrežno kodiranje i dizajni nad GF(q)"</t>
  </si>
  <si>
    <t>A679078.407</t>
  </si>
  <si>
    <t>CUVME2 - Kooperativna bespilotna vozila u pomorskom okruženju: Eksperimenti na moru 2</t>
  </si>
  <si>
    <t>A679078.408</t>
  </si>
  <si>
    <t>CYBERAUT - Inovativno rješenje za upravljanje kibernetičkom sigurnosti industrijskih sustava automatizacije postrojenja i procesa</t>
  </si>
  <si>
    <t>A679078.409</t>
  </si>
  <si>
    <t>DIG-Digitalni mjeriteljski lanac sljedivosti za izmjenični napon i struju</t>
  </si>
  <si>
    <t>A679078.410</t>
  </si>
  <si>
    <t>DIGIT- Dig IT - Izrada standarda zanimanja i standarda kvalifikacija u djelatnostima računarstva</t>
  </si>
  <si>
    <t>A679078.411</t>
  </si>
  <si>
    <t>DJUREK-IRI2018-Povećanje razvoja novih proizvoda i usluga koji proizilaze iz aktivnosti istraživanja i razvoja</t>
  </si>
  <si>
    <t>A679078.412</t>
  </si>
  <si>
    <t>DRUNE - Razvoj uređaja za prijenos video signala ultra niske latencije</t>
  </si>
  <si>
    <t>A679078.413</t>
  </si>
  <si>
    <t>DUV-NRKBE - Razvoj daljinski upravljanog vozila za djelovanje u ekstremnim NRKBE uvjetima</t>
  </si>
  <si>
    <t>A679078.414</t>
  </si>
  <si>
    <t>EKO-KOMVOZ - Ekološki prihvatljivo vozilo za čišćenje javnih površina sa sustavima autonomnog upravljanja zasnovanim na umjetnoj inteligenciji</t>
  </si>
  <si>
    <t>A679078.415</t>
  </si>
  <si>
    <t>ENDORSE-Efikasno brusenje robotskim sustavom potpomognuto HORSE okruženjem</t>
  </si>
  <si>
    <t>A679078.416</t>
  </si>
  <si>
    <t>ENEDAT - Razvoj sustava za optimizaciju potrošnje električne energije u podatkovnim centrima</t>
  </si>
  <si>
    <t>A679078.417</t>
  </si>
  <si>
    <t>EULIFT - Razvoj pametnog modularnog sustava upravljanja pogonom dizala za povećanje energetske učinkovitosti zgrade</t>
  </si>
  <si>
    <t>A679078.418</t>
  </si>
  <si>
    <t>EUMR-Istraživačka infrastrukturna mreža u području pomorske robotike</t>
  </si>
  <si>
    <t>A679078.419</t>
  </si>
  <si>
    <t>FARCROSS-Omogućavanje regionalne trgovine/razmjene električne energije kroz inovacije</t>
  </si>
  <si>
    <t>A679078.420</t>
  </si>
  <si>
    <t>FERRZBZ - FER rješenja za bolju zajednicu</t>
  </si>
  <si>
    <t>A679078.422</t>
  </si>
  <si>
    <t>FLEXIGRID-Interoperabilna rješenja za holističku implementaciju usluga fleksibilnosti u distribucijskoj mreži</t>
  </si>
  <si>
    <t>A679078.423</t>
  </si>
  <si>
    <t>GEO3EN-	Europska obrazovna mreža za geotermalnu energiju</t>
  </si>
  <si>
    <t>A679078.424</t>
  </si>
  <si>
    <t>GRCI-H2020 - ICCS Grčka</t>
  </si>
  <si>
    <t>A679078.425</t>
  </si>
  <si>
    <t>GREYP-IRI-Rzvoj Greyp platforme za mikromobilnost - GMP</t>
  </si>
  <si>
    <t>A679078.426</t>
  </si>
  <si>
    <t>GY30-OH - Pretkomercijalni razvoj inovativnog nagibno-sklopivog vozila na električni pogon</t>
  </si>
  <si>
    <t>A679078.427</t>
  </si>
  <si>
    <t>H2020-MZO-Poticanje prijava na EU projekte za znanstvenika čije su prijave EU projekata prošle prag, ali nisu financirane</t>
  </si>
  <si>
    <t>A679078.428</t>
  </si>
  <si>
    <t>HELB-Sustav za optimizaciju gubitaka u naprednim mrežama</t>
  </si>
  <si>
    <t>A679078.429</t>
  </si>
  <si>
    <t>HKO-ELE - Primjena Hrvatskog kvalifikacijskog okvira za sveučilišne studijske programe u području elektrotehnike</t>
  </si>
  <si>
    <t>A679078.430</t>
  </si>
  <si>
    <t>IAC-Tečaj industrijske akustike o buci, utjecaju buke na ljude i buci okoliša</t>
  </si>
  <si>
    <t>A679078.431</t>
  </si>
  <si>
    <t>IAFS - Razvoj integriranog sustava za zaštitu od kibernetičkih prijevara</t>
  </si>
  <si>
    <t>A679078.432</t>
  </si>
  <si>
    <t>IDEAS-Uključiv nadzor i istraživanje podatkovnih centara</t>
  </si>
  <si>
    <t>A679078.433</t>
  </si>
  <si>
    <t>IMMERSAFE-Uronjene vizualne tehnologije za sigurnosno kritične aplikacije</t>
  </si>
  <si>
    <t>A679078.434</t>
  </si>
  <si>
    <t>INNOSOC-Innovative ICT Solutions for the Societal Challenges</t>
  </si>
  <si>
    <t>A679078.435</t>
  </si>
  <si>
    <t>INTIS-Punionica električnih vozila s integriranim baterijskim spremnikom</t>
  </si>
  <si>
    <t>A679078.436</t>
  </si>
  <si>
    <t>IRES-8-Omogućavanje znanstvenih i inovacijskih partnerstava u području obnovljivih izvora energije, energetske učinkovitosti i održivih energetskih rješenja za gradove</t>
  </si>
  <si>
    <t>A679078.437</t>
  </si>
  <si>
    <t>IRI2-OIE - Integrirano rješenje za upravljanje imovinom i podršku investicijskim procesima projektiranja, planiranja i provedbe izgradnje obnovljivih izvora energije</t>
  </si>
  <si>
    <t>A679078.438</t>
  </si>
  <si>
    <t>IRI-RPA-Razvoj potopljenog agregata za male hidroelektrane s niskim padom vode</t>
  </si>
  <si>
    <t>A679078.439</t>
  </si>
  <si>
    <t>JUMPER-Bio-inspired Synchronous Jumping Marine Sensor Networks</t>
  </si>
  <si>
    <t>A679078.440</t>
  </si>
  <si>
    <t>KINACIF13-Prijenos signala ljudskim tijelom kao ključna tehnologija za internet stvari u zdravstvenim aplikacijama</t>
  </si>
  <si>
    <t>A679078.441</t>
  </si>
  <si>
    <t>LAMCAB - Razvoj tehnologije povezivanja komponenti upravljačkih električnih ormara upotrebom laminiranih vodiča</t>
  </si>
  <si>
    <t>A679078.442</t>
  </si>
  <si>
    <t>MAGEF-Tehnologija električnih strojeva s trajnim magnetima za povećanje energetske učinkovitosti u električnoj vuči i brodskoj propulziji</t>
  </si>
  <si>
    <t>A679078.443</t>
  </si>
  <si>
    <t>MARI-SENSE-Pomorski kognitivni sustav za potporu odlučivanju</t>
  </si>
  <si>
    <t>A679078.444</t>
  </si>
  <si>
    <t>MBZIRC - The Mohamed Bin Zayed medjunarodno natjecanje iz robotike</t>
  </si>
  <si>
    <t>A679078.445</t>
  </si>
  <si>
    <t>MERIA - Matematičko obrazovanje - značajno, zanimljivo i primjenjivo</t>
  </si>
  <si>
    <t>A679078.446</t>
  </si>
  <si>
    <t>METASHAPE-Napredni ručni detektori metala s mogućnošću diskriminacije oblika mete za uporabu u humanitarnom razminiranju</t>
  </si>
  <si>
    <t>A679078.447</t>
  </si>
  <si>
    <t>MHMP - Višenamjenske platforme za praćenje zdravlja</t>
  </si>
  <si>
    <t>A679078.448</t>
  </si>
  <si>
    <t>MISW-Mitigation of space weather threats to GNSS services</t>
  </si>
  <si>
    <t>A679078.449</t>
  </si>
  <si>
    <t>MORUS-Unmanned system for maritime security and environmental monitoring</t>
  </si>
  <si>
    <t>A679078.450</t>
  </si>
  <si>
    <t>MUNIVO - Razvoj MUltifunkcionalnog NIskopodnog VOzila</t>
  </si>
  <si>
    <t>A679078.451</t>
  </si>
  <si>
    <t>NOFSLON-	Non-Foster Source-load Networks and Metasurfaces</t>
  </si>
  <si>
    <t>A679078.452</t>
  </si>
  <si>
    <t>NOFTUNE - Nefosterovske mreže za podesive i šrokopojasne radiofrekvencjske uređaje</t>
  </si>
  <si>
    <t>A679078.453</t>
  </si>
  <si>
    <t>OKTUKOM-Osiguravanje kvalitete telekomunikacijskih usluga korištenjem mehanizma kibernetičke sigurnosti</t>
  </si>
  <si>
    <t>A679078.454</t>
  </si>
  <si>
    <t>OPENLOT-Open Source blueprint for large scale self-organizing cloud environments for IoT applications</t>
  </si>
  <si>
    <t>A679078.455</t>
  </si>
  <si>
    <t>PAPABUILD-Napredne akustičke i psihoakustičke dijagnostičke metode kao temelj inovativnog dizajna u građevinskoj akustici</t>
  </si>
  <si>
    <t>A679078.456</t>
  </si>
  <si>
    <t>PCC - Sustav za nadzor i kontrolu usklađenosti distribuiranih procesa u realnom vremenu, otkrivanje anomalija, rano upozoravanje i forenzičku analizu transakcija</t>
  </si>
  <si>
    <t>A679078.457</t>
  </si>
  <si>
    <t>PINOVA - Razvoj agrometeorološke platforme i mreže IoT uređaja tvrtke Pinova d.o.o.</t>
  </si>
  <si>
    <t>A679078.458</t>
  </si>
  <si>
    <t>RESDATA - Rješenja prilagodbe elektroenergetskog sustava klimatskim promjenama temeljena na velikim količinama podataka</t>
  </si>
  <si>
    <t>A679078.459</t>
  </si>
  <si>
    <t>REWAISE-Prilagodljive inovacije u ciklusu kruženja vode za pametnu ekonomiju</t>
  </si>
  <si>
    <t>A679078.460</t>
  </si>
  <si>
    <t>ROBOCOM-Ponovno promišljanje robotike za robotskog kompanjona budućnosti</t>
  </si>
  <si>
    <t>A679078.461</t>
  </si>
  <si>
    <t>ROBOGIRLS - Osnaživanje djevojaka u STEAM-u kroz robotiku i kodiranje</t>
  </si>
  <si>
    <t>A679078.462</t>
  </si>
  <si>
    <t>ROB-ROBUst mixed signal design methodologies for Smart Power ICs - ROBUSPIC</t>
  </si>
  <si>
    <t>A679078.463</t>
  </si>
  <si>
    <t>ROTOTEMP - Nova generacija telemetrijske tehnologije za mjerenje na rotacijskim komponentama spojke</t>
  </si>
  <si>
    <t>A679078.464</t>
  </si>
  <si>
    <t>SAFELOG-Sigurna interakcija ljudi i robota u logističkim primjenama za visoko fleksibilna skladišta</t>
  </si>
  <si>
    <t>A679078.465</t>
  </si>
  <si>
    <t>SARI - Sustav za automatsko raspoznavanje, identifikaciju te precizno mjerenje duljine plovila</t>
  </si>
  <si>
    <t>A679078.466</t>
  </si>
  <si>
    <t>SENFUS-Fuzija senzora</t>
  </si>
  <si>
    <t>A679078.467</t>
  </si>
  <si>
    <t>SHVET-Pametni pristup razvoju strukovnih vještina za visokoobrazovanu i mobilnu radnu snagu</t>
  </si>
  <si>
    <t>A679078.468</t>
  </si>
  <si>
    <t>SMARTSOC-Edukacija budućih IKT stručnjaka na temelju potreba pametnog društva (SmartSoc)</t>
  </si>
  <si>
    <t>A679078.469</t>
  </si>
  <si>
    <t>SPRAY-Razvoj sustava za ispitivanje višefaznih strujanja i izgaranja s ciljem povećanja istraživačkih aktivnosti znanstvenog i poslovnog sektora</t>
  </si>
  <si>
    <t>A679078.470</t>
  </si>
  <si>
    <t>STRIDE-Energetsko planiranje integracijom koncepata pametne mreže u Dunavskoj regiji</t>
  </si>
  <si>
    <t>A679078.471</t>
  </si>
  <si>
    <t>TEAMSOC21 - The ICT Engineer of the 21st Century: Mastering Technical Competencies, Management Skills, and Societal Responsibilities</t>
  </si>
  <si>
    <t>A679078.472</t>
  </si>
  <si>
    <t>TETRAMAX-TEchnology TRAnsfer via Multinational Application eXperiments</t>
  </si>
  <si>
    <t>A679078.473</t>
  </si>
  <si>
    <t>UGRIP - microGRId Positioning</t>
  </si>
  <si>
    <t>A679078.474</t>
  </si>
  <si>
    <t>V3M - Varijacijske metode u modeliranju materijala</t>
  </si>
  <si>
    <t>A679078.475</t>
  </si>
  <si>
    <t>VERIFY-New methods for verification of security and privacy mechanisms in e-commerce and e-government systems</t>
  </si>
  <si>
    <t>A679078.477</t>
  </si>
  <si>
    <t>VHEASTR-Znanstvenoistraživačka aktivnost hrvatske grupe u kolaboracijama MAGIC I CTA</t>
  </si>
  <si>
    <t>A679078.478</t>
  </si>
  <si>
    <t>A679078.479</t>
  </si>
  <si>
    <t>WALL-eWall for Active Long Living</t>
  </si>
  <si>
    <t>A679078.480</t>
  </si>
  <si>
    <t>PHOENIX People for tHe eurOpean bioENergy Mix</t>
  </si>
  <si>
    <t>A679078.482</t>
  </si>
  <si>
    <t>Better future of healthy ageing 2020.</t>
  </si>
  <si>
    <t>A679078.483</t>
  </si>
  <si>
    <t>Nova generacija Eurocod 5</t>
  </si>
  <si>
    <t>A679078.484</t>
  </si>
  <si>
    <t>SBRIPLUS</t>
  </si>
  <si>
    <t>A679078.485</t>
  </si>
  <si>
    <t>NZEB ROADSHOW-H2020</t>
  </si>
  <si>
    <t>A679078.486</t>
  </si>
  <si>
    <t>H2020 INCEPTION</t>
  </si>
  <si>
    <t>A679078.487</t>
  </si>
  <si>
    <t>Erasmus+ Programme 2014-2020, Agreement no.2016-1-TR01-KA203-034710</t>
  </si>
  <si>
    <t>A679078.488</t>
  </si>
  <si>
    <t>H2020 Productive Green Infrastructure for post-industrial urban regeneration</t>
  </si>
  <si>
    <t>A679078.489</t>
  </si>
  <si>
    <t>Erasmus+: Healthy Urban Environment: Developing higer education in Architecture and Construction in Bosnia and Herzegovina (2018-2480/001-001)</t>
  </si>
  <si>
    <t>A679078.490</t>
  </si>
  <si>
    <t>Erasmus+: Architecture's afterlife: The multi-sector impact of an architectural qualification 2019-1-UK01-KA203-062062</t>
  </si>
  <si>
    <t>A679078.491</t>
  </si>
  <si>
    <t>Znanost spaja ljude (SCOPE - Science Connecting people)</t>
  </si>
  <si>
    <t>A679078.492</t>
  </si>
  <si>
    <t>ERASMUS+ KA2 Strateška partnerstva -projekt: CURTING IN CONTEKST  (2019-1-SE01-KA203-060500)</t>
  </si>
  <si>
    <t>A679078.493</t>
  </si>
  <si>
    <t>FIGHTER</t>
  </si>
  <si>
    <t>A679078.494</t>
  </si>
  <si>
    <t>TODO</t>
  </si>
  <si>
    <t>A679078.495</t>
  </si>
  <si>
    <t>EIO-LAPD</t>
  </si>
  <si>
    <t>A679078.496</t>
  </si>
  <si>
    <t>JEAN MONNET ACTIVITIES</t>
  </si>
  <si>
    <t>A679078.497</t>
  </si>
  <si>
    <t>EFFORTS</t>
  </si>
  <si>
    <t>A679078.498</t>
  </si>
  <si>
    <t>EUROGRADUATE</t>
  </si>
  <si>
    <t>A679078.499</t>
  </si>
  <si>
    <t>ENEMLOS</t>
  </si>
  <si>
    <t>A679078.500</t>
  </si>
  <si>
    <t>JEAN MONNET MODULE</t>
  </si>
  <si>
    <t>A679078.501</t>
  </si>
  <si>
    <t>THIRD SEKTOR IMPACT</t>
  </si>
  <si>
    <t>A679078.502</t>
  </si>
  <si>
    <t>BALKAN HOMICIDE STUDY</t>
  </si>
  <si>
    <t>A679078.503</t>
  </si>
  <si>
    <t>RCT-ESF</t>
  </si>
  <si>
    <t>A679078.504</t>
  </si>
  <si>
    <t>Jačanje znanstveno-istraživačkih I inovacijskih kapaciteta Farmaceutsko-biokemijskog fakulteta Sveučilišta u Zagrebu (FarmInova)</t>
  </si>
  <si>
    <t>A679078.505</t>
  </si>
  <si>
    <t>Primjena HKO-a u unaprjeđenju studijskih programa u području farmacije i medicinske biokemije (PharmaMedQ)</t>
  </si>
  <si>
    <t>A679078.506</t>
  </si>
  <si>
    <t>Razvoj integriranog preddiplomskog i diplomskog studija Farmacije na engleskom jeziku (Pharma5.0)</t>
  </si>
  <si>
    <t>A679078.507</t>
  </si>
  <si>
    <t>Personalized Medicine Inquiry-Based Education (PROMISE) Grant agreement: br. 2019-1-HR01-KA203-061010- </t>
  </si>
  <si>
    <t>A679078.508</t>
  </si>
  <si>
    <t>IRI projekt Povećanje razvoja novih proizvoda i usluga koji proizlaze iz aktivnosti istraživanja i razvoja</t>
  </si>
  <si>
    <t>A679078.509</t>
  </si>
  <si>
    <t>Utjecaj glikozilacije transferina na vezivanje željeza - GlyTransFer</t>
  </si>
  <si>
    <t>A679078.510</t>
  </si>
  <si>
    <t>EIT MANUFACTURING RIS HUB</t>
  </si>
  <si>
    <t>A679078.511</t>
  </si>
  <si>
    <t>RAPTOVAX - Robusne i adaptabilne biološke platforme za nova cjepiva</t>
  </si>
  <si>
    <t>A679078.512</t>
  </si>
  <si>
    <t>Jačanje kapaciteta CerVirVac-a za istraživanja u virusnoj imunologiji i vakcinologiji</t>
  </si>
  <si>
    <t>A679078.513</t>
  </si>
  <si>
    <t>OBZOR2020- Legumes in biodiversity based farming systems in Mediterranean basin</t>
  </si>
  <si>
    <t>A679078.514</t>
  </si>
  <si>
    <t>ERASMUS Transnational Quality Education for Organic Food Saftey- SAFE Orgfood</t>
  </si>
  <si>
    <t>A679078.515</t>
  </si>
  <si>
    <t>Napredni sustav motrenja agroekosustava u riziku od zaslanjivanja i onečišćenja</t>
  </si>
  <si>
    <t>A679078.516</t>
  </si>
  <si>
    <t>Agrobioraznolikost- osnova za prilagodbu i ublažavanje promjena klimatskih promjena u poljoprivredi</t>
  </si>
  <si>
    <t>A679078.517</t>
  </si>
  <si>
    <t>Dizajn naprednih biokompozita iz energetski održivih izvora- BIOKOMPOZITI</t>
  </si>
  <si>
    <t>A679078.518</t>
  </si>
  <si>
    <t>Proizvodnja, hrane, biokompozita i biogoriva iz žitarica u kružnom biogospodarstvu</t>
  </si>
  <si>
    <t>A679078.519</t>
  </si>
  <si>
    <t>ERASMUS Trainers for plant protection in organic farming- TOPPlant</t>
  </si>
  <si>
    <t>A679078.520</t>
  </si>
  <si>
    <t>Potencijal rizosfernog mikrobioma u prilagodbi poljoprivrede klimatskim promjenama - PERSPIRE</t>
  </si>
  <si>
    <t>A679078.521</t>
  </si>
  <si>
    <t>ERASMUS Learning Landscapes- LELA</t>
  </si>
  <si>
    <t>A679078.522</t>
  </si>
  <si>
    <t>ERASMUS Capacity building in higher education</t>
  </si>
  <si>
    <t>A679078.524</t>
  </si>
  <si>
    <t>A679078.525</t>
  </si>
  <si>
    <t>A679078.526</t>
  </si>
  <si>
    <t>Unaprjeđenje oporavlišta za divlje životinje na Veterinarskom fakultetu - WildRescouVEF, KK.06.5.2.04.0007.</t>
  </si>
  <si>
    <t>A679078.527</t>
  </si>
  <si>
    <t>Upravljanje krškim priobalnim vodonosnicima (UKV)</t>
  </si>
  <si>
    <t>A679078.528</t>
  </si>
  <si>
    <t>ICSI Interreg</t>
  </si>
  <si>
    <t>A679078.531</t>
  </si>
  <si>
    <t>DRYvER- Securing biodiversity- HORIZON 2020</t>
  </si>
  <si>
    <t>A679078.532</t>
  </si>
  <si>
    <t>OPSVIO- Ortho-positronium decay and the search for CP and CPT violation in leptonic secto</t>
  </si>
  <si>
    <t>A679078.533</t>
  </si>
  <si>
    <t>Klima- 4HR- Klimatska ranjivost Hrvatske i mogućnosti prilagodbe urbanih i prirodnih okoliša</t>
  </si>
  <si>
    <t>A679078.534</t>
  </si>
  <si>
    <t>CSRP- Hrvatsko-švicarski program- Probabilistic and analytical aspects of generalised regular variation</t>
  </si>
  <si>
    <t>A679078.535</t>
  </si>
  <si>
    <t>CSRP- Hrvatsko-Švicarski program- Dynamics of virus infection in mycovirus-mediated biological control of fungal pathogen</t>
  </si>
  <si>
    <t>A679078.536</t>
  </si>
  <si>
    <t>CSRP- Hrvatsko-Švicarski program- Investigation of substrate and editing specificity in tRNA synthetases and the mechanism of antibiotic action</t>
  </si>
  <si>
    <t>A679078.537</t>
  </si>
  <si>
    <t>Klimatske promjene  - Agrobioraznolikost</t>
  </si>
  <si>
    <t>A679078.538</t>
  </si>
  <si>
    <t>Jednoslojni polarimetar gama zračenja za primjene u medicinskom oslikavanju i za temeljna istraživanja u fizici</t>
  </si>
  <si>
    <t>A679078.541</t>
  </si>
  <si>
    <t>HRZZ IP-2019-04 MORENEC</t>
  </si>
  <si>
    <t>A679078.546</t>
  </si>
  <si>
    <t>AGROEKO - Napredni sustav motrenja agroekosustava u riziku od zaslanjivanja i onečišćenja</t>
  </si>
  <si>
    <t>A679078.560</t>
  </si>
  <si>
    <t>PAPABUILD - Napredne akustičke i psihoakustičke dijagnostičke metode kao temelj inovativnog dizajna u građevinskoj akustici</t>
  </si>
  <si>
    <t>A679078.561</t>
  </si>
  <si>
    <t>SIMBLOLTE - Simbioza pametnih objekata u okruženjima Interneta stvari</t>
  </si>
  <si>
    <t>A679078.565</t>
  </si>
  <si>
    <t>4VENT - Razvoj niza četverousisnih ventilatora za industrijska postrojenja</t>
  </si>
  <si>
    <t>A679078.566</t>
  </si>
  <si>
    <t>INUKING - Razvoj inovativnog programskog rješenja za centralizirani nadzor i upravljanje kritičnom infrastukturom</t>
  </si>
  <si>
    <t>A679078.567</t>
  </si>
  <si>
    <t>NGLI - povećanje razvoja novih proizvoda i usluga koji proizilaze iz aktivnosti istraživanja i razvoja</t>
  </si>
  <si>
    <t>A679078.569</t>
  </si>
  <si>
    <t>PBM-PLIN - Iskorištenje manje kvalitetnih i nestalnih plinova za proizvodnju električne energije, uporabom Umjetne Inteligencije za miješanje plinova</t>
  </si>
  <si>
    <t>A679078.570</t>
  </si>
  <si>
    <t>PINIOT - Platforma za inteligentno i energetski efikasno upravljanje industrijskim Iot uređajima</t>
  </si>
  <si>
    <t>A679078.571</t>
  </si>
  <si>
    <t>SUZE - Sustav za otkrivanje zlonamjernih elektroničkih transakcija zasnovan na strojnom učenju</t>
  </si>
  <si>
    <t>A679078.572</t>
  </si>
  <si>
    <t>T-LOGIC - Uspostava sustava za automatizaciju rada i autonomno odlučivanje u logistici samoposlužnih aparata</t>
  </si>
  <si>
    <t>A679078.573</t>
  </si>
  <si>
    <t>HRZZ projekti</t>
  </si>
  <si>
    <t>A679078.574</t>
  </si>
  <si>
    <t>Modeliranje procesa farmaceutskog sušenja raspršivanjem emulzije u laboratorijskom I pilotnom mjerilu</t>
  </si>
  <si>
    <t>A679078.575</t>
  </si>
  <si>
    <t>COLECO- ERASMUS + 2019-1-UK01-KA201-062118</t>
  </si>
  <si>
    <t>A679078.576</t>
  </si>
  <si>
    <t>FOReSiGHT</t>
  </si>
  <si>
    <t>A679078.578</t>
  </si>
  <si>
    <t>ERASMUS + 2020-1-PL01-KA203-081980 - SUSTA</t>
  </si>
  <si>
    <t>A679078.582</t>
  </si>
  <si>
    <t>TERRAGOV</t>
  </si>
  <si>
    <t>A679078.583</t>
  </si>
  <si>
    <t>HORIZON 2020 - SHARE-COVID 19</t>
  </si>
  <si>
    <t>A679078.584</t>
  </si>
  <si>
    <t>Learning how to Teach, Teaching how to Learn. Facing Challenges of Global Change in Higher Education Using Digital Tools for Reflective, Critical and Inclusive Learning on European Historical Landscapes – EDiToR</t>
  </si>
  <si>
    <t>A679078.586</t>
  </si>
  <si>
    <t>P-S-I Podrška Studenata u Integraciji marginaliziranih skupina na tržište rada</t>
  </si>
  <si>
    <t>A679078.587</t>
  </si>
  <si>
    <t>COORDINATE„COhort cOmmunity Research and Development Infrastructure Network for Access Throughout</t>
  </si>
  <si>
    <t>A679078.588</t>
  </si>
  <si>
    <t>RURASL Rural 3.0: Service Learning for the Rural Development</t>
  </si>
  <si>
    <t>A679078.589</t>
  </si>
  <si>
    <t>A679078.590</t>
  </si>
  <si>
    <t>Erasmus + Developing a new curriculum in Global Migration, Diaspora and Border Studies in East-Central Europe (GLocalEAst)”</t>
  </si>
  <si>
    <t>A679078.591</t>
  </si>
  <si>
    <t>Erasmus + „Introducing Intellectual Property Education for Lifelong Learning and the Knowledge Economy-IPEDU”</t>
  </si>
  <si>
    <t>A679078.592</t>
  </si>
  <si>
    <t>Encounters and Transformations in Iron Age Europe (ENTRANS</t>
  </si>
  <si>
    <t>A679078.593</t>
  </si>
  <si>
    <t>Rhetoric for Innovative Education  RHEFINE</t>
  </si>
  <si>
    <t>A679078.595</t>
  </si>
  <si>
    <t>Curated Multilingual Language Resources for CEF AT (CURLICAT)</t>
  </si>
  <si>
    <t>A679078.596</t>
  </si>
  <si>
    <t>HORIZON 2020: Children Online: Research and Evidence (CO:RE)</t>
  </si>
  <si>
    <t>A679078.597</t>
  </si>
  <si>
    <t>Third sector impact</t>
  </si>
  <si>
    <t>A679078.599</t>
  </si>
  <si>
    <t>SUSTINEO ESF</t>
  </si>
  <si>
    <t>A679078.608</t>
  </si>
  <si>
    <t>Istraživanje neuropatologije poremećaja iz spektra autizma i shizofrenije</t>
  </si>
  <si>
    <t>A679078.609</t>
  </si>
  <si>
    <t>EUROPEAN INFRASTRUCTURE FOR TRANSLATIONAL MEDICINE (EATRIS PLUS) - H2020</t>
  </si>
  <si>
    <t>A679078.610</t>
  </si>
  <si>
    <t>ERASMUS + MEĐUNARODNA SURADNJA</t>
  </si>
  <si>
    <t>A679081.001</t>
  </si>
  <si>
    <t>INTERREG Projekt LOW-CARB Integrirano planiranje pokretljivosti s niskom razinom ugljika za urbana područja</t>
  </si>
  <si>
    <t>A679081.003</t>
  </si>
  <si>
    <t>ERASMUS+ JEAN MONNET MODULES - Interdisciplinarni pristup političkim i pravnim dimenzijama regionalnih integracija</t>
  </si>
  <si>
    <t>A679081.004</t>
  </si>
  <si>
    <t>ERASMUS+  Poticanje mobilnosti studenata i znanstveno-nastavnog osoblja</t>
  </si>
  <si>
    <t>A679081.005</t>
  </si>
  <si>
    <t>INTERREG e-MOB</t>
  </si>
  <si>
    <t>A679081.006</t>
  </si>
  <si>
    <t>zakOČI</t>
  </si>
  <si>
    <t>A679081.007</t>
  </si>
  <si>
    <t>Povećanje razvoja novih proizvoda i usluga koji proizlaze iz aktivnosti istraživanja i razvoj</t>
  </si>
  <si>
    <t>A679115.001</t>
  </si>
  <si>
    <t>INTERREG IPA CBC Hrvatska - Srbija, Obnovljivi izvori energije za pametne, održive, zdravstvene centre, visokoobrazovne ustanove i druge javne zgrade</t>
  </si>
  <si>
    <t>A679115.002</t>
  </si>
  <si>
    <t>Centar za istraživanje, razvoj i inovacije - CIRI</t>
  </si>
  <si>
    <t>A679115.003</t>
  </si>
  <si>
    <t>Pametna naljepnica za mjerenje i praćenje uvjeta skladištenja i transporta proizvoda</t>
  </si>
  <si>
    <t>A679115.004</t>
  </si>
  <si>
    <t>A679115.005</t>
  </si>
  <si>
    <t>AVACS, Prilagodba povrtnih kultura novim agrometeorološkim uvjetima u Slavoniji</t>
  </si>
  <si>
    <t>A679115.006</t>
  </si>
  <si>
    <t>Dobra klima za turizam</t>
  </si>
  <si>
    <t>Vrhunska istraživanja Znanstvenih centara izvrsnosti</t>
  </si>
  <si>
    <t>K679084.002</t>
  </si>
  <si>
    <t>K679084.003</t>
  </si>
  <si>
    <t>Razvoj i jačanje sinergija s horizontalnim aktivnostima programa OBZOR 2020:  Twinning i ERA chairs</t>
  </si>
  <si>
    <t>K679084.004</t>
  </si>
  <si>
    <t>Poziv Modernizacija, unaprjeđenje i proširenje infrastrukture studentskog smještaja za studente u nepovoljnom položaju</t>
  </si>
  <si>
    <t>K679084.005</t>
  </si>
  <si>
    <t>K679084.006</t>
  </si>
  <si>
    <t>STRIP Jačanje kapaciteta za istraživanje, razvoj i inovacije</t>
  </si>
  <si>
    <t>K679084.007</t>
  </si>
  <si>
    <t>K679106.001</t>
  </si>
  <si>
    <t>K679106.003</t>
  </si>
  <si>
    <t>K679106.004</t>
  </si>
  <si>
    <t>SHARE Istraživanje o zdravlju, starenju i umirovljenju u Europi</t>
  </si>
  <si>
    <t>K679106.005</t>
  </si>
  <si>
    <t>Uspostava integralnog sustava za upravljanje službenom dokumentacijom Republike Hrvatske</t>
  </si>
  <si>
    <t>K679111.001</t>
  </si>
  <si>
    <t>Druga prilika za stjecanje kvalifikacije u visokom obrazovanju</t>
  </si>
  <si>
    <t>A622125.001</t>
  </si>
  <si>
    <t>H2020, Twinning: SmartEIZ</t>
  </si>
  <si>
    <t>A622125.003</t>
  </si>
  <si>
    <t>H2020 EuroFusion Istraživnja energije fuzije</t>
  </si>
  <si>
    <t>A622125.004</t>
  </si>
  <si>
    <t>H2020 PerformFISH Prevladavanje bioloških, tehničkih i operativnih pitanja u akvakulturi</t>
  </si>
  <si>
    <t>A622125.005</t>
  </si>
  <si>
    <t>H2020 NewSpindlForce Temeljna istraživanja dinamike diobenog vretena u cilju razumijevanja mehanizama stanične diobe</t>
  </si>
  <si>
    <t>A622125.006</t>
  </si>
  <si>
    <t>H2020 Concert Povezivanje istraživanja zaštite od zračenja na EU razini</t>
  </si>
  <si>
    <t>A622125.007</t>
  </si>
  <si>
    <t>H2020 PaRaDe SEC Unaprjeđenje istraživačke infrastrukture, posebice detektora čestica i zračenja za istraživanja u nuklearnoj i čestičnoj fizici</t>
  </si>
  <si>
    <t>A622125.009</t>
  </si>
  <si>
    <t>H2020 OpenAIRE-Advance Osiguravanje otvorenog pristupa i otvorene znanosti na razini EU</t>
  </si>
  <si>
    <t>A622125.010</t>
  </si>
  <si>
    <t>H2020 ESSnuSB Izrada studije o mogućnosti nadogradnje ESS akceleratora</t>
  </si>
  <si>
    <t>A622125.011</t>
  </si>
  <si>
    <t>H2020 EOSC-hub Katalog usluga, softvera i podataka iz EGI Federacije, EUDAT CDI, INDIGO - DataCloud i glavnih istraživačkih e-Infrastruktura</t>
  </si>
  <si>
    <t>A622125.013</t>
  </si>
  <si>
    <t>H2020 NEW Povezivanje komplementanih nacionalnih ion-beam postrojenja u virtualnu mrežu</t>
  </si>
  <si>
    <t>A622125.015</t>
  </si>
  <si>
    <t>H2020, ERA-net GeoERA Uspostava istraživačkog prostora europskih geoloških službi i stvaranje geološke službe za Europu</t>
  </si>
  <si>
    <t>A622125.016</t>
  </si>
  <si>
    <t>INTERREG CBC Hrvatska-BiH-Crna Gora SafEath Napredno upravljanje rizikom klizišta u regiji</t>
  </si>
  <si>
    <t>A622125.017</t>
  </si>
  <si>
    <t>INTERREG Danube SIMONA Informacijski sustav koji podupire transnacionalnu suradnju za zajedničko vodno gospodarstvo u slivu rijeke Dunav</t>
  </si>
  <si>
    <t>A622125.018</t>
  </si>
  <si>
    <t>INTERREG Danube: DARLINGe Podunavlje vodeća regija geotermalne energije</t>
  </si>
  <si>
    <t>A622125.019</t>
  </si>
  <si>
    <t>INTERREG Danube: CAMARO-D Primjena inovativnih međunarodnih „Razvojnih planova korištenja zemljišta“ radi utjecaja na vodni režim u slivu rijeke Dunav</t>
  </si>
  <si>
    <t>A622125.020</t>
  </si>
  <si>
    <t>INTERREG Central Europe: PROLINE-CE – Učinkovite prakse upravljanja zemljištem kroz zaštitu vodnih resursa i ne-strukturnih iskustava za ublažavanje poplava</t>
  </si>
  <si>
    <t>A622125.021</t>
  </si>
  <si>
    <t>CASE (Poland) - Razvoj i primjena inovativnih alata usmjerenih na ograničavanje fenomena neregistriranog rada u ustanovama suodgovornim za minimiziranje sive ekonomije na trzištu rada</t>
  </si>
  <si>
    <t>A622125.022</t>
  </si>
  <si>
    <t>OBZOR2020  HBM4EU Inicijativa Europskog humanog biomonitoringa izrada baze kohorti novorođenčeta u Europi</t>
  </si>
  <si>
    <t>A622125.026</t>
  </si>
  <si>
    <t>VOLPOWER Volontiranje kao doprinos interakciji i osnaživanju mladih</t>
  </si>
  <si>
    <t>A622125.028</t>
  </si>
  <si>
    <t>INTERREG Središnja Europa KEEP ON-Učinkovita politika za trajne i samoodržive projekte u sektoru kulturne baštine</t>
  </si>
  <si>
    <t>A622125.030</t>
  </si>
  <si>
    <t>Modeli integriranog turizma na Mediteranu plus</t>
  </si>
  <si>
    <t>A622125.031</t>
  </si>
  <si>
    <t>ERASMUS + SeasonREADY Obrazovanje za sezonske turističke djelatnike</t>
  </si>
  <si>
    <t>A622125.033</t>
  </si>
  <si>
    <t>ERASMUS+ SPECHALE  SPEcialisti za kulturnu baštinu i atraktivno životno okruženje</t>
  </si>
  <si>
    <t>A622125.034</t>
  </si>
  <si>
    <t>H2020 CHIEF Inovativni pristup kulturne pismenosti mladih Europljana</t>
  </si>
  <si>
    <t>A622125.037</t>
  </si>
  <si>
    <t>FloodSmart</t>
  </si>
  <si>
    <t>A622125.038</t>
  </si>
  <si>
    <t>BARMIG Pregovaranje uvjeta rada i socijalnih prava radnika migranata u državama srednje I istočne Europe</t>
  </si>
  <si>
    <t>A622125.039</t>
  </si>
  <si>
    <t>Širenje znanja o europskim radničkim vijećima u cilju jačanja transnacionalnih radničkih  prava</t>
  </si>
  <si>
    <t>A622125.040</t>
  </si>
  <si>
    <t>SoPHIA -  DRUŠTVENA PLATFORMA ZA PROCJENU UTICAJA HOLISTIČKE BAŠTINE</t>
  </si>
  <si>
    <t>A622125.041</t>
  </si>
  <si>
    <t>INTERREG-ENRAS Osiguranje sigurnosti intervencijskih postrojbi u slučaju nuklearne ili radiološke nesreće</t>
  </si>
  <si>
    <t>A622125.042</t>
  </si>
  <si>
    <t>OBZOR 2020 RISKGONE  Upravljanje rizikom od nanotehnologije</t>
  </si>
  <si>
    <t>A622125.043</t>
  </si>
  <si>
    <t>AIRQ Proširenje i modernizacija državne mreže za trajno praćenje kvalitete zraka</t>
  </si>
  <si>
    <t>A622125.044</t>
  </si>
  <si>
    <t>INTERREG DUNAV REFOSuS Otporne poplavne šume kao ekološki koridori rezervata biosfere Mura-Drava-Dunav</t>
  </si>
  <si>
    <t>A622125.045</t>
  </si>
  <si>
    <t>LIFE SySTEMIC Održivo upravljanje šuma u  uvjetima klimatskih promjena</t>
  </si>
  <si>
    <t>A622125.046</t>
  </si>
  <si>
    <t>CLEARING HOUSE  Suradnja u učenju kako rješenja utemeljena na urbanim stablima podržavaju kinesko-europsku urbanu budućnost</t>
  </si>
  <si>
    <t>A622125.047</t>
  </si>
  <si>
    <t>Horizon2020  M4F Modeliranje za fuzijske i fizijske materijale</t>
  </si>
  <si>
    <t>A622125.048</t>
  </si>
  <si>
    <t>IAEA-program standardiziranih reagensa i pozitivnih kontrola</t>
  </si>
  <si>
    <t>A622125.049</t>
  </si>
  <si>
    <t>Horizon2020: MedAID  Integrirani razvoj mediteranske akvakulture</t>
  </si>
  <si>
    <t>A622125.050</t>
  </si>
  <si>
    <t>INTERREG IT-HR  AdriAquaNet - projekt jačanja i održivosti akvakulture u Jadranskom moru</t>
  </si>
  <si>
    <t>A622125.051</t>
  </si>
  <si>
    <t>INTERREG IT-HR ASTERIS</t>
  </si>
  <si>
    <t>A622125.052</t>
  </si>
  <si>
    <t>STRONG-2020 - Jaka interakcija na granici znanja</t>
  </si>
  <si>
    <t>A622125.053</t>
  </si>
  <si>
    <t>NI4OS-Europe - Nacionalne inicijative za otvorenu znanost u Europi</t>
  </si>
  <si>
    <t>A622125.054</t>
  </si>
  <si>
    <t>ERASMUS+ Hand in Hand</t>
  </si>
  <si>
    <t>A622125.055</t>
  </si>
  <si>
    <t>ERASMUS+ Podrška boljem znanju u području politike mladih (Youth Wiki)</t>
  </si>
  <si>
    <t>A622125.056</t>
  </si>
  <si>
    <t>INTERREG IT-HR CBC SLIDES  Pametne strategije za održivi turizam u životno kulturnim odrednicama</t>
  </si>
  <si>
    <t>A622125.057</t>
  </si>
  <si>
    <t>INTERREG EUROPE LOCAL FLAVOURS Autentični turizam temeljen na lokalnim kulturnim ukusima</t>
  </si>
  <si>
    <t>A622125.058</t>
  </si>
  <si>
    <t>WINTTER MED</t>
  </si>
  <si>
    <t>A622125.059</t>
  </si>
  <si>
    <t>SPRINT -Prijelaz održive zaštite bilja</t>
  </si>
  <si>
    <t>A622125.060</t>
  </si>
  <si>
    <t>H2020 DARE-Dijalog o radikalizaciji i jednakosti</t>
  </si>
  <si>
    <t>A622125.061</t>
  </si>
  <si>
    <t>INNO-WISE: Tehnologije, kompetencije i društvene inovacije za radnu integraciju društvena poduzeća</t>
  </si>
  <si>
    <t>A622125.062</t>
  </si>
  <si>
    <t>ERASMUS+ Poboljšanje vještina strukovnog obrazovanja i osposobljavanja</t>
  </si>
  <si>
    <t>A622125.063</t>
  </si>
  <si>
    <t>COST- Integriranje neandertalnog nasljeđa: od prošlosti do danas - iNEAL</t>
  </si>
  <si>
    <t>A622125.064</t>
  </si>
  <si>
    <t>INTERREG - Dunavski limes</t>
  </si>
  <si>
    <t>A622125.065</t>
  </si>
  <si>
    <t>RESPONSe - INTERREG ITALIJA-HRVATSKA</t>
  </si>
  <si>
    <t>A622125.066</t>
  </si>
  <si>
    <t>Interreg- Srednja Europa project CE1412</t>
  </si>
  <si>
    <t>A622125.067</t>
  </si>
  <si>
    <t>DEEPWATER-CE- Razvoj integriranog provedbenog okvira radi zaštite vodnih resursa</t>
  </si>
  <si>
    <t>A622125.068</t>
  </si>
  <si>
    <t>MUHA-upravljanje vodnim sustavima tijekom rizika od hazarda</t>
  </si>
  <si>
    <t>A622125.069</t>
  </si>
  <si>
    <t>INTERREG V-A Italija-Hrvatska 2014.-2020.</t>
  </si>
  <si>
    <t>A622125.070</t>
  </si>
  <si>
    <t>DESTIMED-Ekoturizam u mediteranskim destinacijama-od praćenja i planiranja do promicanja i podrške</t>
  </si>
  <si>
    <t>A622125.071</t>
  </si>
  <si>
    <t>INTERREG Središnja Europa</t>
  </si>
  <si>
    <t>A622125.072</t>
  </si>
  <si>
    <t>ERASMUS-Jean Monnet</t>
  </si>
  <si>
    <t>A622125.073</t>
  </si>
  <si>
    <t>MPM2020/2021</t>
  </si>
  <si>
    <t>A622125.074</t>
  </si>
  <si>
    <t>CEKOM</t>
  </si>
  <si>
    <t>A622125.075</t>
  </si>
  <si>
    <t>Interreg-IPA CBC HR-BIH-MAKEDONIJA</t>
  </si>
  <si>
    <t>A622125.076</t>
  </si>
  <si>
    <t>Klimatske promjene</t>
  </si>
  <si>
    <t>A622125.077</t>
  </si>
  <si>
    <t>HORIZON 2020 PHOENIX-Proizvodnja i testiranje nano lijekova</t>
  </si>
  <si>
    <t>A622125.078</t>
  </si>
  <si>
    <t>H2020 INVENT - Europski popis društvenih vrijednosti kulture kao osnova za inkluzivne kulturne politike u svijetu globalizacije</t>
  </si>
  <si>
    <t>A622125.079</t>
  </si>
  <si>
    <t>Erasmus + „BESPLATNO DODAJ - Prevencija ovisnosti o pušenju, alkoholu i internetu među djecom i adolescentima: pristup obiteljskoj orijentaciji za odrasle učenike i odgajatelje</t>
  </si>
  <si>
    <t>A622125.080</t>
  </si>
  <si>
    <t>H2020-WIDESPREAD-Twinning kordinacijska akcija u području otvorenih podataka</t>
  </si>
  <si>
    <t>A622125.081</t>
  </si>
  <si>
    <t>ERASMUS+, IDEA</t>
  </si>
  <si>
    <t>A622125.082</t>
  </si>
  <si>
    <t>H2020 2018-2021 GeoTwinn</t>
  </si>
  <si>
    <t>A622125.083</t>
  </si>
  <si>
    <t>INTERREG boDEREC CE</t>
  </si>
  <si>
    <t>A622125.084</t>
  </si>
  <si>
    <t>INTERREG RESTAURA - Revitalising Historic Buildings through Public-Private Partnership Schemes</t>
  </si>
  <si>
    <t>A622125.085</t>
  </si>
  <si>
    <t>A622125.086</t>
  </si>
  <si>
    <t>Project BORDERPASS within the Danube Transnational Programme</t>
  </si>
  <si>
    <t>A622125.087</t>
  </si>
  <si>
    <t>Project 'RAMBOLL '</t>
  </si>
  <si>
    <t>A622125.088</t>
  </si>
  <si>
    <t>Adoption of Industrial Relations  towards new Forms of Work</t>
  </si>
  <si>
    <t>A622125.089</t>
  </si>
  <si>
    <t>Erasmus + the Union programme for education,training, youth and sport and repealing Decisions</t>
  </si>
  <si>
    <t>A622125.090</t>
  </si>
  <si>
    <t>H2020 ECDP-European Cohort Development Project</t>
  </si>
  <si>
    <t>A622125.091</t>
  </si>
  <si>
    <t>ERASMUS + SKILLS BORD 2017+1-ELO1-KA202-036296</t>
  </si>
  <si>
    <t>A622125.092</t>
  </si>
  <si>
    <t>EU-DONES</t>
  </si>
  <si>
    <t>A622125.093</t>
  </si>
  <si>
    <t>MEMBRANESACT, Biološke membrane na djelu: Poveznica proteinskih međudjelovanja, stvaranja makrostruktura i aktivnog transporta</t>
  </si>
  <si>
    <t>A622125.094</t>
  </si>
  <si>
    <t>MARILIA-Mara-Based Industrial Low-Cost Identification Assays</t>
  </si>
  <si>
    <t>A622125.095</t>
  </si>
  <si>
    <t>STREPUNLOCKED, Otključavanje potencijala za proizvodnju antibiotika u tlubakterija Streptomyces coelicolor</t>
  </si>
  <si>
    <t>A622125.096</t>
  </si>
  <si>
    <t>MUSICA, Podrijetlo novih magnetskih struktura - mrlja u difuznom Galaktičkom međuzvjezdanom mediju (ISM) koji zatamnjuju kozmičku zoru</t>
  </si>
  <si>
    <t>A622125.097</t>
  </si>
  <si>
    <t>ERC Synergy Grant ANEUPLOIDY, Molekularno porijeklo aneuploidija u zdravim i oboljelim ljudskim tkivima</t>
  </si>
  <si>
    <t>A622125.099</t>
  </si>
  <si>
    <t>EU-H-INDIGO DATA CLOUD</t>
  </si>
  <si>
    <t>A622125.100</t>
  </si>
  <si>
    <t>A622125.101</t>
  </si>
  <si>
    <t>EU-H-SESAME NET</t>
  </si>
  <si>
    <t>A622125.102</t>
  </si>
  <si>
    <t>TETRAMAX_HeartStep</t>
  </si>
  <si>
    <t>A622125.103</t>
  </si>
  <si>
    <t>EU-3D CPAM</t>
  </si>
  <si>
    <t>A622125.104</t>
  </si>
  <si>
    <t>EU-EMPIR 17RPT01 DOSETRACE</t>
  </si>
  <si>
    <t>A622125.105</t>
  </si>
  <si>
    <t>A622125.106</t>
  </si>
  <si>
    <t>EU -HORIZON-RECORD IT</t>
  </si>
  <si>
    <t>A622125.107</t>
  </si>
  <si>
    <t>MAESTRA, Učenje iz masivnih, nepotpuno zabilježenih i strukturiranih podataka</t>
  </si>
  <si>
    <t>A622125.108</t>
  </si>
  <si>
    <t>THYMISTEM, Kontroliranje diferencijacije i proliferacije u ljudskim matičnim stanicama namijenjenim za terapijsku upotrebu.</t>
  </si>
  <si>
    <t>A622125.109</t>
  </si>
  <si>
    <t>H2020, EGI ENGAGE -Engaging the EGI Community towards an Open Science Commons</t>
  </si>
  <si>
    <t>A622125.110</t>
  </si>
  <si>
    <t>H2020 PROMISE-PROMoting youth Involvement and Social Engagement</t>
  </si>
  <si>
    <t>A622125.111</t>
  </si>
  <si>
    <t>A622125.112</t>
  </si>
  <si>
    <t>A622125.114</t>
  </si>
  <si>
    <t>Molecular Quantum Simulations – MOQS</t>
  </si>
  <si>
    <t>A622125.116</t>
  </si>
  <si>
    <t>H2020 Unravelling Data for Rapid Evidence-Based Response to COVID 19 (unCoVer)</t>
  </si>
  <si>
    <t>A622125.117</t>
  </si>
  <si>
    <t>RESPONSa - U programa INTERREG IPA CBC Hrvatska-Bosna i Hercegovina-Crna Gora 2014-2020</t>
  </si>
  <si>
    <t>A622125.118</t>
  </si>
  <si>
    <t>GeoTwinn H2020 2018-2021</t>
  </si>
  <si>
    <t>A622125.119</t>
  </si>
  <si>
    <t>boDEREC CE Interreg</t>
  </si>
  <si>
    <t>A622125.120</t>
  </si>
  <si>
    <t>Geotehnički fakultet Varaždin - Ministarstvo zaštite okoliša i energetike iz EU sredstva Europskog fonda za reg razvoj</t>
  </si>
  <si>
    <t>A622125.121</t>
  </si>
  <si>
    <t>EU-SMART-NANO</t>
  </si>
  <si>
    <t>A622125.122</t>
  </si>
  <si>
    <t>Bioraznolikost i molekularno oplemenjivanje bilja</t>
  </si>
  <si>
    <t>K622128.001</t>
  </si>
  <si>
    <t>K622128.002</t>
  </si>
  <si>
    <t>K622128.003</t>
  </si>
  <si>
    <t>Veliki projekt: Otvorene znanstvene infrastrukturne platforme za inovativne primjene u gospodarstvu i društvu – O–ZIP</t>
  </si>
  <si>
    <t>K622128.004</t>
  </si>
  <si>
    <t>K622128.007</t>
  </si>
  <si>
    <t>Strateški projekt "Centar za napredne laserske tehnike"</t>
  </si>
  <si>
    <t>K622128.008</t>
  </si>
  <si>
    <t>K622128.009</t>
  </si>
  <si>
    <t>K628080.001</t>
  </si>
  <si>
    <t>II. faza programa "e-Škole: Cjelovita informatizacija procesa poslovanja škola i nastavnih procesa u svrhu stvaranja ditigalno zrelih škola za 21. stoljeće"</t>
  </si>
  <si>
    <t>K628081.001</t>
  </si>
  <si>
    <t>II. faza programa "e-Škole: Cjelovita informatizacija procesa poslovanja škola i nastavnih procesa u svrhu stvaranja digitalno zrelih škola za 21. stoljeće"</t>
  </si>
  <si>
    <t>K628081.002</t>
  </si>
  <si>
    <t>K628087.001</t>
  </si>
  <si>
    <t>Znanstveno i tehnologijsko predviđanje - sustav CroRIS</t>
  </si>
  <si>
    <t>K628087.002</t>
  </si>
  <si>
    <t>Hrvatski znanstveni i obrazovni oblak (HR ZOO)</t>
  </si>
  <si>
    <t>K848038.001</t>
  </si>
  <si>
    <t>Modernizacija sustava stručnog usavršavanja nastavnika strukovnih predmeta</t>
  </si>
  <si>
    <t>K848038.002</t>
  </si>
  <si>
    <t>Modernizacija sustava strukovnog obrazovanja i osposobljavanja</t>
  </si>
  <si>
    <t>K848038.003</t>
  </si>
  <si>
    <t>Osiguravanje kvalitete u sustavu obrazovanja odraslih</t>
  </si>
  <si>
    <t>K848038.004</t>
  </si>
  <si>
    <t>Promocija učeničkih kompetencija i strukovnog obrazovanja kroz strukovna natjecanja i smotre</t>
  </si>
  <si>
    <t>K848038.005</t>
  </si>
  <si>
    <t>Promocija cjeloživotnog učenja – faza II</t>
  </si>
  <si>
    <t>K848038.006</t>
  </si>
  <si>
    <t>E škole</t>
  </si>
  <si>
    <t>PLAN PRIHODA I PRIMITAKA</t>
  </si>
  <si>
    <t>u kunama</t>
  </si>
  <si>
    <t>Izvor prihoda i primitaka</t>
  </si>
  <si>
    <t>2022.</t>
  </si>
  <si>
    <t>Godina</t>
  </si>
  <si>
    <t>Stavka</t>
  </si>
  <si>
    <t>Naziv stavke</t>
  </si>
  <si>
    <t xml:space="preserve">Ukupno </t>
  </si>
  <si>
    <t xml:space="preserve">IZVOR 11             Opći prihodi i primici </t>
  </si>
  <si>
    <t>IZVOR 12             Sredstva učešća za pomoći</t>
  </si>
  <si>
    <t xml:space="preserve">IZVOR 31                  Vlastiti prihodi </t>
  </si>
  <si>
    <t xml:space="preserve">IZVOR 41                  Vlastiti prihodi </t>
  </si>
  <si>
    <t xml:space="preserve">IZVOR 43                   Prihodi za posebne namjene </t>
  </si>
  <si>
    <t>IZVOR 51                              Pomoći EU</t>
  </si>
  <si>
    <t xml:space="preserve">IZVOR 52                              Ostale pomoći </t>
  </si>
  <si>
    <t xml:space="preserve">IZVOR 552                             Ostale pomoći </t>
  </si>
  <si>
    <t>IZVOR 559                          Ostale refundacije iz sredstava EU</t>
  </si>
  <si>
    <t>IZVOR 561                         Europski socijalni fond (ESF)</t>
  </si>
  <si>
    <t>IZVOR 563                         Europski fond za regionalni razvoj (EFRR)</t>
  </si>
  <si>
    <t>573 Instrumenti Europskog gospodarskog prostora i ostali instrumenti</t>
  </si>
  <si>
    <t>575 Fondovi za unutarnje poslove</t>
  </si>
  <si>
    <t>576 Fond solidarnosti Europske unije</t>
  </si>
  <si>
    <t>IZVOR 581                Mehanizam za oporavak i otpornost</t>
  </si>
  <si>
    <t xml:space="preserve">IZVOR 61                         Donacije </t>
  </si>
  <si>
    <t xml:space="preserve">IZVOR 63                         Inozemne donacije </t>
  </si>
  <si>
    <t>IZVOR 71                          Prihodi od nefinancijske imovine i nadoknade šteta s osnova osiguranja</t>
  </si>
  <si>
    <t>IZVOR 81                Namjenski primici od zaduživanja</t>
  </si>
  <si>
    <t>PRIHODI (6+7)</t>
  </si>
  <si>
    <r>
      <rPr>
        <sz val="10"/>
        <color theme="1"/>
        <rFont val="Calibri"/>
        <family val="2"/>
        <charset val="238"/>
      </rPr>
      <t xml:space="preserve">ODNOS </t>
    </r>
    <r>
      <rPr>
        <b/>
        <sz val="10"/>
        <color theme="1"/>
        <rFont val="Calibri"/>
        <family val="2"/>
        <charset val="238"/>
      </rPr>
      <t>(unosi se s negativnim predznakom)</t>
    </r>
  </si>
  <si>
    <t>LIMIT ZA RASHODNU STRANU</t>
  </si>
  <si>
    <t>RASHODI</t>
  </si>
  <si>
    <t>KONTROLA</t>
  </si>
  <si>
    <t>614</t>
  </si>
  <si>
    <t>Naknade za priređivanje igara na sreću</t>
  </si>
  <si>
    <t>631</t>
  </si>
  <si>
    <t>Pomoći od inozemnih vlada</t>
  </si>
  <si>
    <t>632</t>
  </si>
  <si>
    <t>Pomoći od međunarodnih organizacija te institucija i tijela EU</t>
  </si>
  <si>
    <t>634</t>
  </si>
  <si>
    <t>Pomoći od izvanproračunskih korisnika</t>
  </si>
  <si>
    <t>636</t>
  </si>
  <si>
    <t>Pomoći proračunskim korisnicima iz proračuna koji im nije nadležan</t>
  </si>
  <si>
    <t>638</t>
  </si>
  <si>
    <t>Pomoći temeljem prijenosa EU sredstava</t>
  </si>
  <si>
    <t>639</t>
  </si>
  <si>
    <t>Prijenosi između proračunskih korisnika istog proračuna</t>
  </si>
  <si>
    <t>641</t>
  </si>
  <si>
    <t>Prihodi od financijske imovine</t>
  </si>
  <si>
    <t>642</t>
  </si>
  <si>
    <t>Prihodi od nefinancijske imovine</t>
  </si>
  <si>
    <t>651</t>
  </si>
  <si>
    <t xml:space="preserve">Upravne i administrativne pristojbe </t>
  </si>
  <si>
    <t>652</t>
  </si>
  <si>
    <t>Prihodi po posebnim propisima</t>
  </si>
  <si>
    <t>661</t>
  </si>
  <si>
    <t>Prihodi od prodaje proizvoda i robe te pruženih usluga</t>
  </si>
  <si>
    <t>663</t>
  </si>
  <si>
    <t>Donacije od pravnih i fizičkih osoba izvan općeg proračuna</t>
  </si>
  <si>
    <t>671</t>
  </si>
  <si>
    <t>681</t>
  </si>
  <si>
    <t>Kazne i upravne mjere</t>
  </si>
  <si>
    <t>683</t>
  </si>
  <si>
    <t>Ostali prihodi</t>
  </si>
  <si>
    <t>6</t>
  </si>
  <si>
    <t>UKUPNO:</t>
  </si>
  <si>
    <t>711</t>
  </si>
  <si>
    <t>Prihodi od prodaje materijalne imovine - prirodnih bogatstava</t>
  </si>
  <si>
    <t>712</t>
  </si>
  <si>
    <t>Prihodi od prodaje nematerijalne imovine</t>
  </si>
  <si>
    <t>721</t>
  </si>
  <si>
    <t>Prihodi od prodaje građevinskih objekata</t>
  </si>
  <si>
    <t>722</t>
  </si>
  <si>
    <t>Prihodi od prodaje postrojenja i opreme</t>
  </si>
  <si>
    <t>723</t>
  </si>
  <si>
    <t>Prihodi od prodaje prijevoznih sredstava</t>
  </si>
  <si>
    <t>725</t>
  </si>
  <si>
    <t>Prihodi od prodaje višegodišnjih nasada i osnovnog stada</t>
  </si>
  <si>
    <t>7</t>
  </si>
  <si>
    <t>Primici od povrata depozita i jamčevnih pologa</t>
  </si>
  <si>
    <t>Primici od prodaje dionica i udjela u glavnici trg.dr. u javnom sektoru</t>
  </si>
  <si>
    <t>Primici od prodaje dionica i udjela u glavnici kreditnih i ostalih fin.institucija izvan jav.sektora</t>
  </si>
  <si>
    <t xml:space="preserve">Primljeni krediti i zajmovi od međ.org.,institucija i tijela EU te inozemnih vlada </t>
  </si>
  <si>
    <t>Primljeni krediti i zajmovi od kreditnih i ostalih financijskih institucija u javnom sektoru</t>
  </si>
  <si>
    <t>8</t>
  </si>
  <si>
    <t>Ukupno (po izvorima)</t>
  </si>
  <si>
    <t>2023.</t>
  </si>
  <si>
    <r>
      <rPr>
        <sz val="10"/>
        <color theme="1"/>
        <rFont val="Calibri"/>
        <family val="2"/>
        <charset val="238"/>
      </rPr>
      <t xml:space="preserve">ODNOS </t>
    </r>
    <r>
      <rPr>
        <b/>
        <sz val="10"/>
        <color theme="1"/>
        <rFont val="Calibri"/>
        <family val="2"/>
        <charset val="238"/>
      </rPr>
      <t>(unosi se s negativnim predznakom)</t>
    </r>
  </si>
  <si>
    <t>2024.</t>
  </si>
  <si>
    <r>
      <rPr>
        <sz val="10"/>
        <color theme="1"/>
        <rFont val="Calibri"/>
        <family val="2"/>
        <charset val="238"/>
      </rPr>
      <t xml:space="preserve">ODNOS </t>
    </r>
    <r>
      <rPr>
        <b/>
        <sz val="10"/>
        <color theme="1"/>
        <rFont val="Calibri"/>
        <family val="2"/>
        <charset val="238"/>
      </rPr>
      <t>(unosi se s negativnim predznakom)</t>
    </r>
  </si>
  <si>
    <t>FINANCIJSKI PLAN RASHODA I IZDATAKA ZA 2022. GODINU I PROJEKCIJE ZA 2023. I 2024. GODINU</t>
  </si>
  <si>
    <t>Šifra</t>
  </si>
  <si>
    <t>Naziv</t>
  </si>
  <si>
    <t>PRIJEDLOG PLANA 
UKUPNO za 2022.</t>
  </si>
  <si>
    <t xml:space="preserve">IZVOR 11              Opći prihodi i primici </t>
  </si>
  <si>
    <t>IZVOR 71                          Prihodi od nefin. imovine i nadoknade šteta s osnova osig.</t>
  </si>
  <si>
    <t>UKUPNO RASHODI I IZDACI</t>
  </si>
  <si>
    <t>RASHODI POSLOVANJA</t>
  </si>
  <si>
    <t>Rashodi za zaposlene</t>
  </si>
  <si>
    <t>Plaće</t>
  </si>
  <si>
    <t>Doprinisi na plaće</t>
  </si>
  <si>
    <t>Materijalni rashodi</t>
  </si>
  <si>
    <t>Naknade troškova zaposlenima</t>
  </si>
  <si>
    <t>Rashodi za materijal i energiju</t>
  </si>
  <si>
    <t>Rashodi za usluge</t>
  </si>
  <si>
    <t>Financijski rashodi</t>
  </si>
  <si>
    <t>Kamate za izdane vrijednosne papire</t>
  </si>
  <si>
    <t>Kamate za primljene kredite i zajmove</t>
  </si>
  <si>
    <t>Ostali financijski rashodi</t>
  </si>
  <si>
    <t>Subvencije</t>
  </si>
  <si>
    <t>Subvencije trgovačkim društvima, zadrugama, poljoprivrednicima i obrtnicima izvan javnog sektora</t>
  </si>
  <si>
    <t xml:space="preserve">Subvencije trgovačkim društvima, zadrugama, poljoprivrednicima i obrtnicima iz EU sredstava </t>
  </si>
  <si>
    <t>Pomoći dane u inozemstvo i unutar općeg proračuna</t>
  </si>
  <si>
    <t>Pomoći inozemnim vladama</t>
  </si>
  <si>
    <t>Pomoći međunarodnim organizacijama te institucijama i tijelima EU</t>
  </si>
  <si>
    <t>Pomoći unutar općeg proračuna</t>
  </si>
  <si>
    <t>Pomoći proračunskim korisnicima drugih proračuna</t>
  </si>
  <si>
    <t>Naknade građanima i kućanstvima na temelju osiguranja i druge naknade</t>
  </si>
  <si>
    <t>Naknade građanima i kućanstvima na temelju osiguranja</t>
  </si>
  <si>
    <t>Ostale naknade građanima i kućanstvima iz proračuna</t>
  </si>
  <si>
    <t>Ostali rashodi</t>
  </si>
  <si>
    <t>Tekuće donacije</t>
  </si>
  <si>
    <t>Kapitalne donacije</t>
  </si>
  <si>
    <t>Kazne, penali i naknade štete</t>
  </si>
  <si>
    <t xml:space="preserve">Kapitalne pomoći </t>
  </si>
  <si>
    <t>RASHODI ZA NABAVU NEFINANCIJSKE IMOVINE</t>
  </si>
  <si>
    <t>Rashodi za nabavu neproizvedene dugotrajne imovine</t>
  </si>
  <si>
    <t>Materijalna imovina - prirodna bogatstva</t>
  </si>
  <si>
    <t>Nematerijalna imovina</t>
  </si>
  <si>
    <t>Rashodi za nabavu proizvedene dugotrajne imovine</t>
  </si>
  <si>
    <t>Građevinski objekti</t>
  </si>
  <si>
    <t>Postrojenja i oprema</t>
  </si>
  <si>
    <t>Prijevozna sredstva</t>
  </si>
  <si>
    <t>Knjige, umjetnička djela i ostale izložbene vrijednosti</t>
  </si>
  <si>
    <t>Višegodišnji nasadi i osnovno stado</t>
  </si>
  <si>
    <t>Nematerijalna proizvedena imovina</t>
  </si>
  <si>
    <t>Plemeniti metali i ostale pohranjene vrijednosti</t>
  </si>
  <si>
    <t>Rashodi za nabavu proizvedene kratkotrajne imovine</t>
  </si>
  <si>
    <t>Rashodi za nabavu zaliha</t>
  </si>
  <si>
    <t>Rashodi za dodatna ulaganja na nefinancijskoj imovini</t>
  </si>
  <si>
    <t>Izdaci za dane zajmove i depozite</t>
  </si>
  <si>
    <t>Izdaci za dane zajmove neprofitnim organizacijama, građanima i kućanstvima</t>
  </si>
  <si>
    <t>Izdaci za dane zajmove trgovačkim društvima u javnom sektoru</t>
  </si>
  <si>
    <t xml:space="preserve">Izdaci za depozite i jamčevne pologe </t>
  </si>
  <si>
    <t>Izdaci za otplatu glavnice primljenih kredita i zajmova</t>
  </si>
  <si>
    <t>Otplata glavnice primljenih kredita i zajmova od kreditnih i ostalih financijskih institucija u javnom sektoru</t>
  </si>
  <si>
    <t>Otplata glavnice primljenih kredita i zajmova od kreditnih i ostalih financijskih institucija izvan javnog sektora</t>
  </si>
  <si>
    <t>Otplata glavnice primljenih zajmova od trgovačkih društava i obrtnika izvan javnog sektora</t>
  </si>
  <si>
    <t>Otplata glavnice primljenih zajmova od drugih razina vlasti</t>
  </si>
  <si>
    <t>PROJEKCIJA PLANA 
UKUPNO za 2023.</t>
  </si>
  <si>
    <t>PROJEKCIJA PLANA 
UKUPNO za 2024.</t>
  </si>
  <si>
    <t>UKUPNO RASHODI</t>
  </si>
  <si>
    <t>Prilog 6. PLAN IZDATAKA ZA FINANCIJSKU IMOVINU I OTPLATE ZAJMOVA</t>
  </si>
  <si>
    <t>Razdjel/Glava       ______________________________</t>
  </si>
  <si>
    <t>Izdaci za financijsku imovinu i otplate zajmova</t>
  </si>
  <si>
    <t>Izvor financiranja</t>
  </si>
  <si>
    <t>Aktivnost/ Projekt</t>
  </si>
  <si>
    <t>Konto izdatka</t>
  </si>
  <si>
    <t>Osigurano u 2021.</t>
  </si>
  <si>
    <t>Prijedlog za 
2022.</t>
  </si>
  <si>
    <t>Prijedlog za 
2023.</t>
  </si>
  <si>
    <t>Prijedlog za 
2024.</t>
  </si>
  <si>
    <t>Potpis odgovorne osobe:</t>
  </si>
  <si>
    <t>Mjesto i datum:</t>
  </si>
  <si>
    <t>Napomena:</t>
  </si>
  <si>
    <t>080</t>
  </si>
  <si>
    <t>NOVI AKT</t>
  </si>
  <si>
    <t>NAZIV AKTIVNOSTI / PROJEKTA</t>
  </si>
  <si>
    <t>Ministarstvo znanosti i obrazovanja</t>
  </si>
  <si>
    <t>A767029</t>
  </si>
  <si>
    <t>DRUGI PROJEKT TEHNOLOGIJSKOG RAZVOJA</t>
  </si>
  <si>
    <t>K578051</t>
  </si>
  <si>
    <t>OP KONKURENTNOST I KOHEZIJA 2014.-2020., PRIORITET 1, 9 i 10</t>
  </si>
  <si>
    <t>unos P4</t>
  </si>
  <si>
    <t>K818050</t>
  </si>
  <si>
    <t>OP UČINKOVITI LJUDSKI POTENCIJALI 2014.-2020., PRIORITET 3 i 4</t>
  </si>
  <si>
    <t>A679071</t>
  </si>
  <si>
    <t>EU PROJEKTI SVEUČILIŠTA U OSIJEKU (IZ EVIDENCIJSKIH PRIHODA)</t>
  </si>
  <si>
    <t>A679072</t>
  </si>
  <si>
    <t>EU PROJEKTI SVEUČILIŠTA U RIJECI (IZ EVIDENCIJSKIH PRIHODA)</t>
  </si>
  <si>
    <t>A679073</t>
  </si>
  <si>
    <t>EU PROJEKTI SVEUČILIŠTA U DUBROVNIKU (IZ EVIDENCIJSKIH PRIHODA)</t>
  </si>
  <si>
    <t>A679074</t>
  </si>
  <si>
    <t>EU PROJEKTI SVEUČILIŠTA U ZADRU (IZ EVIDENCIJSKIH PRIHODA)</t>
  </si>
  <si>
    <t>A679075</t>
  </si>
  <si>
    <t>EU PROJEKTI SVEUČILIŠTA U PULI (IZ EVIDENCIJSKIH PRIHODA)</t>
  </si>
  <si>
    <t>A679076</t>
  </si>
  <si>
    <t>EU PROJEKTI VELEUČILIŠTA I VISOKIH ŠKOLA (IZ EVIDENCIJSKIH PRIHODA)</t>
  </si>
  <si>
    <t>A679077</t>
  </si>
  <si>
    <t>EU PROJEKTI SVEUČILIŠTA U SPLITU (IZ EVIDENCIJSKIH PRIHODA)</t>
  </si>
  <si>
    <t>A679078</t>
  </si>
  <si>
    <t>EU PROJEKTI SVEUČILIŠTA U ZAGREBU (IZ EVIDENCIJSKIH PRIHODA)</t>
  </si>
  <si>
    <t>A679081</t>
  </si>
  <si>
    <t>EU PROJEKTI SVEUČILIŠTA SJEVER (IZ EVIDENCIJSKIH PRIHODA)</t>
  </si>
  <si>
    <t>A679115</t>
  </si>
  <si>
    <t>EU PROJEKTI SVEUČILIŠTA U SLAVONSKOM BRODU  (IZ EVIDENCIJSKIH PRIHODA)</t>
  </si>
  <si>
    <t>K679084</t>
  </si>
  <si>
    <t>K679106</t>
  </si>
  <si>
    <t>K679111</t>
  </si>
  <si>
    <t>OP UČINKOVITI LJUDSKI POTENCIJALI 2014.-2020., PRIORITET 1 - GARANCIJA ZA MLADE</t>
  </si>
  <si>
    <t>Javni instituti u Republici Hrvatskoj</t>
  </si>
  <si>
    <t>A622125</t>
  </si>
  <si>
    <t>EU PROJEKTI JAVNIH INSTITUTA (IZ EVIDENCIJSKIH PRIHODA)</t>
  </si>
  <si>
    <t>K622128</t>
  </si>
  <si>
    <t>OP KONKURENTNOST I KOHEZIJA 2014.-2020., PRIORITET 1 i 10</t>
  </si>
  <si>
    <t>Državni zavod za intelektualno vlasništvo</t>
  </si>
  <si>
    <t>21836</t>
  </si>
  <si>
    <t>Nacionalna i sveučilišna knjižnica</t>
  </si>
  <si>
    <t>21852</t>
  </si>
  <si>
    <t>Hrvatska akademska i istraživačka mreža Carnet</t>
  </si>
  <si>
    <t>K628080</t>
  </si>
  <si>
    <t>OP KONKURENTNOST I KOHEZIJA 2014.-2020., PRIORITET 9</t>
  </si>
  <si>
    <t>K628081</t>
  </si>
  <si>
    <t>21869</t>
  </si>
  <si>
    <t>Leksikografski zavod Miroslav Krleža</t>
  </si>
  <si>
    <t>23665</t>
  </si>
  <si>
    <t>Sveučilišni računski centar SRCE</t>
  </si>
  <si>
    <t>K628087</t>
  </si>
  <si>
    <t>OP KONKURENTNOST I KOHEZIJA 2014.-2020., PRIORITETI 1 i 10</t>
  </si>
  <si>
    <t>23962</t>
  </si>
  <si>
    <t>Agencija za odgoj i obrazovanje</t>
  </si>
  <si>
    <t>38487</t>
  </si>
  <si>
    <t>Agencija za znanost i visoko obrazovanje</t>
  </si>
  <si>
    <t>40883</t>
  </si>
  <si>
    <t>Nacionalni centar za vanjsko vrednovanje obrazovanja</t>
  </si>
  <si>
    <t>43335</t>
  </si>
  <si>
    <t>Agencija za mobilnost i programe Europske unije</t>
  </si>
  <si>
    <t>46173</t>
  </si>
  <si>
    <t>Agencija za strukovno obrazovanje i obrazovanje odraslih</t>
  </si>
  <si>
    <t>K848038</t>
  </si>
  <si>
    <t>PODPROJEKTI (P4)</t>
  </si>
  <si>
    <t>Dopušteni izvor</t>
  </si>
  <si>
    <t>Unos</t>
  </si>
  <si>
    <t>A679078.641</t>
  </si>
  <si>
    <t>PROBITECT - Sinergijska inovativna kombinacija sastavnica mikrobiote kao osnova za razvoj inovativnih topikalnih proizvoda za tretiranje i prevenciju upalnih stanja humane kože</t>
  </si>
  <si>
    <t>A679078.637</t>
  </si>
  <si>
    <t>A679078.639</t>
  </si>
  <si>
    <t>Obzor 2020 MEDICTA - Razvoj sustava za diktiranje medicinskih nalaza na bosanskom / hrvatskom / srpskom jeziku uključujući latinske izraze</t>
  </si>
  <si>
    <t>ROUTE ( HORIZON )- Putokaz iz medicinskih pustinja u inicijative i politike zdravstvene radne snage koje podržavaju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</si>
</sst>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&quot;.&quot;"/>
    <numFmt numFmtId="165" formatCode="00000000"/>
    <numFmt numFmtId="166" formatCode="&quot;kn&quot;#,##0.00_);[Red]\(&quot;kn&quot;#,##0.00\)"/>
    <numFmt numFmtId="167" formatCode="#,##0_ ;\-#,##0\ "/>
    <numFmt numFmtId="168" formatCode="dd/mm/yy/"/>
    <numFmt numFmtId="169" formatCode="&quot;- &quot;@"/>
    <numFmt numFmtId="170" formatCode="&quot;+ &quot;@"/>
  </numFmts>
  <fonts count="50">
    <font>
      <sz val="11"/>
      <color theme="1"/>
      <name val="Arial"/>
    </font>
    <font>
      <b/>
      <sz val="10"/>
      <color rgb="FF000000"/>
      <name val="Open Sans"/>
    </font>
    <font>
      <sz val="10"/>
      <color rgb="FF000000"/>
      <name val="Open Sans"/>
    </font>
    <font>
      <sz val="11"/>
      <color rgb="FF000000"/>
      <name val="Calibri"/>
      <family val="2"/>
      <charset val="238"/>
    </font>
    <font>
      <b/>
      <sz val="10"/>
      <color rgb="FF003366"/>
      <name val="Calibri"/>
      <family val="2"/>
      <charset val="238"/>
    </font>
    <font>
      <sz val="11"/>
      <name val="Arial"/>
      <family val="2"/>
      <charset val="238"/>
    </font>
    <font>
      <sz val="10"/>
      <color rgb="FF003366"/>
      <name val="Calibri"/>
      <family val="2"/>
      <charset val="238"/>
    </font>
    <font>
      <b/>
      <sz val="10"/>
      <color rgb="FFFF0000"/>
      <name val="Calibri"/>
      <family val="2"/>
      <charset val="238"/>
    </font>
    <font>
      <sz val="9"/>
      <color theme="1"/>
      <name val="Arial"/>
      <family val="2"/>
      <charset val="238"/>
    </font>
    <font>
      <b/>
      <sz val="11"/>
      <color rgb="FFFF0000"/>
      <name val="Calibri"/>
      <family val="2"/>
      <charset val="238"/>
    </font>
    <font>
      <sz val="11"/>
      <color theme="1"/>
      <name val="Calibri"/>
      <family val="2"/>
      <charset val="238"/>
    </font>
    <font>
      <b/>
      <sz val="12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b/>
      <sz val="11"/>
      <color rgb="FFFFFFFF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1"/>
      <color rgb="FFFF0000"/>
      <name val="Calibri"/>
      <family val="2"/>
      <charset val="238"/>
    </font>
    <font>
      <b/>
      <sz val="16"/>
      <color theme="1"/>
      <name val="Arial"/>
      <family val="2"/>
      <charset val="238"/>
    </font>
    <font>
      <b/>
      <sz val="8"/>
      <color rgb="FFFFFFFF"/>
      <name val="Arial"/>
      <family val="2"/>
      <charset val="238"/>
    </font>
    <font>
      <b/>
      <sz val="10"/>
      <color theme="7"/>
      <name val="Arial"/>
      <family val="2"/>
      <charset val="238"/>
    </font>
    <font>
      <b/>
      <sz val="11"/>
      <color rgb="FFFFC000"/>
      <name val="Calibri"/>
      <family val="2"/>
      <charset val="238"/>
    </font>
    <font>
      <b/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1"/>
      <color theme="1"/>
      <name val="Calibri"/>
      <family val="2"/>
      <charset val="238"/>
    </font>
    <font>
      <strike/>
      <sz val="11"/>
      <color theme="1"/>
      <name val="Calibri"/>
      <family val="2"/>
      <charset val="238"/>
    </font>
    <font>
      <b/>
      <sz val="10"/>
      <color theme="1"/>
      <name val="Calibri"/>
      <family val="2"/>
      <charset val="238"/>
    </font>
    <font>
      <sz val="10"/>
      <color rgb="FF000000"/>
      <name val="Calibri"/>
      <family val="2"/>
      <charset val="238"/>
    </font>
    <font>
      <b/>
      <sz val="16"/>
      <color rgb="FF000000"/>
      <name val="Calibri"/>
      <family val="2"/>
      <charset val="238"/>
    </font>
    <font>
      <b/>
      <sz val="10"/>
      <color rgb="FFFFFFFF"/>
      <name val="Calibri"/>
      <family val="2"/>
      <charset val="238"/>
    </font>
    <font>
      <b/>
      <sz val="12"/>
      <color rgb="FFFFFFFF"/>
      <name val="Calibri"/>
      <family val="2"/>
      <charset val="238"/>
    </font>
    <font>
      <b/>
      <sz val="10"/>
      <color theme="0"/>
      <name val="Calibri"/>
      <family val="2"/>
      <charset val="238"/>
    </font>
    <font>
      <b/>
      <sz val="10"/>
      <color rgb="FF000000"/>
      <name val="Calibri"/>
      <family val="2"/>
      <charset val="238"/>
    </font>
    <font>
      <b/>
      <i/>
      <sz val="10"/>
      <color rgb="FF000000"/>
      <name val="Calibri"/>
      <family val="2"/>
      <charset val="238"/>
    </font>
    <font>
      <b/>
      <i/>
      <sz val="10"/>
      <color theme="1"/>
      <name val="Calibri"/>
      <family val="2"/>
      <charset val="238"/>
    </font>
    <font>
      <b/>
      <sz val="10"/>
      <color rgb="FFF2F2F2"/>
      <name val="Calibri"/>
      <family val="2"/>
      <charset val="238"/>
    </font>
    <font>
      <i/>
      <sz val="10"/>
      <color rgb="FF000000"/>
      <name val="Calibri"/>
      <family val="2"/>
      <charset val="238"/>
    </font>
    <font>
      <b/>
      <sz val="9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b/>
      <sz val="10"/>
      <color rgb="FF333399"/>
      <name val="Calibri"/>
      <family val="2"/>
      <charset val="238"/>
    </font>
    <font>
      <b/>
      <sz val="12"/>
      <color theme="1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5"/>
      <color rgb="FF44546A"/>
      <name val="Calibri"/>
      <family val="2"/>
      <charset val="238"/>
    </font>
    <font>
      <b/>
      <sz val="15"/>
      <color rgb="FFFF0000"/>
      <name val="Calibri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</font>
    <font>
      <sz val="11"/>
      <color theme="1"/>
      <name val="Arial"/>
      <family val="2"/>
      <charset val="238"/>
    </font>
  </fonts>
  <fills count="19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333399"/>
        <bgColor rgb="FF333399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FFFF99"/>
        <bgColor rgb="FFFFFF99"/>
      </patternFill>
    </fill>
    <fill>
      <patternFill patternType="solid">
        <fgColor rgb="FF99CCFF"/>
        <bgColor rgb="FF99CCFF"/>
      </patternFill>
    </fill>
    <fill>
      <patternFill patternType="solid">
        <fgColor rgb="FFCCCCFF"/>
        <bgColor rgb="FFCCCCFF"/>
      </patternFill>
    </fill>
    <fill>
      <patternFill patternType="solid">
        <fgColor rgb="FFCCFFCC"/>
        <bgColor rgb="FFCCFFCC"/>
      </patternFill>
    </fill>
    <fill>
      <patternFill patternType="solid">
        <fgColor rgb="FFD8D8D8"/>
        <bgColor rgb="FFD8D8D8"/>
      </patternFill>
    </fill>
    <fill>
      <patternFill patternType="solid">
        <fgColor rgb="FFCCFFFF"/>
        <bgColor rgb="FFCCFFFF"/>
      </patternFill>
    </fill>
    <fill>
      <patternFill patternType="solid">
        <fgColor rgb="FFC0C0C0"/>
        <bgColor rgb="FFC0C0C0"/>
      </patternFill>
    </fill>
    <fill>
      <patternFill patternType="solid">
        <fgColor rgb="FF808080"/>
        <bgColor rgb="FF808080"/>
      </patternFill>
    </fill>
    <fill>
      <patternFill patternType="solid">
        <fgColor rgb="FFDEEAF6"/>
        <bgColor rgb="FFDEEAF6"/>
      </patternFill>
    </fill>
    <fill>
      <patternFill patternType="solid">
        <fgColor indexed="49"/>
      </patternFill>
    </fill>
    <fill>
      <patternFill patternType="solid">
        <fgColor theme="2" tint="-4.9989318521683403E-2"/>
        <bgColor indexed="64"/>
      </patternFill>
    </fill>
  </fills>
  <borders count="58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medium">
        <color rgb="FF000000"/>
      </bottom>
      <diagonal/>
    </border>
    <border>
      <left style="hair">
        <color rgb="FF000000"/>
      </left>
      <right/>
      <top style="hair">
        <color rgb="FF000000"/>
      </top>
      <bottom style="medium">
        <color rgb="FF000000"/>
      </bottom>
      <diagonal/>
    </border>
    <border>
      <left/>
      <right/>
      <top style="hair">
        <color rgb="FF000000"/>
      </top>
      <bottom style="medium">
        <color rgb="FF000000"/>
      </bottom>
      <diagonal/>
    </border>
    <border>
      <left/>
      <right style="hair">
        <color rgb="FF000000"/>
      </right>
      <top style="hair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hair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double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double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80"/>
      </bottom>
      <diagonal/>
    </border>
    <border>
      <left style="thin">
        <color rgb="FF000080"/>
      </left>
      <right style="thin">
        <color rgb="FF000080"/>
      </right>
      <top style="thin">
        <color rgb="FF000080"/>
      </top>
      <bottom style="thin">
        <color rgb="FF000080"/>
      </bottom>
      <diagonal/>
    </border>
    <border>
      <left style="thin">
        <color rgb="FF000080"/>
      </left>
      <right/>
      <top/>
      <bottom/>
      <diagonal/>
    </border>
    <border>
      <left/>
      <right style="thin">
        <color rgb="FF000080"/>
      </right>
      <top/>
      <bottom/>
      <diagonal/>
    </border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medium">
        <color rgb="FF000000"/>
      </bottom>
      <diagonal/>
    </border>
    <border>
      <left/>
      <right/>
      <top/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thick">
        <color theme="4"/>
      </bottom>
      <diagonal/>
    </border>
    <border>
      <left style="thin">
        <color rgb="FF002060"/>
      </left>
      <right style="thin">
        <color rgb="FF002060"/>
      </right>
      <top style="thin">
        <color rgb="FF002060"/>
      </top>
      <bottom style="thin">
        <color rgb="FF002060"/>
      </bottom>
      <diagonal/>
    </border>
    <border>
      <left style="thin">
        <color rgb="FF000080"/>
      </left>
      <right/>
      <top style="thin">
        <color rgb="FF000080"/>
      </top>
      <bottom style="thin">
        <color rgb="FF000080"/>
      </bottom>
      <diagonal/>
    </border>
    <border>
      <left/>
      <right style="thin">
        <color rgb="FF000080"/>
      </right>
      <top style="thin">
        <color rgb="FF000080"/>
      </top>
      <bottom style="thin">
        <color rgb="FF000080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</borders>
  <cellStyleXfs count="2">
    <xf numFmtId="0" fontId="0" fillId="0" borderId="0"/>
    <xf numFmtId="4" fontId="48" fillId="17" borderId="57" applyNumberFormat="0" applyProtection="0">
      <alignment horizontal="left" vertical="center" indent="1" justifyLastLine="1"/>
    </xf>
  </cellStyleXfs>
  <cellXfs count="262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7" fillId="0" borderId="0" xfId="0" applyFont="1" applyAlignment="1">
      <alignment vertical="center"/>
    </xf>
    <xf numFmtId="0" fontId="8" fillId="3" borderId="9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9" fillId="0" borderId="0" xfId="0" applyFont="1" applyAlignment="1">
      <alignment vertical="center"/>
    </xf>
    <xf numFmtId="164" fontId="8" fillId="0" borderId="11" xfId="0" applyNumberFormat="1" applyFont="1" applyBorder="1" applyAlignment="1">
      <alignment horizontal="center" vertical="center"/>
    </xf>
    <xf numFmtId="1" fontId="8" fillId="0" borderId="12" xfId="0" applyNumberFormat="1" applyFont="1" applyBorder="1" applyAlignment="1">
      <alignment horizontal="right" vertical="center"/>
    </xf>
    <xf numFmtId="0" fontId="8" fillId="0" borderId="12" xfId="0" applyFont="1" applyBorder="1" applyAlignment="1">
      <alignment horizontal="left" vertical="center"/>
    </xf>
    <xf numFmtId="0" fontId="8" fillId="0" borderId="12" xfId="0" applyFont="1" applyBorder="1" applyAlignment="1">
      <alignment vertical="center"/>
    </xf>
    <xf numFmtId="165" fontId="8" fillId="0" borderId="12" xfId="0" applyNumberFormat="1" applyFont="1" applyBorder="1" applyAlignment="1">
      <alignment horizontal="left" vertical="center"/>
    </xf>
    <xf numFmtId="165" fontId="8" fillId="0" borderId="12" xfId="0" applyNumberFormat="1" applyFont="1" applyBorder="1" applyAlignment="1">
      <alignment horizontal="center" vertical="center"/>
    </xf>
    <xf numFmtId="49" fontId="8" fillId="0" borderId="13" xfId="0" applyNumberFormat="1" applyFont="1" applyBorder="1" applyAlignment="1">
      <alignment horizontal="center" vertical="center"/>
    </xf>
    <xf numFmtId="49" fontId="8" fillId="3" borderId="9" xfId="0" applyNumberFormat="1" applyFont="1" applyFill="1" applyBorder="1" applyAlignment="1">
      <alignment horizontal="left" vertical="center"/>
    </xf>
    <xf numFmtId="49" fontId="10" fillId="0" borderId="0" xfId="0" applyNumberFormat="1" applyFont="1" applyAlignment="1">
      <alignment horizontal="left"/>
    </xf>
    <xf numFmtId="0" fontId="8" fillId="3" borderId="12" xfId="0" applyFont="1" applyFill="1" applyBorder="1" applyAlignment="1">
      <alignment horizontal="left" vertical="center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  <xf numFmtId="0" fontId="13" fillId="4" borderId="14" xfId="0" applyFont="1" applyFill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left" vertical="center" wrapText="1"/>
    </xf>
    <xf numFmtId="3" fontId="12" fillId="5" borderId="9" xfId="0" applyNumberFormat="1" applyFont="1" applyFill="1" applyBorder="1" applyAlignment="1">
      <alignment horizontal="right" vertical="center" wrapText="1"/>
    </xf>
    <xf numFmtId="0" fontId="14" fillId="0" borderId="9" xfId="0" applyFont="1" applyBorder="1" applyAlignment="1">
      <alignment horizontal="center" vertical="center" wrapText="1"/>
    </xf>
    <xf numFmtId="3" fontId="12" fillId="0" borderId="9" xfId="0" applyNumberFormat="1" applyFont="1" applyBorder="1" applyAlignment="1">
      <alignment horizontal="right" vertical="center"/>
    </xf>
    <xf numFmtId="0" fontId="14" fillId="0" borderId="9" xfId="0" applyFont="1" applyBorder="1" applyAlignment="1">
      <alignment horizontal="left" vertical="center"/>
    </xf>
    <xf numFmtId="3" fontId="3" fillId="0" borderId="0" xfId="0" applyNumberFormat="1" applyFont="1" applyAlignment="1">
      <alignment vertical="center"/>
    </xf>
    <xf numFmtId="0" fontId="14" fillId="0" borderId="9" xfId="0" applyFont="1" applyBorder="1" applyAlignment="1">
      <alignment horizontal="center" vertical="center"/>
    </xf>
    <xf numFmtId="3" fontId="12" fillId="5" borderId="9" xfId="0" applyNumberFormat="1" applyFont="1" applyFill="1" applyBorder="1" applyAlignment="1">
      <alignment horizontal="right" vertical="center"/>
    </xf>
    <xf numFmtId="3" fontId="12" fillId="0" borderId="9" xfId="0" applyNumberFormat="1" applyFont="1" applyBorder="1" applyAlignment="1">
      <alignment horizontal="right" vertical="center" wrapText="1"/>
    </xf>
    <xf numFmtId="3" fontId="14" fillId="0" borderId="9" xfId="0" applyNumberFormat="1" applyFont="1" applyBorder="1" applyAlignment="1">
      <alignment horizontal="right" vertical="center" wrapText="1"/>
    </xf>
    <xf numFmtId="0" fontId="12" fillId="0" borderId="9" xfId="0" applyFont="1" applyBorder="1" applyAlignment="1">
      <alignment horizontal="left" vertical="center" wrapText="1"/>
    </xf>
    <xf numFmtId="3" fontId="12" fillId="0" borderId="0" xfId="0" applyNumberFormat="1" applyFont="1" applyAlignment="1">
      <alignment horizontal="right" vertical="center"/>
    </xf>
    <xf numFmtId="3" fontId="12" fillId="6" borderId="9" xfId="0" applyNumberFormat="1" applyFont="1" applyFill="1" applyBorder="1" applyAlignment="1">
      <alignment horizontal="right" vertical="center"/>
    </xf>
    <xf numFmtId="3" fontId="12" fillId="6" borderId="9" xfId="0" applyNumberFormat="1" applyFont="1" applyFill="1" applyBorder="1" applyAlignment="1">
      <alignment horizontal="right" vertical="center" wrapText="1"/>
    </xf>
    <xf numFmtId="3" fontId="15" fillId="0" borderId="0" xfId="0" applyNumberFormat="1" applyFont="1" applyAlignment="1">
      <alignment vertical="center"/>
    </xf>
    <xf numFmtId="0" fontId="16" fillId="0" borderId="0" xfId="0" applyFont="1" applyAlignment="1">
      <alignment vertical="center"/>
    </xf>
    <xf numFmtId="0" fontId="8" fillId="3" borderId="9" xfId="0" applyFont="1" applyFill="1" applyBorder="1" applyAlignment="1">
      <alignment horizontal="left" vertical="center"/>
    </xf>
    <xf numFmtId="0" fontId="13" fillId="4" borderId="14" xfId="0" applyFont="1" applyFill="1" applyBorder="1" applyAlignment="1">
      <alignment horizontal="left" vertical="center" wrapText="1"/>
    </xf>
    <xf numFmtId="3" fontId="13" fillId="4" borderId="14" xfId="0" applyNumberFormat="1" applyFont="1" applyFill="1" applyBorder="1" applyAlignment="1">
      <alignment horizontal="right" vertical="center"/>
    </xf>
    <xf numFmtId="166" fontId="3" fillId="0" borderId="0" xfId="0" applyNumberFormat="1" applyFont="1" applyAlignment="1">
      <alignment vertical="center"/>
    </xf>
    <xf numFmtId="0" fontId="10" fillId="0" borderId="0" xfId="0" applyFont="1"/>
    <xf numFmtId="0" fontId="10" fillId="0" borderId="0" xfId="0" applyFont="1" applyAlignment="1">
      <alignment vertical="center"/>
    </xf>
    <xf numFmtId="0" fontId="8" fillId="0" borderId="12" xfId="0" applyFont="1" applyBorder="1"/>
    <xf numFmtId="0" fontId="9" fillId="0" borderId="0" xfId="0" applyFont="1" applyAlignment="1">
      <alignment vertical="top"/>
    </xf>
    <xf numFmtId="4" fontId="10" fillId="0" borderId="0" xfId="0" applyNumberFormat="1" applyFont="1"/>
    <xf numFmtId="0" fontId="18" fillId="4" borderId="17" xfId="0" quotePrefix="1" applyFont="1" applyFill="1" applyBorder="1" applyAlignment="1">
      <alignment horizontal="left" vertical="center"/>
    </xf>
    <xf numFmtId="3" fontId="19" fillId="4" borderId="17" xfId="0" quotePrefix="1" applyNumberFormat="1" applyFont="1" applyFill="1" applyBorder="1" applyAlignment="1">
      <alignment horizontal="center" vertical="center" wrapText="1"/>
    </xf>
    <xf numFmtId="0" fontId="20" fillId="4" borderId="14" xfId="0" applyFont="1" applyFill="1" applyBorder="1" applyAlignment="1">
      <alignment horizontal="center" vertical="center" wrapText="1"/>
    </xf>
    <xf numFmtId="4" fontId="18" fillId="4" borderId="18" xfId="0" applyNumberFormat="1" applyFont="1" applyFill="1" applyBorder="1" applyAlignment="1">
      <alignment horizontal="center" vertical="center" wrapText="1"/>
    </xf>
    <xf numFmtId="0" fontId="21" fillId="0" borderId="17" xfId="0" quotePrefix="1" applyFont="1" applyBorder="1" applyAlignment="1">
      <alignment horizontal="left" vertical="center"/>
    </xf>
    <xf numFmtId="49" fontId="22" fillId="2" borderId="17" xfId="0" applyNumberFormat="1" applyFont="1" applyFill="1" applyBorder="1" applyAlignment="1">
      <alignment horizontal="left" vertical="center"/>
    </xf>
    <xf numFmtId="0" fontId="21" fillId="2" borderId="17" xfId="0" applyFont="1" applyFill="1" applyBorder="1" applyAlignment="1">
      <alignment horizontal="center" vertical="center"/>
    </xf>
    <xf numFmtId="0" fontId="21" fillId="2" borderId="17" xfId="0" applyFont="1" applyFill="1" applyBorder="1" applyAlignment="1">
      <alignment horizontal="left" vertical="center"/>
    </xf>
    <xf numFmtId="0" fontId="21" fillId="3" borderId="17" xfId="0" quotePrefix="1" applyFont="1" applyFill="1" applyBorder="1" applyAlignment="1">
      <alignment horizontal="center" vertical="center"/>
    </xf>
    <xf numFmtId="0" fontId="22" fillId="2" borderId="17" xfId="0" applyFont="1" applyFill="1" applyBorder="1"/>
    <xf numFmtId="3" fontId="22" fillId="0" borderId="17" xfId="0" applyNumberFormat="1" applyFont="1" applyBorder="1" applyAlignment="1">
      <alignment horizontal="right" vertical="center"/>
    </xf>
    <xf numFmtId="0" fontId="23" fillId="0" borderId="0" xfId="0" applyFont="1"/>
    <xf numFmtId="0" fontId="21" fillId="3" borderId="17" xfId="0" applyFont="1" applyFill="1" applyBorder="1" applyAlignment="1">
      <alignment horizontal="center" vertical="center"/>
    </xf>
    <xf numFmtId="3" fontId="18" fillId="4" borderId="17" xfId="0" quotePrefix="1" applyNumberFormat="1" applyFont="1" applyFill="1" applyBorder="1" applyAlignment="1">
      <alignment horizontal="left" vertical="center" wrapText="1"/>
    </xf>
    <xf numFmtId="0" fontId="18" fillId="4" borderId="19" xfId="0" applyFont="1" applyFill="1" applyBorder="1" applyAlignment="1">
      <alignment horizontal="left" vertical="center"/>
    </xf>
    <xf numFmtId="0" fontId="22" fillId="0" borderId="17" xfId="0" quotePrefix="1" applyFont="1" applyBorder="1" applyAlignment="1">
      <alignment horizontal="left" vertical="center"/>
    </xf>
    <xf numFmtId="0" fontId="22" fillId="0" borderId="17" xfId="0" applyFont="1" applyBorder="1" applyAlignment="1">
      <alignment horizontal="left" vertical="center"/>
    </xf>
    <xf numFmtId="0" fontId="22" fillId="2" borderId="17" xfId="0" applyFont="1" applyFill="1" applyBorder="1" applyAlignment="1">
      <alignment horizontal="left" vertical="center"/>
    </xf>
    <xf numFmtId="0" fontId="3" fillId="0" borderId="0" xfId="0" applyFont="1"/>
    <xf numFmtId="0" fontId="10" fillId="7" borderId="20" xfId="0" applyFont="1" applyFill="1" applyBorder="1"/>
    <xf numFmtId="0" fontId="3" fillId="7" borderId="20" xfId="0" applyFont="1" applyFill="1" applyBorder="1"/>
    <xf numFmtId="0" fontId="24" fillId="7" borderId="20" xfId="0" applyFont="1" applyFill="1" applyBorder="1"/>
    <xf numFmtId="0" fontId="22" fillId="0" borderId="17" xfId="0" applyFont="1" applyBorder="1" applyAlignment="1">
      <alignment horizontal="center" vertical="center"/>
    </xf>
    <xf numFmtId="0" fontId="10" fillId="3" borderId="20" xfId="0" applyFont="1" applyFill="1" applyBorder="1"/>
    <xf numFmtId="3" fontId="22" fillId="0" borderId="0" xfId="0" applyNumberFormat="1" applyFont="1" applyAlignment="1">
      <alignment horizontal="right" vertical="center"/>
    </xf>
    <xf numFmtId="0" fontId="20" fillId="4" borderId="17" xfId="0" applyFont="1" applyFill="1" applyBorder="1" applyAlignment="1">
      <alignment horizontal="center" vertical="center" wrapText="1"/>
    </xf>
    <xf numFmtId="14" fontId="22" fillId="0" borderId="17" xfId="0" applyNumberFormat="1" applyFont="1" applyBorder="1" applyAlignment="1">
      <alignment horizontal="right" vertical="center"/>
    </xf>
    <xf numFmtId="0" fontId="22" fillId="0" borderId="17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right" vertical="center"/>
    </xf>
    <xf numFmtId="0" fontId="25" fillId="0" borderId="9" xfId="0" applyFont="1" applyBorder="1" applyAlignment="1">
      <alignment horizontal="left" vertical="center"/>
    </xf>
    <xf numFmtId="0" fontId="26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1" fontId="15" fillId="0" borderId="0" xfId="0" applyNumberFormat="1" applyFont="1" applyAlignment="1">
      <alignment vertical="center" wrapText="1"/>
    </xf>
    <xf numFmtId="0" fontId="15" fillId="0" borderId="0" xfId="0" applyFont="1" applyAlignment="1">
      <alignment horizontal="right" vertical="center"/>
    </xf>
    <xf numFmtId="0" fontId="29" fillId="4" borderId="20" xfId="0" applyFont="1" applyFill="1" applyBorder="1" applyAlignment="1">
      <alignment horizontal="center" vertical="center"/>
    </xf>
    <xf numFmtId="1" fontId="28" fillId="4" borderId="14" xfId="0" applyNumberFormat="1" applyFont="1" applyFill="1" applyBorder="1" applyAlignment="1">
      <alignment horizontal="left" vertical="center" wrapText="1"/>
    </xf>
    <xf numFmtId="1" fontId="28" fillId="4" borderId="14" xfId="0" applyNumberFormat="1" applyFont="1" applyFill="1" applyBorder="1" applyAlignment="1">
      <alignment horizontal="center" vertical="center" wrapText="1"/>
    </xf>
    <xf numFmtId="0" fontId="30" fillId="4" borderId="14" xfId="0" applyFont="1" applyFill="1" applyBorder="1" applyAlignment="1">
      <alignment horizontal="center" vertical="center" wrapText="1"/>
    </xf>
    <xf numFmtId="0" fontId="28" fillId="4" borderId="14" xfId="0" applyFont="1" applyFill="1" applyBorder="1" applyAlignment="1">
      <alignment horizontal="center" vertical="center" wrapText="1"/>
    </xf>
    <xf numFmtId="49" fontId="26" fillId="0" borderId="9" xfId="0" applyNumberFormat="1" applyFont="1" applyBorder="1" applyAlignment="1">
      <alignment horizontal="left"/>
    </xf>
    <xf numFmtId="0" fontId="15" fillId="0" borderId="9" xfId="0" applyFont="1" applyBorder="1" applyAlignment="1">
      <alignment horizontal="left" vertical="center" wrapText="1"/>
    </xf>
    <xf numFmtId="3" fontId="28" fillId="4" borderId="14" xfId="0" applyNumberFormat="1" applyFont="1" applyFill="1" applyBorder="1" applyAlignment="1">
      <alignment horizontal="right"/>
    </xf>
    <xf numFmtId="3" fontId="26" fillId="0" borderId="9" xfId="0" applyNumberFormat="1" applyFont="1" applyBorder="1" applyAlignment="1">
      <alignment vertical="center"/>
    </xf>
    <xf numFmtId="49" fontId="31" fillId="5" borderId="9" xfId="0" applyNumberFormat="1" applyFont="1" applyFill="1" applyBorder="1" applyAlignment="1">
      <alignment horizontal="left"/>
    </xf>
    <xf numFmtId="0" fontId="25" fillId="5" borderId="9" xfId="0" applyFont="1" applyFill="1" applyBorder="1" applyAlignment="1">
      <alignment horizontal="left" vertical="center" wrapText="1"/>
    </xf>
    <xf numFmtId="3" fontId="31" fillId="5" borderId="9" xfId="0" applyNumberFormat="1" applyFont="1" applyFill="1" applyBorder="1" applyAlignment="1">
      <alignment vertical="center"/>
    </xf>
    <xf numFmtId="49" fontId="15" fillId="0" borderId="9" xfId="0" applyNumberFormat="1" applyFont="1" applyBorder="1" applyAlignment="1">
      <alignment horizontal="left"/>
    </xf>
    <xf numFmtId="167" fontId="15" fillId="0" borderId="9" xfId="0" applyNumberFormat="1" applyFont="1" applyBorder="1" applyAlignment="1">
      <alignment vertical="center"/>
    </xf>
    <xf numFmtId="49" fontId="26" fillId="0" borderId="24" xfId="0" applyNumberFormat="1" applyFont="1" applyBorder="1" applyAlignment="1">
      <alignment horizontal="left"/>
    </xf>
    <xf numFmtId="0" fontId="15" fillId="0" borderId="24" xfId="0" applyFont="1" applyBorder="1" applyAlignment="1">
      <alignment horizontal="left" vertical="center" wrapText="1"/>
    </xf>
    <xf numFmtId="3" fontId="26" fillId="5" borderId="10" xfId="0" applyNumberFormat="1" applyFont="1" applyFill="1" applyBorder="1" applyAlignment="1">
      <alignment vertical="center"/>
    </xf>
    <xf numFmtId="49" fontId="31" fillId="5" borderId="25" xfId="0" applyNumberFormat="1" applyFont="1" applyFill="1" applyBorder="1" applyAlignment="1">
      <alignment horizontal="left"/>
    </xf>
    <xf numFmtId="0" fontId="25" fillId="5" borderId="25" xfId="0" applyFont="1" applyFill="1" applyBorder="1" applyAlignment="1">
      <alignment horizontal="left" vertical="center" wrapText="1"/>
    </xf>
    <xf numFmtId="3" fontId="31" fillId="5" borderId="25" xfId="0" applyNumberFormat="1" applyFont="1" applyFill="1" applyBorder="1" applyAlignment="1">
      <alignment vertical="center"/>
    </xf>
    <xf numFmtId="49" fontId="26" fillId="0" borderId="26" xfId="0" applyNumberFormat="1" applyFont="1" applyBorder="1" applyAlignment="1">
      <alignment horizontal="left"/>
    </xf>
    <xf numFmtId="0" fontId="15" fillId="0" borderId="26" xfId="0" applyFont="1" applyBorder="1" applyAlignment="1">
      <alignment horizontal="left" vertical="center" wrapText="1"/>
    </xf>
    <xf numFmtId="3" fontId="26" fillId="0" borderId="26" xfId="0" applyNumberFormat="1" applyFont="1" applyBorder="1" applyAlignment="1">
      <alignment vertical="center"/>
    </xf>
    <xf numFmtId="49" fontId="32" fillId="5" borderId="9" xfId="0" applyNumberFormat="1" applyFont="1" applyFill="1" applyBorder="1" applyAlignment="1">
      <alignment horizontal="left"/>
    </xf>
    <xf numFmtId="0" fontId="33" fillId="5" borderId="9" xfId="0" applyFont="1" applyFill="1" applyBorder="1" applyAlignment="1">
      <alignment horizontal="left" vertical="center" wrapText="1"/>
    </xf>
    <xf numFmtId="3" fontId="32" fillId="5" borderId="9" xfId="0" applyNumberFormat="1" applyFont="1" applyFill="1" applyBorder="1" applyAlignment="1">
      <alignment vertical="center"/>
    </xf>
    <xf numFmtId="0" fontId="26" fillId="0" borderId="9" xfId="0" applyFont="1" applyBorder="1" applyAlignment="1">
      <alignment horizontal="left" wrapText="1"/>
    </xf>
    <xf numFmtId="1" fontId="15" fillId="0" borderId="9" xfId="0" applyNumberFormat="1" applyFont="1" applyBorder="1" applyAlignment="1">
      <alignment horizontal="left" vertical="center" wrapText="1"/>
    </xf>
    <xf numFmtId="3" fontId="28" fillId="4" borderId="14" xfId="0" applyNumberFormat="1" applyFont="1" applyFill="1" applyBorder="1" applyAlignment="1">
      <alignment vertical="center"/>
    </xf>
    <xf numFmtId="0" fontId="26" fillId="0" borderId="0" xfId="0" applyFont="1" applyAlignment="1">
      <alignment vertical="center" wrapText="1"/>
    </xf>
    <xf numFmtId="0" fontId="26" fillId="0" borderId="0" xfId="0" applyFont="1" applyAlignment="1">
      <alignment horizontal="center" vertical="center" wrapText="1"/>
    </xf>
    <xf numFmtId="0" fontId="26" fillId="0" borderId="0" xfId="0" applyFont="1" applyAlignment="1">
      <alignment horizontal="left" vertical="center" wrapText="1"/>
    </xf>
    <xf numFmtId="167" fontId="26" fillId="0" borderId="9" xfId="0" applyNumberFormat="1" applyFont="1" applyBorder="1" applyAlignment="1">
      <alignment vertical="center"/>
    </xf>
    <xf numFmtId="3" fontId="28" fillId="4" borderId="27" xfId="0" applyNumberFormat="1" applyFont="1" applyFill="1" applyBorder="1" applyAlignment="1">
      <alignment horizontal="right"/>
    </xf>
    <xf numFmtId="0" fontId="34" fillId="4" borderId="14" xfId="0" applyFont="1" applyFill="1" applyBorder="1" applyAlignment="1">
      <alignment horizontal="center" vertical="center" wrapText="1"/>
    </xf>
    <xf numFmtId="0" fontId="15" fillId="0" borderId="9" xfId="0" applyFont="1" applyBorder="1" applyAlignment="1">
      <alignment horizontal="left" vertical="center"/>
    </xf>
    <xf numFmtId="0" fontId="31" fillId="0" borderId="0" xfId="0" applyFont="1" applyAlignment="1">
      <alignment vertical="center"/>
    </xf>
    <xf numFmtId="0" fontId="35" fillId="0" borderId="0" xfId="0" applyFont="1" applyAlignment="1">
      <alignment horizontal="center" vertical="center"/>
    </xf>
    <xf numFmtId="0" fontId="36" fillId="0" borderId="0" xfId="0" applyFont="1" applyAlignment="1">
      <alignment vertical="center"/>
    </xf>
    <xf numFmtId="0" fontId="37" fillId="0" borderId="0" xfId="0" applyFont="1" applyAlignment="1">
      <alignment horizontal="center" vertical="center"/>
    </xf>
    <xf numFmtId="0" fontId="37" fillId="0" borderId="0" xfId="0" applyFont="1" applyAlignment="1">
      <alignment vertical="center"/>
    </xf>
    <xf numFmtId="0" fontId="31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31" fillId="0" borderId="0" xfId="0" applyFont="1" applyAlignment="1">
      <alignment horizontal="left" vertical="center"/>
    </xf>
    <xf numFmtId="0" fontId="36" fillId="0" borderId="0" xfId="0" applyFont="1" applyAlignment="1">
      <alignment horizontal="left" vertical="center" wrapText="1"/>
    </xf>
    <xf numFmtId="0" fontId="37" fillId="0" borderId="0" xfId="0" applyFont="1" applyAlignment="1">
      <alignment horizontal="left" vertical="center" wrapText="1"/>
    </xf>
    <xf numFmtId="0" fontId="26" fillId="0" borderId="0" xfId="0" applyFont="1"/>
    <xf numFmtId="0" fontId="31" fillId="0" borderId="0" xfId="0" applyFont="1"/>
    <xf numFmtId="0" fontId="7" fillId="8" borderId="20" xfId="0" applyFont="1" applyFill="1" applyBorder="1" applyAlignment="1">
      <alignment vertical="center"/>
    </xf>
    <xf numFmtId="0" fontId="38" fillId="9" borderId="9" xfId="0" applyFont="1" applyFill="1" applyBorder="1" applyAlignment="1">
      <alignment vertical="center" wrapText="1"/>
    </xf>
    <xf numFmtId="3" fontId="38" fillId="9" borderId="9" xfId="0" applyNumberFormat="1" applyFont="1" applyFill="1" applyBorder="1" applyAlignment="1">
      <alignment vertical="center"/>
    </xf>
    <xf numFmtId="3" fontId="38" fillId="9" borderId="9" xfId="0" applyNumberFormat="1" applyFont="1" applyFill="1" applyBorder="1" applyAlignment="1">
      <alignment vertical="center" wrapText="1"/>
    </xf>
    <xf numFmtId="0" fontId="2" fillId="0" borderId="0" xfId="0" applyFont="1" applyAlignment="1">
      <alignment vertical="center"/>
    </xf>
    <xf numFmtId="3" fontId="25" fillId="10" borderId="9" xfId="0" applyNumberFormat="1" applyFont="1" applyFill="1" applyBorder="1" applyAlignment="1">
      <alignment horizontal="left" vertical="center"/>
    </xf>
    <xf numFmtId="3" fontId="25" fillId="10" borderId="9" xfId="0" applyNumberFormat="1" applyFont="1" applyFill="1" applyBorder="1" applyAlignment="1">
      <alignment vertical="center" wrapText="1"/>
    </xf>
    <xf numFmtId="3" fontId="31" fillId="10" borderId="9" xfId="0" applyNumberFormat="1" applyFont="1" applyFill="1" applyBorder="1"/>
    <xf numFmtId="3" fontId="25" fillId="10" borderId="9" xfId="0" applyNumberFormat="1" applyFont="1" applyFill="1" applyBorder="1" applyAlignment="1">
      <alignment vertical="center"/>
    </xf>
    <xf numFmtId="3" fontId="33" fillId="6" borderId="9" xfId="0" applyNumberFormat="1" applyFont="1" applyFill="1" applyBorder="1" applyAlignment="1">
      <alignment horizontal="center" vertical="center"/>
    </xf>
    <xf numFmtId="3" fontId="33" fillId="6" borderId="9" xfId="0" applyNumberFormat="1" applyFont="1" applyFill="1" applyBorder="1" applyAlignment="1">
      <alignment vertical="center" wrapText="1"/>
    </xf>
    <xf numFmtId="3" fontId="32" fillId="5" borderId="9" xfId="0" applyNumberFormat="1" applyFont="1" applyFill="1" applyBorder="1"/>
    <xf numFmtId="3" fontId="33" fillId="5" borderId="9" xfId="0" applyNumberFormat="1" applyFont="1" applyFill="1" applyBorder="1" applyAlignment="1">
      <alignment vertical="center"/>
    </xf>
    <xf numFmtId="0" fontId="35" fillId="0" borderId="0" xfId="0" applyFont="1"/>
    <xf numFmtId="0" fontId="31" fillId="0" borderId="9" xfId="0" applyFont="1" applyBorder="1"/>
    <xf numFmtId="3" fontId="31" fillId="5" borderId="9" xfId="0" applyNumberFormat="1" applyFont="1" applyFill="1" applyBorder="1"/>
    <xf numFmtId="3" fontId="15" fillId="6" borderId="9" xfId="0" applyNumberFormat="1" applyFont="1" applyFill="1" applyBorder="1" applyAlignment="1">
      <alignment vertical="center"/>
    </xf>
    <xf numFmtId="0" fontId="25" fillId="0" borderId="9" xfId="0" applyFont="1" applyBorder="1" applyAlignment="1">
      <alignment vertical="center"/>
    </xf>
    <xf numFmtId="0" fontId="31" fillId="0" borderId="9" xfId="0" applyFont="1" applyBorder="1" applyAlignment="1">
      <alignment vertical="center"/>
    </xf>
    <xf numFmtId="0" fontId="33" fillId="0" borderId="9" xfId="0" applyFont="1" applyBorder="1" applyAlignment="1">
      <alignment horizontal="center" vertical="center"/>
    </xf>
    <xf numFmtId="0" fontId="32" fillId="0" borderId="9" xfId="0" applyFont="1" applyBorder="1" applyAlignment="1">
      <alignment vertical="center"/>
    </xf>
    <xf numFmtId="0" fontId="32" fillId="0" borderId="0" xfId="0" applyFont="1"/>
    <xf numFmtId="0" fontId="25" fillId="0" borderId="9" xfId="0" applyFont="1" applyBorder="1" applyAlignment="1">
      <alignment horizontal="left" vertical="center" wrapText="1"/>
    </xf>
    <xf numFmtId="0" fontId="25" fillId="0" borderId="9" xfId="0" applyFont="1" applyBorder="1" applyAlignment="1">
      <alignment horizontal="right" vertical="center"/>
    </xf>
    <xf numFmtId="0" fontId="33" fillId="0" borderId="9" xfId="0" applyFont="1" applyBorder="1" applyAlignment="1">
      <alignment vertical="center"/>
    </xf>
    <xf numFmtId="0" fontId="25" fillId="10" borderId="9" xfId="0" applyFont="1" applyFill="1" applyBorder="1" applyAlignment="1">
      <alignment horizontal="left" vertical="center"/>
    </xf>
    <xf numFmtId="0" fontId="31" fillId="10" borderId="9" xfId="0" applyFont="1" applyFill="1" applyBorder="1" applyAlignment="1">
      <alignment vertical="center"/>
    </xf>
    <xf numFmtId="3" fontId="31" fillId="10" borderId="9" xfId="0" applyNumberFormat="1" applyFont="1" applyFill="1" applyBorder="1" applyAlignment="1">
      <alignment vertical="center"/>
    </xf>
    <xf numFmtId="0" fontId="31" fillId="0" borderId="9" xfId="0" applyFont="1" applyBorder="1" applyAlignment="1">
      <alignment horizontal="right"/>
    </xf>
    <xf numFmtId="3" fontId="25" fillId="10" borderId="29" xfId="0" applyNumberFormat="1" applyFont="1" applyFill="1" applyBorder="1" applyAlignment="1">
      <alignment vertical="center"/>
    </xf>
    <xf numFmtId="3" fontId="31" fillId="5" borderId="30" xfId="0" applyNumberFormat="1" applyFont="1" applyFill="1" applyBorder="1"/>
    <xf numFmtId="3" fontId="31" fillId="5" borderId="30" xfId="0" applyNumberFormat="1" applyFont="1" applyFill="1" applyBorder="1" applyAlignment="1">
      <alignment vertical="center"/>
    </xf>
    <xf numFmtId="3" fontId="31" fillId="10" borderId="10" xfId="0" applyNumberFormat="1" applyFont="1" applyFill="1" applyBorder="1" applyAlignment="1">
      <alignment vertical="center"/>
    </xf>
    <xf numFmtId="0" fontId="39" fillId="0" borderId="0" xfId="0" applyFont="1"/>
    <xf numFmtId="0" fontId="40" fillId="0" borderId="0" xfId="0" applyFont="1" applyAlignment="1">
      <alignment horizontal="left"/>
    </xf>
    <xf numFmtId="0" fontId="10" fillId="0" borderId="39" xfId="0" applyFont="1" applyBorder="1"/>
    <xf numFmtId="0" fontId="10" fillId="0" borderId="40" xfId="0" applyFont="1" applyBorder="1"/>
    <xf numFmtId="0" fontId="10" fillId="0" borderId="41" xfId="0" applyFont="1" applyBorder="1"/>
    <xf numFmtId="0" fontId="10" fillId="0" borderId="42" xfId="0" applyFont="1" applyBorder="1"/>
    <xf numFmtId="0" fontId="10" fillId="0" borderId="43" xfId="0" applyFont="1" applyBorder="1"/>
    <xf numFmtId="3" fontId="10" fillId="0" borderId="39" xfId="0" applyNumberFormat="1" applyFont="1" applyBorder="1"/>
    <xf numFmtId="3" fontId="10" fillId="0" borderId="41" xfId="0" applyNumberFormat="1" applyFont="1" applyBorder="1"/>
    <xf numFmtId="3" fontId="10" fillId="0" borderId="42" xfId="0" applyNumberFormat="1" applyFont="1" applyBorder="1"/>
    <xf numFmtId="0" fontId="10" fillId="0" borderId="44" xfId="0" applyFont="1" applyBorder="1"/>
    <xf numFmtId="0" fontId="10" fillId="0" borderId="45" xfId="0" applyFont="1" applyBorder="1"/>
    <xf numFmtId="0" fontId="10" fillId="0" borderId="9" xfId="0" applyFont="1" applyBorder="1"/>
    <xf numFmtId="0" fontId="10" fillId="0" borderId="46" xfId="0" applyFont="1" applyBorder="1"/>
    <xf numFmtId="0" fontId="10" fillId="0" borderId="47" xfId="0" applyFont="1" applyBorder="1"/>
    <xf numFmtId="3" fontId="10" fillId="0" borderId="44" xfId="0" applyNumberFormat="1" applyFont="1" applyBorder="1"/>
    <xf numFmtId="3" fontId="10" fillId="0" borderId="9" xfId="0" applyNumberFormat="1" applyFont="1" applyBorder="1"/>
    <xf numFmtId="3" fontId="10" fillId="0" borderId="46" xfId="0" applyNumberFormat="1" applyFont="1" applyBorder="1"/>
    <xf numFmtId="0" fontId="10" fillId="0" borderId="48" xfId="0" applyFont="1" applyBorder="1"/>
    <xf numFmtId="0" fontId="10" fillId="0" borderId="49" xfId="0" applyFont="1" applyBorder="1"/>
    <xf numFmtId="0" fontId="10" fillId="0" borderId="25" xfId="0" applyFont="1" applyBorder="1"/>
    <xf numFmtId="0" fontId="10" fillId="0" borderId="50" xfId="0" applyFont="1" applyBorder="1"/>
    <xf numFmtId="0" fontId="10" fillId="0" borderId="51" xfId="0" applyFont="1" applyBorder="1"/>
    <xf numFmtId="3" fontId="10" fillId="0" borderId="48" xfId="0" applyNumberFormat="1" applyFont="1" applyBorder="1"/>
    <xf numFmtId="3" fontId="10" fillId="0" borderId="25" xfId="0" applyNumberFormat="1" applyFont="1" applyBorder="1"/>
    <xf numFmtId="3" fontId="10" fillId="0" borderId="50" xfId="0" applyNumberFormat="1" applyFont="1" applyBorder="1"/>
    <xf numFmtId="3" fontId="10" fillId="0" borderId="0" xfId="0" applyNumberFormat="1" applyFont="1"/>
    <xf numFmtId="49" fontId="40" fillId="0" borderId="0" xfId="0" applyNumberFormat="1" applyFont="1"/>
    <xf numFmtId="49" fontId="40" fillId="0" borderId="0" xfId="0" applyNumberFormat="1" applyFont="1" applyAlignment="1">
      <alignment vertical="center" wrapText="1"/>
    </xf>
    <xf numFmtId="49" fontId="42" fillId="0" borderId="0" xfId="0" applyNumberFormat="1" applyFont="1" applyAlignment="1">
      <alignment vertical="center" wrapText="1"/>
    </xf>
    <xf numFmtId="0" fontId="40" fillId="0" borderId="0" xfId="0" applyFont="1" applyAlignment="1">
      <alignment horizontal="right" vertical="center" wrapText="1"/>
    </xf>
    <xf numFmtId="0" fontId="40" fillId="0" borderId="0" xfId="0" applyFont="1" applyAlignment="1">
      <alignment vertical="center" wrapText="1"/>
    </xf>
    <xf numFmtId="168" fontId="42" fillId="0" borderId="0" xfId="0" applyNumberFormat="1" applyFont="1" applyAlignment="1">
      <alignment vertical="center" wrapText="1"/>
    </xf>
    <xf numFmtId="0" fontId="41" fillId="0" borderId="0" xfId="0" applyFont="1"/>
    <xf numFmtId="0" fontId="43" fillId="12" borderId="52" xfId="0" quotePrefix="1" applyFont="1" applyFill="1" applyBorder="1" applyAlignment="1">
      <alignment horizontal="left" vertical="center" wrapText="1"/>
    </xf>
    <xf numFmtId="169" fontId="22" fillId="0" borderId="17" xfId="0" quotePrefix="1" applyNumberFormat="1" applyFont="1" applyBorder="1" applyAlignment="1">
      <alignment horizontal="left" vertical="center"/>
    </xf>
    <xf numFmtId="0" fontId="43" fillId="0" borderId="52" xfId="0" quotePrefix="1" applyFont="1" applyBorder="1" applyAlignment="1">
      <alignment horizontal="left" vertical="center" wrapText="1"/>
    </xf>
    <xf numFmtId="0" fontId="44" fillId="0" borderId="52" xfId="0" quotePrefix="1" applyFont="1" applyBorder="1" applyAlignment="1">
      <alignment horizontal="left" vertical="center" wrapText="1"/>
    </xf>
    <xf numFmtId="0" fontId="16" fillId="0" borderId="0" xfId="0" applyFont="1"/>
    <xf numFmtId="169" fontId="22" fillId="13" borderId="17" xfId="0" quotePrefix="1" applyNumberFormat="1" applyFont="1" applyFill="1" applyBorder="1" applyAlignment="1">
      <alignment horizontal="left" vertical="center"/>
    </xf>
    <xf numFmtId="0" fontId="22" fillId="13" borderId="17" xfId="0" applyFont="1" applyFill="1" applyBorder="1" applyAlignment="1">
      <alignment horizontal="left" vertical="center"/>
    </xf>
    <xf numFmtId="169" fontId="22" fillId="14" borderId="17" xfId="0" quotePrefix="1" applyNumberFormat="1" applyFont="1" applyFill="1" applyBorder="1" applyAlignment="1">
      <alignment horizontal="left" vertical="center"/>
    </xf>
    <xf numFmtId="0" fontId="22" fillId="14" borderId="17" xfId="0" quotePrefix="1" applyFont="1" applyFill="1" applyBorder="1" applyAlignment="1">
      <alignment horizontal="left" vertical="center"/>
    </xf>
    <xf numFmtId="169" fontId="22" fillId="15" borderId="17" xfId="0" quotePrefix="1" applyNumberFormat="1" applyFont="1" applyFill="1" applyBorder="1" applyAlignment="1">
      <alignment horizontal="left" vertical="center"/>
    </xf>
    <xf numFmtId="0" fontId="22" fillId="15" borderId="17" xfId="0" quotePrefix="1" applyFont="1" applyFill="1" applyBorder="1" applyAlignment="1">
      <alignment horizontal="left" vertical="center"/>
    </xf>
    <xf numFmtId="169" fontId="22" fillId="9" borderId="17" xfId="0" quotePrefix="1" applyNumberFormat="1" applyFont="1" applyFill="1" applyBorder="1" applyAlignment="1">
      <alignment horizontal="left" vertical="center"/>
    </xf>
    <xf numFmtId="0" fontId="22" fillId="9" borderId="17" xfId="0" quotePrefix="1" applyFont="1" applyFill="1" applyBorder="1" applyAlignment="1">
      <alignment horizontal="left" vertical="center"/>
    </xf>
    <xf numFmtId="170" fontId="22" fillId="13" borderId="17" xfId="0" quotePrefix="1" applyNumberFormat="1" applyFont="1" applyFill="1" applyBorder="1" applyAlignment="1">
      <alignment horizontal="left" vertical="center"/>
    </xf>
    <xf numFmtId="0" fontId="22" fillId="13" borderId="17" xfId="0" quotePrefix="1" applyFont="1" applyFill="1" applyBorder="1" applyAlignment="1">
      <alignment horizontal="left" vertical="center"/>
    </xf>
    <xf numFmtId="0" fontId="45" fillId="16" borderId="53" xfId="0" applyFont="1" applyFill="1" applyBorder="1" applyAlignment="1">
      <alignment horizontal="left"/>
    </xf>
    <xf numFmtId="0" fontId="45" fillId="16" borderId="53" xfId="0" applyFont="1" applyFill="1" applyBorder="1" applyAlignment="1">
      <alignment horizontal="center"/>
    </xf>
    <xf numFmtId="49" fontId="46" fillId="16" borderId="53" xfId="0" applyNumberFormat="1" applyFont="1" applyFill="1" applyBorder="1" applyAlignment="1">
      <alignment horizontal="left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8" fillId="0" borderId="0" xfId="0" applyFont="1" applyAlignment="1">
      <alignment horizontal="left" vertical="center"/>
    </xf>
    <xf numFmtId="0" fontId="0" fillId="0" borderId="0" xfId="0" applyFont="1" applyAlignment="1"/>
    <xf numFmtId="3" fontId="47" fillId="0" borderId="17" xfId="0" applyNumberFormat="1" applyFont="1" applyBorder="1" applyAlignment="1">
      <alignment horizontal="right" vertical="center"/>
    </xf>
    <xf numFmtId="3" fontId="47" fillId="0" borderId="54" xfId="0" applyNumberFormat="1" applyFont="1" applyBorder="1"/>
    <xf numFmtId="0" fontId="47" fillId="2" borderId="17" xfId="0" applyFont="1" applyFill="1" applyBorder="1" applyAlignment="1">
      <alignment horizontal="left" vertical="center"/>
    </xf>
    <xf numFmtId="0" fontId="47" fillId="0" borderId="17" xfId="0" applyFont="1" applyBorder="1" applyAlignment="1">
      <alignment horizontal="center" vertical="center"/>
    </xf>
    <xf numFmtId="0" fontId="47" fillId="2" borderId="55" xfId="0" applyFont="1" applyFill="1" applyBorder="1" applyAlignment="1">
      <alignment horizontal="left" vertical="center"/>
    </xf>
    <xf numFmtId="0" fontId="47" fillId="2" borderId="56" xfId="0" applyFont="1" applyFill="1" applyBorder="1" applyAlignment="1">
      <alignment horizontal="left" vertical="center"/>
    </xf>
    <xf numFmtId="3" fontId="47" fillId="0" borderId="54" xfId="0" applyNumberFormat="1" applyFont="1" applyBorder="1" applyAlignment="1">
      <alignment vertical="top"/>
    </xf>
    <xf numFmtId="0" fontId="47" fillId="0" borderId="54" xfId="0" applyFont="1" applyBorder="1" applyAlignment="1">
      <alignment horizontal="center"/>
    </xf>
    <xf numFmtId="0" fontId="48" fillId="0" borderId="57" xfId="1" quotePrefix="1" applyNumberFormat="1" applyFill="1" applyAlignment="1">
      <alignment horizontal="center" vertical="center" justifyLastLine="1"/>
    </xf>
    <xf numFmtId="0" fontId="48" fillId="18" borderId="57" xfId="1" quotePrefix="1" applyNumberFormat="1" applyFont="1" applyFill="1" applyAlignment="1">
      <alignment vertical="center" justifyLastLine="1"/>
    </xf>
    <xf numFmtId="0" fontId="48" fillId="18" borderId="57" xfId="1" quotePrefix="1" applyNumberFormat="1" applyFont="1" applyFill="1" applyAlignment="1">
      <alignment vertical="top" justifyLastLine="1"/>
    </xf>
    <xf numFmtId="0" fontId="22" fillId="0" borderId="17" xfId="0" applyFont="1" applyBorder="1" applyAlignment="1">
      <alignment horizontal="left" vertical="center" wrapText="1"/>
    </xf>
    <xf numFmtId="3" fontId="22" fillId="0" borderId="17" xfId="0" applyNumberFormat="1" applyFont="1" applyBorder="1" applyAlignment="1">
      <alignment horizontal="left" vertical="center" wrapText="1"/>
    </xf>
    <xf numFmtId="3" fontId="20" fillId="4" borderId="14" xfId="0" applyNumberFormat="1" applyFont="1" applyFill="1" applyBorder="1" applyAlignment="1">
      <alignment horizontal="center" vertical="center" wrapText="1"/>
    </xf>
    <xf numFmtId="3" fontId="0" fillId="0" borderId="0" xfId="0" applyNumberFormat="1" applyFont="1" applyAlignment="1"/>
    <xf numFmtId="0" fontId="12" fillId="0" borderId="0" xfId="0" applyFont="1" applyAlignment="1">
      <alignment horizontal="center" vertical="center" wrapText="1"/>
    </xf>
    <xf numFmtId="0" fontId="0" fillId="0" borderId="0" xfId="0" applyFont="1" applyAlignment="1"/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/>
    <xf numFmtId="0" fontId="5" fillId="0" borderId="4" xfId="0" applyFont="1" applyBorder="1"/>
    <xf numFmtId="0" fontId="6" fillId="0" borderId="6" xfId="0" applyFont="1" applyBorder="1" applyAlignment="1">
      <alignment horizontal="left" vertical="center" wrapText="1"/>
    </xf>
    <xf numFmtId="0" fontId="5" fillId="0" borderId="7" xfId="0" applyFont="1" applyBorder="1"/>
    <xf numFmtId="0" fontId="5" fillId="0" borderId="8" xfId="0" applyFont="1" applyBorder="1"/>
    <xf numFmtId="0" fontId="11" fillId="0" borderId="0" xfId="0" applyFont="1" applyAlignment="1">
      <alignment horizontal="center" vertical="center" wrapText="1"/>
    </xf>
    <xf numFmtId="0" fontId="17" fillId="0" borderId="16" xfId="0" applyFont="1" applyBorder="1"/>
    <xf numFmtId="0" fontId="5" fillId="0" borderId="16" xfId="0" applyFont="1" applyBorder="1"/>
    <xf numFmtId="0" fontId="17" fillId="0" borderId="0" xfId="0" applyFont="1"/>
    <xf numFmtId="1" fontId="28" fillId="4" borderId="21" xfId="0" applyNumberFormat="1" applyFont="1" applyFill="1" applyBorder="1" applyAlignment="1">
      <alignment horizontal="center" vertical="center" wrapText="1"/>
    </xf>
    <xf numFmtId="0" fontId="5" fillId="0" borderId="22" xfId="0" applyFont="1" applyBorder="1"/>
    <xf numFmtId="0" fontId="29" fillId="4" borderId="21" xfId="0" applyFont="1" applyFill="1" applyBorder="1" applyAlignment="1">
      <alignment horizontal="center" vertical="center"/>
    </xf>
    <xf numFmtId="0" fontId="5" fillId="0" borderId="23" xfId="0" applyFont="1" applyBorder="1"/>
    <xf numFmtId="0" fontId="27" fillId="0" borderId="0" xfId="0" applyFont="1" applyAlignment="1">
      <alignment horizontal="center" vertical="center" wrapText="1"/>
    </xf>
    <xf numFmtId="0" fontId="11" fillId="0" borderId="28" xfId="0" applyFont="1" applyBorder="1" applyAlignment="1">
      <alignment horizontal="center"/>
    </xf>
    <xf numFmtId="0" fontId="5" fillId="0" borderId="28" xfId="0" applyFont="1" applyBorder="1"/>
    <xf numFmtId="0" fontId="41" fillId="11" borderId="34" xfId="0" applyFont="1" applyFill="1" applyBorder="1" applyAlignment="1">
      <alignment horizontal="center" vertical="center" wrapText="1"/>
    </xf>
    <xf numFmtId="0" fontId="5" fillId="0" borderId="38" xfId="0" applyFont="1" applyBorder="1"/>
    <xf numFmtId="0" fontId="41" fillId="11" borderId="31" xfId="0" applyFont="1" applyFill="1" applyBorder="1" applyAlignment="1">
      <alignment horizontal="center" vertical="center" wrapText="1"/>
    </xf>
    <xf numFmtId="0" fontId="5" fillId="0" borderId="35" xfId="0" applyFont="1" applyBorder="1"/>
    <xf numFmtId="0" fontId="41" fillId="11" borderId="32" xfId="0" applyFont="1" applyFill="1" applyBorder="1" applyAlignment="1">
      <alignment horizontal="center" vertical="center" wrapText="1"/>
    </xf>
    <xf numFmtId="0" fontId="5" fillId="0" borderId="36" xfId="0" applyFont="1" applyBorder="1"/>
    <xf numFmtId="0" fontId="41" fillId="11" borderId="33" xfId="0" applyFont="1" applyFill="1" applyBorder="1" applyAlignment="1">
      <alignment horizontal="center" vertical="center" wrapText="1"/>
    </xf>
    <xf numFmtId="0" fontId="5" fillId="0" borderId="37" xfId="0" applyFont="1" applyBorder="1"/>
  </cellXfs>
  <cellStyles count="2">
    <cellStyle name="Normalno" xfId="0" builtinId="0"/>
    <cellStyle name="SAPBEXstdItem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</xdr:colOff>
      <xdr:row>2</xdr:row>
      <xdr:rowOff>9525</xdr:rowOff>
    </xdr:from>
    <xdr:ext cx="314325" cy="342900"/>
    <xdr:grpSp>
      <xdr:nvGrpSpPr>
        <xdr:cNvPr id="2" name="Shape 2"/>
        <xdr:cNvGrpSpPr/>
      </xdr:nvGrpSpPr>
      <xdr:grpSpPr>
        <a:xfrm>
          <a:off x="9525" y="361950"/>
          <a:ext cx="314325" cy="342900"/>
          <a:chOff x="5193600" y="3613313"/>
          <a:chExt cx="304800" cy="333375"/>
        </a:xfrm>
      </xdr:grpSpPr>
      <xdr:cxnSp macro="">
        <xdr:nvCxnSpPr>
          <xdr:cNvPr id="3" name="Shape 3"/>
          <xdr:cNvCxnSpPr/>
        </xdr:nvCxnSpPr>
        <xdr:spPr>
          <a:xfrm>
            <a:off x="5193600" y="3613313"/>
            <a:ext cx="304800" cy="333375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2</xdr:row>
      <xdr:rowOff>9525</xdr:rowOff>
    </xdr:from>
    <xdr:ext cx="1076325" cy="342900"/>
    <xdr:grpSp>
      <xdr:nvGrpSpPr>
        <xdr:cNvPr id="4" name="Shape 2"/>
        <xdr:cNvGrpSpPr/>
      </xdr:nvGrpSpPr>
      <xdr:grpSpPr>
        <a:xfrm>
          <a:off x="0" y="361950"/>
          <a:ext cx="1076325" cy="342900"/>
          <a:chOff x="4807838" y="3613313"/>
          <a:chExt cx="1076325" cy="333375"/>
        </a:xfrm>
      </xdr:grpSpPr>
      <xdr:cxnSp macro="">
        <xdr:nvCxnSpPr>
          <xdr:cNvPr id="5" name="Shape 4"/>
          <xdr:cNvCxnSpPr/>
        </xdr:nvCxnSpPr>
        <xdr:spPr>
          <a:xfrm>
            <a:off x="4807838" y="3613313"/>
            <a:ext cx="1076325" cy="333375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2</xdr:row>
      <xdr:rowOff>9525</xdr:rowOff>
    </xdr:from>
    <xdr:ext cx="314325" cy="342900"/>
    <xdr:grpSp>
      <xdr:nvGrpSpPr>
        <xdr:cNvPr id="6" name="Shape 2"/>
        <xdr:cNvGrpSpPr/>
      </xdr:nvGrpSpPr>
      <xdr:grpSpPr>
        <a:xfrm>
          <a:off x="9525" y="361950"/>
          <a:ext cx="314325" cy="342900"/>
          <a:chOff x="5193600" y="3613313"/>
          <a:chExt cx="304800" cy="333375"/>
        </a:xfrm>
      </xdr:grpSpPr>
      <xdr:cxnSp macro="">
        <xdr:nvCxnSpPr>
          <xdr:cNvPr id="7" name="Shape 3"/>
          <xdr:cNvCxnSpPr/>
        </xdr:nvCxnSpPr>
        <xdr:spPr>
          <a:xfrm>
            <a:off x="5193600" y="3613313"/>
            <a:ext cx="304800" cy="333375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82</xdr:row>
      <xdr:rowOff>9525</xdr:rowOff>
    </xdr:from>
    <xdr:ext cx="314325" cy="314325"/>
    <xdr:grpSp>
      <xdr:nvGrpSpPr>
        <xdr:cNvPr id="8" name="Shape 2"/>
        <xdr:cNvGrpSpPr/>
      </xdr:nvGrpSpPr>
      <xdr:grpSpPr>
        <a:xfrm>
          <a:off x="9525" y="13544550"/>
          <a:ext cx="314325" cy="314325"/>
          <a:chOff x="5193600" y="3627600"/>
          <a:chExt cx="304800" cy="304800"/>
        </a:xfrm>
      </xdr:grpSpPr>
      <xdr:cxnSp macro="">
        <xdr:nvCxnSpPr>
          <xdr:cNvPr id="9" name="Shape 5"/>
          <xdr:cNvCxnSpPr/>
        </xdr:nvCxnSpPr>
        <xdr:spPr>
          <a:xfrm>
            <a:off x="5193600" y="3627600"/>
            <a:ext cx="304800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82</xdr:row>
      <xdr:rowOff>9525</xdr:rowOff>
    </xdr:from>
    <xdr:ext cx="1076325" cy="314325"/>
    <xdr:grpSp>
      <xdr:nvGrpSpPr>
        <xdr:cNvPr id="10" name="Shape 2"/>
        <xdr:cNvGrpSpPr/>
      </xdr:nvGrpSpPr>
      <xdr:grpSpPr>
        <a:xfrm>
          <a:off x="0" y="13544550"/>
          <a:ext cx="1076325" cy="314325"/>
          <a:chOff x="4807838" y="3627600"/>
          <a:chExt cx="1076325" cy="304800"/>
        </a:xfrm>
      </xdr:grpSpPr>
      <xdr:cxnSp macro="">
        <xdr:nvCxnSpPr>
          <xdr:cNvPr id="11" name="Shape 6"/>
          <xdr:cNvCxnSpPr/>
        </xdr:nvCxnSpPr>
        <xdr:spPr>
          <a:xfrm>
            <a:off x="4807838" y="3627600"/>
            <a:ext cx="1076325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82</xdr:row>
      <xdr:rowOff>9525</xdr:rowOff>
    </xdr:from>
    <xdr:ext cx="314325" cy="314325"/>
    <xdr:grpSp>
      <xdr:nvGrpSpPr>
        <xdr:cNvPr id="12" name="Shape 2"/>
        <xdr:cNvGrpSpPr/>
      </xdr:nvGrpSpPr>
      <xdr:grpSpPr>
        <a:xfrm>
          <a:off x="9525" y="13544550"/>
          <a:ext cx="314325" cy="314325"/>
          <a:chOff x="5193600" y="3627600"/>
          <a:chExt cx="304800" cy="304800"/>
        </a:xfrm>
      </xdr:grpSpPr>
      <xdr:cxnSp macro="">
        <xdr:nvCxnSpPr>
          <xdr:cNvPr id="13" name="Shape 5"/>
          <xdr:cNvCxnSpPr/>
        </xdr:nvCxnSpPr>
        <xdr:spPr>
          <a:xfrm>
            <a:off x="5193600" y="3627600"/>
            <a:ext cx="304800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82</xdr:row>
      <xdr:rowOff>9525</xdr:rowOff>
    </xdr:from>
    <xdr:ext cx="1076325" cy="314325"/>
    <xdr:grpSp>
      <xdr:nvGrpSpPr>
        <xdr:cNvPr id="14" name="Shape 2"/>
        <xdr:cNvGrpSpPr/>
      </xdr:nvGrpSpPr>
      <xdr:grpSpPr>
        <a:xfrm>
          <a:off x="0" y="13544550"/>
          <a:ext cx="1076325" cy="314325"/>
          <a:chOff x="4807838" y="3627600"/>
          <a:chExt cx="1076325" cy="304800"/>
        </a:xfrm>
      </xdr:grpSpPr>
      <xdr:cxnSp macro="">
        <xdr:nvCxnSpPr>
          <xdr:cNvPr id="15" name="Shape 6"/>
          <xdr:cNvCxnSpPr/>
        </xdr:nvCxnSpPr>
        <xdr:spPr>
          <a:xfrm>
            <a:off x="4807838" y="3627600"/>
            <a:ext cx="1076325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82</xdr:row>
      <xdr:rowOff>9525</xdr:rowOff>
    </xdr:from>
    <xdr:ext cx="314325" cy="314325"/>
    <xdr:grpSp>
      <xdr:nvGrpSpPr>
        <xdr:cNvPr id="16" name="Shape 2"/>
        <xdr:cNvGrpSpPr/>
      </xdr:nvGrpSpPr>
      <xdr:grpSpPr>
        <a:xfrm>
          <a:off x="9525" y="13544550"/>
          <a:ext cx="314325" cy="314325"/>
          <a:chOff x="5193600" y="3627600"/>
          <a:chExt cx="304800" cy="304800"/>
        </a:xfrm>
      </xdr:grpSpPr>
      <xdr:cxnSp macro="">
        <xdr:nvCxnSpPr>
          <xdr:cNvPr id="17" name="Shape 5"/>
          <xdr:cNvCxnSpPr/>
        </xdr:nvCxnSpPr>
        <xdr:spPr>
          <a:xfrm>
            <a:off x="5193600" y="3627600"/>
            <a:ext cx="304800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82</xdr:row>
      <xdr:rowOff>9525</xdr:rowOff>
    </xdr:from>
    <xdr:ext cx="1076325" cy="314325"/>
    <xdr:grpSp>
      <xdr:nvGrpSpPr>
        <xdr:cNvPr id="18" name="Shape 2"/>
        <xdr:cNvGrpSpPr/>
      </xdr:nvGrpSpPr>
      <xdr:grpSpPr>
        <a:xfrm>
          <a:off x="0" y="13544550"/>
          <a:ext cx="1076325" cy="314325"/>
          <a:chOff x="4807838" y="3627600"/>
          <a:chExt cx="1076325" cy="304800"/>
        </a:xfrm>
      </xdr:grpSpPr>
      <xdr:cxnSp macro="">
        <xdr:nvCxnSpPr>
          <xdr:cNvPr id="19" name="Shape 6"/>
          <xdr:cNvCxnSpPr/>
        </xdr:nvCxnSpPr>
        <xdr:spPr>
          <a:xfrm>
            <a:off x="4807838" y="3627600"/>
            <a:ext cx="1076325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82</xdr:row>
      <xdr:rowOff>9525</xdr:rowOff>
    </xdr:from>
    <xdr:ext cx="314325" cy="314325"/>
    <xdr:grpSp>
      <xdr:nvGrpSpPr>
        <xdr:cNvPr id="20" name="Shape 2"/>
        <xdr:cNvGrpSpPr/>
      </xdr:nvGrpSpPr>
      <xdr:grpSpPr>
        <a:xfrm>
          <a:off x="9525" y="13544550"/>
          <a:ext cx="314325" cy="314325"/>
          <a:chOff x="5193600" y="3627600"/>
          <a:chExt cx="304800" cy="304800"/>
        </a:xfrm>
      </xdr:grpSpPr>
      <xdr:cxnSp macro="">
        <xdr:nvCxnSpPr>
          <xdr:cNvPr id="21" name="Shape 5"/>
          <xdr:cNvCxnSpPr/>
        </xdr:nvCxnSpPr>
        <xdr:spPr>
          <a:xfrm>
            <a:off x="5193600" y="3627600"/>
            <a:ext cx="304800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82</xdr:row>
      <xdr:rowOff>9525</xdr:rowOff>
    </xdr:from>
    <xdr:ext cx="1076325" cy="314325"/>
    <xdr:grpSp>
      <xdr:nvGrpSpPr>
        <xdr:cNvPr id="22" name="Shape 2"/>
        <xdr:cNvGrpSpPr/>
      </xdr:nvGrpSpPr>
      <xdr:grpSpPr>
        <a:xfrm>
          <a:off x="0" y="13544550"/>
          <a:ext cx="1076325" cy="314325"/>
          <a:chOff x="4807838" y="3627600"/>
          <a:chExt cx="1076325" cy="304800"/>
        </a:xfrm>
      </xdr:grpSpPr>
      <xdr:cxnSp macro="">
        <xdr:nvCxnSpPr>
          <xdr:cNvPr id="23" name="Shape 6"/>
          <xdr:cNvCxnSpPr/>
        </xdr:nvCxnSpPr>
        <xdr:spPr>
          <a:xfrm>
            <a:off x="4807838" y="3627600"/>
            <a:ext cx="1076325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2</xdr:row>
      <xdr:rowOff>9525</xdr:rowOff>
    </xdr:from>
    <xdr:ext cx="314325" cy="342900"/>
    <xdr:grpSp>
      <xdr:nvGrpSpPr>
        <xdr:cNvPr id="24" name="Shape 2"/>
        <xdr:cNvGrpSpPr/>
      </xdr:nvGrpSpPr>
      <xdr:grpSpPr>
        <a:xfrm>
          <a:off x="9525" y="361950"/>
          <a:ext cx="314325" cy="342900"/>
          <a:chOff x="5193600" y="3613313"/>
          <a:chExt cx="304800" cy="333375"/>
        </a:xfrm>
      </xdr:grpSpPr>
      <xdr:cxnSp macro="">
        <xdr:nvCxnSpPr>
          <xdr:cNvPr id="25" name="Shape 3"/>
          <xdr:cNvCxnSpPr/>
        </xdr:nvCxnSpPr>
        <xdr:spPr>
          <a:xfrm>
            <a:off x="5193600" y="3613313"/>
            <a:ext cx="304800" cy="333375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2</xdr:row>
      <xdr:rowOff>9525</xdr:rowOff>
    </xdr:from>
    <xdr:ext cx="1076325" cy="342900"/>
    <xdr:grpSp>
      <xdr:nvGrpSpPr>
        <xdr:cNvPr id="26" name="Shape 2"/>
        <xdr:cNvGrpSpPr/>
      </xdr:nvGrpSpPr>
      <xdr:grpSpPr>
        <a:xfrm>
          <a:off x="0" y="361950"/>
          <a:ext cx="1076325" cy="342900"/>
          <a:chOff x="4807838" y="3613313"/>
          <a:chExt cx="1076325" cy="333375"/>
        </a:xfrm>
      </xdr:grpSpPr>
      <xdr:cxnSp macro="">
        <xdr:nvCxnSpPr>
          <xdr:cNvPr id="27" name="Shape 4"/>
          <xdr:cNvCxnSpPr/>
        </xdr:nvCxnSpPr>
        <xdr:spPr>
          <a:xfrm>
            <a:off x="4807838" y="3613313"/>
            <a:ext cx="1076325" cy="333375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2</xdr:row>
      <xdr:rowOff>9525</xdr:rowOff>
    </xdr:from>
    <xdr:ext cx="314325" cy="342900"/>
    <xdr:grpSp>
      <xdr:nvGrpSpPr>
        <xdr:cNvPr id="28" name="Shape 2"/>
        <xdr:cNvGrpSpPr/>
      </xdr:nvGrpSpPr>
      <xdr:grpSpPr>
        <a:xfrm>
          <a:off x="9525" y="361950"/>
          <a:ext cx="314325" cy="342900"/>
          <a:chOff x="5193600" y="3613313"/>
          <a:chExt cx="304800" cy="333375"/>
        </a:xfrm>
      </xdr:grpSpPr>
      <xdr:cxnSp macro="">
        <xdr:nvCxnSpPr>
          <xdr:cNvPr id="29" name="Shape 3"/>
          <xdr:cNvCxnSpPr/>
        </xdr:nvCxnSpPr>
        <xdr:spPr>
          <a:xfrm>
            <a:off x="5193600" y="3613313"/>
            <a:ext cx="304800" cy="333375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2</xdr:row>
      <xdr:rowOff>9525</xdr:rowOff>
    </xdr:from>
    <xdr:ext cx="314325" cy="342900"/>
    <xdr:grpSp>
      <xdr:nvGrpSpPr>
        <xdr:cNvPr id="30" name="Shape 2"/>
        <xdr:cNvGrpSpPr/>
      </xdr:nvGrpSpPr>
      <xdr:grpSpPr>
        <a:xfrm>
          <a:off x="9525" y="361950"/>
          <a:ext cx="314325" cy="342900"/>
          <a:chOff x="5193600" y="3613313"/>
          <a:chExt cx="304800" cy="333375"/>
        </a:xfrm>
      </xdr:grpSpPr>
      <xdr:cxnSp macro="">
        <xdr:nvCxnSpPr>
          <xdr:cNvPr id="31" name="Shape 3"/>
          <xdr:cNvCxnSpPr/>
        </xdr:nvCxnSpPr>
        <xdr:spPr>
          <a:xfrm>
            <a:off x="5193600" y="3613313"/>
            <a:ext cx="304800" cy="333375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2</xdr:row>
      <xdr:rowOff>9525</xdr:rowOff>
    </xdr:from>
    <xdr:ext cx="1076325" cy="342900"/>
    <xdr:grpSp>
      <xdr:nvGrpSpPr>
        <xdr:cNvPr id="32" name="Shape 2"/>
        <xdr:cNvGrpSpPr/>
      </xdr:nvGrpSpPr>
      <xdr:grpSpPr>
        <a:xfrm>
          <a:off x="0" y="361950"/>
          <a:ext cx="1076325" cy="342900"/>
          <a:chOff x="4807838" y="3613313"/>
          <a:chExt cx="1076325" cy="333375"/>
        </a:xfrm>
      </xdr:grpSpPr>
      <xdr:cxnSp macro="">
        <xdr:nvCxnSpPr>
          <xdr:cNvPr id="33" name="Shape 4"/>
          <xdr:cNvCxnSpPr/>
        </xdr:nvCxnSpPr>
        <xdr:spPr>
          <a:xfrm>
            <a:off x="4807838" y="3613313"/>
            <a:ext cx="1076325" cy="333375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2</xdr:row>
      <xdr:rowOff>9525</xdr:rowOff>
    </xdr:from>
    <xdr:ext cx="314325" cy="342900"/>
    <xdr:grpSp>
      <xdr:nvGrpSpPr>
        <xdr:cNvPr id="34" name="Shape 2"/>
        <xdr:cNvGrpSpPr/>
      </xdr:nvGrpSpPr>
      <xdr:grpSpPr>
        <a:xfrm>
          <a:off x="9525" y="361950"/>
          <a:ext cx="314325" cy="342900"/>
          <a:chOff x="5193600" y="3613313"/>
          <a:chExt cx="304800" cy="333375"/>
        </a:xfrm>
      </xdr:grpSpPr>
      <xdr:cxnSp macro="">
        <xdr:nvCxnSpPr>
          <xdr:cNvPr id="35" name="Shape 3"/>
          <xdr:cNvCxnSpPr/>
        </xdr:nvCxnSpPr>
        <xdr:spPr>
          <a:xfrm>
            <a:off x="5193600" y="3613313"/>
            <a:ext cx="304800" cy="333375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42</xdr:row>
      <xdr:rowOff>9525</xdr:rowOff>
    </xdr:from>
    <xdr:ext cx="1076325" cy="314325"/>
    <xdr:grpSp>
      <xdr:nvGrpSpPr>
        <xdr:cNvPr id="36" name="Shape 2"/>
        <xdr:cNvGrpSpPr/>
      </xdr:nvGrpSpPr>
      <xdr:grpSpPr>
        <a:xfrm>
          <a:off x="0" y="7067550"/>
          <a:ext cx="1076325" cy="314325"/>
          <a:chOff x="4807838" y="3627600"/>
          <a:chExt cx="1076325" cy="304800"/>
        </a:xfrm>
      </xdr:grpSpPr>
      <xdr:cxnSp macro="">
        <xdr:nvCxnSpPr>
          <xdr:cNvPr id="37" name="Shape 6"/>
          <xdr:cNvCxnSpPr/>
        </xdr:nvCxnSpPr>
        <xdr:spPr>
          <a:xfrm>
            <a:off x="4807838" y="3627600"/>
            <a:ext cx="1076325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82</xdr:row>
      <xdr:rowOff>9525</xdr:rowOff>
    </xdr:from>
    <xdr:ext cx="314325" cy="314325"/>
    <xdr:grpSp>
      <xdr:nvGrpSpPr>
        <xdr:cNvPr id="38" name="Shape 2"/>
        <xdr:cNvGrpSpPr/>
      </xdr:nvGrpSpPr>
      <xdr:grpSpPr>
        <a:xfrm>
          <a:off x="9525" y="13544550"/>
          <a:ext cx="314325" cy="314325"/>
          <a:chOff x="5193600" y="3627600"/>
          <a:chExt cx="304800" cy="304800"/>
        </a:xfrm>
      </xdr:grpSpPr>
      <xdr:cxnSp macro="">
        <xdr:nvCxnSpPr>
          <xdr:cNvPr id="39" name="Shape 5"/>
          <xdr:cNvCxnSpPr/>
        </xdr:nvCxnSpPr>
        <xdr:spPr>
          <a:xfrm>
            <a:off x="5193600" y="3627600"/>
            <a:ext cx="304800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82</xdr:row>
      <xdr:rowOff>9525</xdr:rowOff>
    </xdr:from>
    <xdr:ext cx="1076325" cy="314325"/>
    <xdr:grpSp>
      <xdr:nvGrpSpPr>
        <xdr:cNvPr id="40" name="Shape 2"/>
        <xdr:cNvGrpSpPr/>
      </xdr:nvGrpSpPr>
      <xdr:grpSpPr>
        <a:xfrm>
          <a:off x="0" y="13544550"/>
          <a:ext cx="1076325" cy="314325"/>
          <a:chOff x="4807838" y="3627600"/>
          <a:chExt cx="1076325" cy="304800"/>
        </a:xfrm>
      </xdr:grpSpPr>
      <xdr:cxnSp macro="">
        <xdr:nvCxnSpPr>
          <xdr:cNvPr id="41" name="Shape 6"/>
          <xdr:cNvCxnSpPr/>
        </xdr:nvCxnSpPr>
        <xdr:spPr>
          <a:xfrm>
            <a:off x="4807838" y="3627600"/>
            <a:ext cx="1076325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82</xdr:row>
      <xdr:rowOff>9525</xdr:rowOff>
    </xdr:from>
    <xdr:ext cx="314325" cy="314325"/>
    <xdr:grpSp>
      <xdr:nvGrpSpPr>
        <xdr:cNvPr id="42" name="Shape 2"/>
        <xdr:cNvGrpSpPr/>
      </xdr:nvGrpSpPr>
      <xdr:grpSpPr>
        <a:xfrm>
          <a:off x="9525" y="13544550"/>
          <a:ext cx="314325" cy="314325"/>
          <a:chOff x="5193600" y="3627600"/>
          <a:chExt cx="304800" cy="304800"/>
        </a:xfrm>
      </xdr:grpSpPr>
      <xdr:cxnSp macro="">
        <xdr:nvCxnSpPr>
          <xdr:cNvPr id="43" name="Shape 5"/>
          <xdr:cNvCxnSpPr/>
        </xdr:nvCxnSpPr>
        <xdr:spPr>
          <a:xfrm>
            <a:off x="5193600" y="3627600"/>
            <a:ext cx="304800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82</xdr:row>
      <xdr:rowOff>9525</xdr:rowOff>
    </xdr:from>
    <xdr:ext cx="1076325" cy="314325"/>
    <xdr:grpSp>
      <xdr:nvGrpSpPr>
        <xdr:cNvPr id="44" name="Shape 2"/>
        <xdr:cNvGrpSpPr/>
      </xdr:nvGrpSpPr>
      <xdr:grpSpPr>
        <a:xfrm>
          <a:off x="0" y="13544550"/>
          <a:ext cx="1076325" cy="314325"/>
          <a:chOff x="4807838" y="3627600"/>
          <a:chExt cx="1076325" cy="304800"/>
        </a:xfrm>
      </xdr:grpSpPr>
      <xdr:cxnSp macro="">
        <xdr:nvCxnSpPr>
          <xdr:cNvPr id="45" name="Shape 6"/>
          <xdr:cNvCxnSpPr/>
        </xdr:nvCxnSpPr>
        <xdr:spPr>
          <a:xfrm>
            <a:off x="4807838" y="3627600"/>
            <a:ext cx="1076325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82</xdr:row>
      <xdr:rowOff>9525</xdr:rowOff>
    </xdr:from>
    <xdr:ext cx="314325" cy="314325"/>
    <xdr:grpSp>
      <xdr:nvGrpSpPr>
        <xdr:cNvPr id="46" name="Shape 2"/>
        <xdr:cNvGrpSpPr/>
      </xdr:nvGrpSpPr>
      <xdr:grpSpPr>
        <a:xfrm>
          <a:off x="9525" y="13544550"/>
          <a:ext cx="314325" cy="314325"/>
          <a:chOff x="5193600" y="3627600"/>
          <a:chExt cx="304800" cy="304800"/>
        </a:xfrm>
      </xdr:grpSpPr>
      <xdr:cxnSp macro="">
        <xdr:nvCxnSpPr>
          <xdr:cNvPr id="47" name="Shape 5"/>
          <xdr:cNvCxnSpPr/>
        </xdr:nvCxnSpPr>
        <xdr:spPr>
          <a:xfrm>
            <a:off x="5193600" y="3627600"/>
            <a:ext cx="304800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82</xdr:row>
      <xdr:rowOff>9525</xdr:rowOff>
    </xdr:from>
    <xdr:ext cx="1076325" cy="314325"/>
    <xdr:grpSp>
      <xdr:nvGrpSpPr>
        <xdr:cNvPr id="48" name="Shape 2"/>
        <xdr:cNvGrpSpPr/>
      </xdr:nvGrpSpPr>
      <xdr:grpSpPr>
        <a:xfrm>
          <a:off x="0" y="13544550"/>
          <a:ext cx="1076325" cy="314325"/>
          <a:chOff x="4807838" y="3627600"/>
          <a:chExt cx="1076325" cy="304800"/>
        </a:xfrm>
      </xdr:grpSpPr>
      <xdr:cxnSp macro="">
        <xdr:nvCxnSpPr>
          <xdr:cNvPr id="49" name="Shape 6"/>
          <xdr:cNvCxnSpPr/>
        </xdr:nvCxnSpPr>
        <xdr:spPr>
          <a:xfrm>
            <a:off x="4807838" y="3627600"/>
            <a:ext cx="1076325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82</xdr:row>
      <xdr:rowOff>9525</xdr:rowOff>
    </xdr:from>
    <xdr:ext cx="314325" cy="314325"/>
    <xdr:grpSp>
      <xdr:nvGrpSpPr>
        <xdr:cNvPr id="50" name="Shape 2"/>
        <xdr:cNvGrpSpPr/>
      </xdr:nvGrpSpPr>
      <xdr:grpSpPr>
        <a:xfrm>
          <a:off x="9525" y="13544550"/>
          <a:ext cx="314325" cy="314325"/>
          <a:chOff x="5193600" y="3627600"/>
          <a:chExt cx="304800" cy="304800"/>
        </a:xfrm>
      </xdr:grpSpPr>
      <xdr:cxnSp macro="">
        <xdr:nvCxnSpPr>
          <xdr:cNvPr id="51" name="Shape 5"/>
          <xdr:cNvCxnSpPr/>
        </xdr:nvCxnSpPr>
        <xdr:spPr>
          <a:xfrm>
            <a:off x="5193600" y="3627600"/>
            <a:ext cx="304800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82</xdr:row>
      <xdr:rowOff>9525</xdr:rowOff>
    </xdr:from>
    <xdr:ext cx="1076325" cy="314325"/>
    <xdr:grpSp>
      <xdr:nvGrpSpPr>
        <xdr:cNvPr id="52" name="Shape 2"/>
        <xdr:cNvGrpSpPr/>
      </xdr:nvGrpSpPr>
      <xdr:grpSpPr>
        <a:xfrm>
          <a:off x="0" y="13544550"/>
          <a:ext cx="1076325" cy="314325"/>
          <a:chOff x="4807838" y="3627600"/>
          <a:chExt cx="1076325" cy="304800"/>
        </a:xfrm>
      </xdr:grpSpPr>
      <xdr:cxnSp macro="">
        <xdr:nvCxnSpPr>
          <xdr:cNvPr id="53" name="Shape 6"/>
          <xdr:cNvCxnSpPr/>
        </xdr:nvCxnSpPr>
        <xdr:spPr>
          <a:xfrm>
            <a:off x="4807838" y="3627600"/>
            <a:ext cx="1076325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82</xdr:row>
      <xdr:rowOff>9525</xdr:rowOff>
    </xdr:from>
    <xdr:ext cx="1076325" cy="314325"/>
    <xdr:grpSp>
      <xdr:nvGrpSpPr>
        <xdr:cNvPr id="54" name="Shape 2"/>
        <xdr:cNvGrpSpPr/>
      </xdr:nvGrpSpPr>
      <xdr:grpSpPr>
        <a:xfrm>
          <a:off x="0" y="13544550"/>
          <a:ext cx="1076325" cy="314325"/>
          <a:chOff x="4807838" y="3627600"/>
          <a:chExt cx="1076325" cy="304800"/>
        </a:xfrm>
      </xdr:grpSpPr>
      <xdr:cxnSp macro="">
        <xdr:nvCxnSpPr>
          <xdr:cNvPr id="55" name="Shape 6"/>
          <xdr:cNvCxnSpPr/>
        </xdr:nvCxnSpPr>
        <xdr:spPr>
          <a:xfrm>
            <a:off x="4807838" y="3627600"/>
            <a:ext cx="1076325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82</xdr:row>
      <xdr:rowOff>9525</xdr:rowOff>
    </xdr:from>
    <xdr:ext cx="314325" cy="314325"/>
    <xdr:grpSp>
      <xdr:nvGrpSpPr>
        <xdr:cNvPr id="56" name="Shape 2"/>
        <xdr:cNvGrpSpPr/>
      </xdr:nvGrpSpPr>
      <xdr:grpSpPr>
        <a:xfrm>
          <a:off x="9525" y="13544550"/>
          <a:ext cx="314325" cy="314325"/>
          <a:chOff x="5193600" y="3627600"/>
          <a:chExt cx="304800" cy="304800"/>
        </a:xfrm>
      </xdr:grpSpPr>
      <xdr:cxnSp macro="">
        <xdr:nvCxnSpPr>
          <xdr:cNvPr id="57" name="Shape 5"/>
          <xdr:cNvCxnSpPr/>
        </xdr:nvCxnSpPr>
        <xdr:spPr>
          <a:xfrm>
            <a:off x="5193600" y="3627600"/>
            <a:ext cx="304800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82</xdr:row>
      <xdr:rowOff>9525</xdr:rowOff>
    </xdr:from>
    <xdr:ext cx="1076325" cy="314325"/>
    <xdr:grpSp>
      <xdr:nvGrpSpPr>
        <xdr:cNvPr id="58" name="Shape 2"/>
        <xdr:cNvGrpSpPr/>
      </xdr:nvGrpSpPr>
      <xdr:grpSpPr>
        <a:xfrm>
          <a:off x="0" y="13544550"/>
          <a:ext cx="1076325" cy="314325"/>
          <a:chOff x="4807838" y="3627600"/>
          <a:chExt cx="1076325" cy="304800"/>
        </a:xfrm>
      </xdr:grpSpPr>
      <xdr:cxnSp macro="">
        <xdr:nvCxnSpPr>
          <xdr:cNvPr id="59" name="Shape 6"/>
          <xdr:cNvCxnSpPr/>
        </xdr:nvCxnSpPr>
        <xdr:spPr>
          <a:xfrm>
            <a:off x="4807838" y="3627600"/>
            <a:ext cx="1076325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82</xdr:row>
      <xdr:rowOff>9525</xdr:rowOff>
    </xdr:from>
    <xdr:ext cx="314325" cy="314325"/>
    <xdr:grpSp>
      <xdr:nvGrpSpPr>
        <xdr:cNvPr id="60" name="Shape 2"/>
        <xdr:cNvGrpSpPr/>
      </xdr:nvGrpSpPr>
      <xdr:grpSpPr>
        <a:xfrm>
          <a:off x="9525" y="13544550"/>
          <a:ext cx="314325" cy="314325"/>
          <a:chOff x="5193600" y="3627600"/>
          <a:chExt cx="304800" cy="304800"/>
        </a:xfrm>
      </xdr:grpSpPr>
      <xdr:cxnSp macro="">
        <xdr:nvCxnSpPr>
          <xdr:cNvPr id="61" name="Shape 5"/>
          <xdr:cNvCxnSpPr/>
        </xdr:nvCxnSpPr>
        <xdr:spPr>
          <a:xfrm>
            <a:off x="5193600" y="3627600"/>
            <a:ext cx="304800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82</xdr:row>
      <xdr:rowOff>9525</xdr:rowOff>
    </xdr:from>
    <xdr:ext cx="1076325" cy="314325"/>
    <xdr:grpSp>
      <xdr:nvGrpSpPr>
        <xdr:cNvPr id="62" name="Shape 2"/>
        <xdr:cNvGrpSpPr/>
      </xdr:nvGrpSpPr>
      <xdr:grpSpPr>
        <a:xfrm>
          <a:off x="0" y="13544550"/>
          <a:ext cx="1076325" cy="314325"/>
          <a:chOff x="4807838" y="3627600"/>
          <a:chExt cx="1076325" cy="304800"/>
        </a:xfrm>
      </xdr:grpSpPr>
      <xdr:cxnSp macro="">
        <xdr:nvCxnSpPr>
          <xdr:cNvPr id="63" name="Shape 6"/>
          <xdr:cNvCxnSpPr/>
        </xdr:nvCxnSpPr>
        <xdr:spPr>
          <a:xfrm>
            <a:off x="4807838" y="3627600"/>
            <a:ext cx="1076325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82</xdr:row>
      <xdr:rowOff>9525</xdr:rowOff>
    </xdr:from>
    <xdr:ext cx="314325" cy="314325"/>
    <xdr:grpSp>
      <xdr:nvGrpSpPr>
        <xdr:cNvPr id="64" name="Shape 2"/>
        <xdr:cNvGrpSpPr/>
      </xdr:nvGrpSpPr>
      <xdr:grpSpPr>
        <a:xfrm>
          <a:off x="9525" y="13544550"/>
          <a:ext cx="314325" cy="314325"/>
          <a:chOff x="5193600" y="3627600"/>
          <a:chExt cx="304800" cy="304800"/>
        </a:xfrm>
      </xdr:grpSpPr>
      <xdr:cxnSp macro="">
        <xdr:nvCxnSpPr>
          <xdr:cNvPr id="65" name="Shape 5"/>
          <xdr:cNvCxnSpPr/>
        </xdr:nvCxnSpPr>
        <xdr:spPr>
          <a:xfrm>
            <a:off x="5193600" y="3627600"/>
            <a:ext cx="304800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82</xdr:row>
      <xdr:rowOff>9525</xdr:rowOff>
    </xdr:from>
    <xdr:ext cx="1076325" cy="314325"/>
    <xdr:grpSp>
      <xdr:nvGrpSpPr>
        <xdr:cNvPr id="66" name="Shape 2"/>
        <xdr:cNvGrpSpPr/>
      </xdr:nvGrpSpPr>
      <xdr:grpSpPr>
        <a:xfrm>
          <a:off x="0" y="13544550"/>
          <a:ext cx="1076325" cy="314325"/>
          <a:chOff x="4807838" y="3627600"/>
          <a:chExt cx="1076325" cy="304800"/>
        </a:xfrm>
      </xdr:grpSpPr>
      <xdr:cxnSp macro="">
        <xdr:nvCxnSpPr>
          <xdr:cNvPr id="67" name="Shape 6"/>
          <xdr:cNvCxnSpPr/>
        </xdr:nvCxnSpPr>
        <xdr:spPr>
          <a:xfrm>
            <a:off x="4807838" y="3627600"/>
            <a:ext cx="1076325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9525</xdr:colOff>
      <xdr:row>82</xdr:row>
      <xdr:rowOff>9525</xdr:rowOff>
    </xdr:from>
    <xdr:ext cx="314325" cy="314325"/>
    <xdr:grpSp>
      <xdr:nvGrpSpPr>
        <xdr:cNvPr id="68" name="Shape 2"/>
        <xdr:cNvGrpSpPr/>
      </xdr:nvGrpSpPr>
      <xdr:grpSpPr>
        <a:xfrm>
          <a:off x="9525" y="13544550"/>
          <a:ext cx="314325" cy="314325"/>
          <a:chOff x="5193600" y="3627600"/>
          <a:chExt cx="304800" cy="304800"/>
        </a:xfrm>
      </xdr:grpSpPr>
      <xdr:cxnSp macro="">
        <xdr:nvCxnSpPr>
          <xdr:cNvPr id="69" name="Shape 5"/>
          <xdr:cNvCxnSpPr/>
        </xdr:nvCxnSpPr>
        <xdr:spPr>
          <a:xfrm>
            <a:off x="5193600" y="3627600"/>
            <a:ext cx="304800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0</xdr:colOff>
      <xdr:row>82</xdr:row>
      <xdr:rowOff>9525</xdr:rowOff>
    </xdr:from>
    <xdr:ext cx="1076325" cy="314325"/>
    <xdr:grpSp>
      <xdr:nvGrpSpPr>
        <xdr:cNvPr id="70" name="Shape 2"/>
        <xdr:cNvGrpSpPr/>
      </xdr:nvGrpSpPr>
      <xdr:grpSpPr>
        <a:xfrm>
          <a:off x="0" y="13544550"/>
          <a:ext cx="1076325" cy="314325"/>
          <a:chOff x="4807838" y="3627600"/>
          <a:chExt cx="1076325" cy="304800"/>
        </a:xfrm>
      </xdr:grpSpPr>
      <xdr:cxnSp macro="">
        <xdr:nvCxnSpPr>
          <xdr:cNvPr id="71" name="Shape 6"/>
          <xdr:cNvCxnSpPr/>
        </xdr:nvCxnSpPr>
        <xdr:spPr>
          <a:xfrm>
            <a:off x="4807838" y="3627600"/>
            <a:ext cx="1076325" cy="30480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</xdr:colOff>
      <xdr:row>27</xdr:row>
      <xdr:rowOff>0</xdr:rowOff>
    </xdr:from>
    <xdr:ext cx="7315200" cy="1800225"/>
    <xdr:sp macro="" textlink="">
      <xdr:nvSpPr>
        <xdr:cNvPr id="7" name="Shape 7"/>
        <xdr:cNvSpPr txBox="1"/>
      </xdr:nvSpPr>
      <xdr:spPr>
        <a:xfrm>
          <a:off x="1693163" y="2879888"/>
          <a:ext cx="7305675" cy="1800225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spcFirstLastPara="1" wrap="square" lIns="27425" tIns="22850" rIns="0" bIns="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00" b="0" i="0" u="none" strike="noStrike">
              <a:solidFill>
                <a:srgbClr val="000000"/>
              </a:solidFill>
              <a:latin typeface="Arial"/>
              <a:ea typeface="Arial"/>
              <a:cs typeface="Arial"/>
              <a:sym typeface="Arial"/>
            </a:rPr>
            <a:t>Za svaki iznos potrebno je unijeti šifru glave, šifru izvora financiranja, šifru aktivnosti ili projekta, konto izdatka na četvrtoj razini ekonomske klasifikacije (iz skupina 51, 53 i 54), te upisati iznose u odgovarajuće godine.</a:t>
          </a:r>
          <a:endParaRPr sz="14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</xdr:txBody>
    </xdr:sp>
    <xdr:clientData fLocksWithSheet="0"/>
  </xdr:oneCellAnchor>
  <xdr:oneCellAnchor>
    <xdr:from>
      <xdr:col>0</xdr:col>
      <xdr:colOff>28575</xdr:colOff>
      <xdr:row>27</xdr:row>
      <xdr:rowOff>0</xdr:rowOff>
    </xdr:from>
    <xdr:ext cx="7315200" cy="1800225"/>
    <xdr:sp macro="" textlink="">
      <xdr:nvSpPr>
        <xdr:cNvPr id="8" name="Shape 8"/>
        <xdr:cNvSpPr txBox="1"/>
      </xdr:nvSpPr>
      <xdr:spPr>
        <a:xfrm>
          <a:off x="1693163" y="2879888"/>
          <a:ext cx="7305675" cy="1800225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spcFirstLastPara="1" wrap="square" lIns="27425" tIns="22850" rIns="0" bIns="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00" b="0" i="0" u="none" strike="noStrike">
              <a:solidFill>
                <a:srgbClr val="000000"/>
              </a:solidFill>
              <a:latin typeface="Arial"/>
              <a:ea typeface="Arial"/>
              <a:cs typeface="Arial"/>
              <a:sym typeface="Arial"/>
            </a:rPr>
            <a:t>Za svaki iznos potrebno je unijeti šifru glave, šifru izvora financiranja, šifru aktivnosti ili projekta, konto izdatka na četvrtoj razini ekonomske klasifikacije (iz skupina 51, 53 i 54), te upisati iznose u odgovarajuće godine.</a:t>
          </a:r>
          <a:endParaRPr sz="14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</xdr:txBody>
    </xdr:sp>
    <xdr:clientData fLocksWithSheet="0"/>
  </xdr:oneCellAnchor>
  <xdr:oneCellAnchor>
    <xdr:from>
      <xdr:col>0</xdr:col>
      <xdr:colOff>28575</xdr:colOff>
      <xdr:row>27</xdr:row>
      <xdr:rowOff>0</xdr:rowOff>
    </xdr:from>
    <xdr:ext cx="7315200" cy="1800225"/>
    <xdr:sp macro="" textlink="">
      <xdr:nvSpPr>
        <xdr:cNvPr id="9" name="Shape 9"/>
        <xdr:cNvSpPr txBox="1"/>
      </xdr:nvSpPr>
      <xdr:spPr>
        <a:xfrm>
          <a:off x="1693163" y="2879888"/>
          <a:ext cx="7305675" cy="1800225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spcFirstLastPara="1" wrap="square" lIns="27425" tIns="22850" rIns="0" bIns="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00" b="0" i="0" u="none" strike="noStrike">
              <a:solidFill>
                <a:srgbClr val="000000"/>
              </a:solidFill>
              <a:latin typeface="Arial"/>
              <a:ea typeface="Arial"/>
              <a:cs typeface="Arial"/>
              <a:sym typeface="Arial"/>
            </a:rPr>
            <a:t>Za svaki iznos potrebno je unijeti šifru glave, šifru izvora financiranja, šifru aktivnosti ili projekta, konto izdatka na četvrtoj razini ekonomske klasifikacije (iz skupina 51, 53 i 54), te upisati iznose u odgovarajuće godine.</a:t>
          </a:r>
          <a:endParaRPr sz="14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</xdr:txBody>
    </xdr:sp>
    <xdr:clientData fLocksWithSheet="0"/>
  </xdr:oneCellAnchor>
  <xdr:oneCellAnchor>
    <xdr:from>
      <xdr:col>0</xdr:col>
      <xdr:colOff>28575</xdr:colOff>
      <xdr:row>27</xdr:row>
      <xdr:rowOff>0</xdr:rowOff>
    </xdr:from>
    <xdr:ext cx="7315200" cy="1800225"/>
    <xdr:sp macro="" textlink="">
      <xdr:nvSpPr>
        <xdr:cNvPr id="10" name="Shape 10"/>
        <xdr:cNvSpPr txBox="1"/>
      </xdr:nvSpPr>
      <xdr:spPr>
        <a:xfrm>
          <a:off x="1693163" y="2879888"/>
          <a:ext cx="7305675" cy="1800225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spcFirstLastPara="1" wrap="square" lIns="27425" tIns="22850" rIns="0" bIns="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00" b="0" i="0" u="none" strike="noStrike">
              <a:solidFill>
                <a:srgbClr val="000000"/>
              </a:solidFill>
              <a:latin typeface="Arial"/>
              <a:ea typeface="Arial"/>
              <a:cs typeface="Arial"/>
              <a:sym typeface="Arial"/>
            </a:rPr>
            <a:t>Za svaki iznos potrebno je unijeti šifru glave, šifru izvora financiranja, šifru aktivnosti ili projekta, konto izdatka na četvrtoj razini ekonomske klasifikacije (iz skupina 51, 53 i 54), te upisati iznose u odgovarajuće godine.</a:t>
          </a:r>
          <a:endParaRPr sz="14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00" b="0" i="0" u="none" strike="noStrike">
              <a:solidFill>
                <a:srgbClr val="000000"/>
              </a:solidFill>
              <a:latin typeface="Arial"/>
              <a:ea typeface="Arial"/>
              <a:cs typeface="Arial"/>
              <a:sym typeface="Arial"/>
            </a:rPr>
            <a:t>Službeni dopis s popunjenom tablicom pošaljite poštom na adresu: Ministarstvo financija, Katančičeva 5, 10 000 Zagreb, Sektor za pripremu i izradu prijedloga proračuna države i na e-mail adresu vašeg savjetnika u Sektoru.</a:t>
          </a:r>
          <a:endParaRPr sz="14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0</xdr:col>
      <xdr:colOff>28575</xdr:colOff>
      <xdr:row>27</xdr:row>
      <xdr:rowOff>0</xdr:rowOff>
    </xdr:from>
    <xdr:ext cx="7315200" cy="1800225"/>
    <xdr:sp macro="" textlink="">
      <xdr:nvSpPr>
        <xdr:cNvPr id="11" name="Shape 11"/>
        <xdr:cNvSpPr txBox="1"/>
      </xdr:nvSpPr>
      <xdr:spPr>
        <a:xfrm>
          <a:off x="1693163" y="2879888"/>
          <a:ext cx="7305675" cy="1800225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spcFirstLastPara="1" wrap="square" lIns="27425" tIns="22850" rIns="0" bIns="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00" b="0" i="0" u="none" strike="noStrike">
              <a:solidFill>
                <a:srgbClr val="000000"/>
              </a:solidFill>
              <a:latin typeface="Arial"/>
              <a:ea typeface="Arial"/>
              <a:cs typeface="Arial"/>
              <a:sym typeface="Arial"/>
            </a:rPr>
            <a:t>Za svaki iznos potrebno je unijeti šifru glave, šifru izvora financiranja, šifru aktivnosti ili projekta, konto izdatka na četvrtoj razini ekonomske klasifikacije (iz skupina 51, 53 i 54), te upisati iznose u odgovarajuće godine.</a:t>
          </a:r>
          <a:endParaRPr sz="14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0</xdr:col>
      <xdr:colOff>28575</xdr:colOff>
      <xdr:row>27</xdr:row>
      <xdr:rowOff>0</xdr:rowOff>
    </xdr:from>
    <xdr:ext cx="7315200" cy="1800225"/>
    <xdr:sp macro="" textlink="">
      <xdr:nvSpPr>
        <xdr:cNvPr id="12" name="Shape 12"/>
        <xdr:cNvSpPr txBox="1"/>
      </xdr:nvSpPr>
      <xdr:spPr>
        <a:xfrm>
          <a:off x="1693163" y="2879888"/>
          <a:ext cx="7305675" cy="1800225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spcFirstLastPara="1" wrap="square" lIns="27425" tIns="22850" rIns="0" bIns="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00" b="0" i="0" u="none" strike="noStrike">
              <a:solidFill>
                <a:srgbClr val="000000"/>
              </a:solidFill>
              <a:latin typeface="Arial"/>
              <a:ea typeface="Arial"/>
              <a:cs typeface="Arial"/>
              <a:sym typeface="Arial"/>
            </a:rPr>
            <a:t>Za svaki iznos potrebno je unijeti šifru glave, šifru izvora financiranja, šifru aktivnosti ili projekta, konto izdatka na četvrtoj razini ekonomske klasifikacije (iz skupina 51, 53 i 54), te upisati iznose u odgovarajuće godine.</a:t>
          </a:r>
          <a:endParaRPr sz="14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00" b="0" i="0" u="none" strike="noStrike">
              <a:solidFill>
                <a:srgbClr val="000000"/>
              </a:solidFill>
              <a:latin typeface="Arial"/>
              <a:ea typeface="Arial"/>
              <a:cs typeface="Arial"/>
              <a:sym typeface="Arial"/>
            </a:rPr>
            <a:t>Službeni dopis s popunjenom tablicom pošaljite poštom na adresu: Ministarstvo financija, Katančičeva 5, 10 000 Zagreb, Sektor za pripremu i izradu prijedloga proračuna države i na e-mail adresu vašeg savjetnika u Sektoru.</a:t>
          </a:r>
          <a:endParaRPr sz="14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000" b="0" i="0" u="none" strike="noStrike">
            <a:solidFill>
              <a:srgbClr val="000000"/>
            </a:solidFill>
            <a:latin typeface="Arial"/>
            <a:ea typeface="Arial"/>
            <a:cs typeface="Arial"/>
            <a:sym typeface="Arial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esk/FINANCIJ.%20PLAN/2022/NOVI%20PLAN%20po%20uputama%20MZO%20MEFZG%20Prijedlog%20finacijskog%20plana%202022-2024%20(004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Desk/FINANCIJ.%20PLAN/2022/MZO%20ispravljeno%20za%20projekte%20ua%20plan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pći dio"/>
      <sheetName val="Plan prihoda za unos u SAP"/>
      <sheetName val="Plan rashoda za unos u SAP"/>
      <sheetName val="ANALITIKA EU PROJEKATA"/>
      <sheetName val="PLAN PRIHODA I PRIMITAKA "/>
      <sheetName val="PLAN RASHODA I IZDATAKA"/>
      <sheetName val="PLAN IZDATAKA"/>
      <sheetName val="AKT"/>
      <sheetName val="List1"/>
      <sheetName val="p4"/>
      <sheetName val="prihodi"/>
    </sheetNames>
    <sheetDataSet>
      <sheetData sheetId="0">
        <row r="3">
          <cell r="C3" t="str">
            <v>1888SVEUČILIŠTE U ZAGREBU - MEDICINSKI FAKULTET</v>
          </cell>
        </row>
        <row r="6">
          <cell r="L6" t="str">
            <v>odaberite -</v>
          </cell>
          <cell r="M6"/>
          <cell r="N6"/>
          <cell r="O6"/>
          <cell r="P6"/>
          <cell r="Q6"/>
          <cell r="R6"/>
          <cell r="S6"/>
          <cell r="T6" t="str">
            <v>-</v>
          </cell>
          <cell r="U6" t="str">
            <v>-</v>
          </cell>
        </row>
        <row r="7">
          <cell r="L7" t="str">
            <v xml:space="preserve">1222MINISTARSTVO ZNANOSTI I OBRAZOVANJA </v>
          </cell>
          <cell r="M7">
            <v>1222</v>
          </cell>
          <cell r="N7" t="str">
            <v xml:space="preserve">MINISTARSTVO ZNANOSTI I OBRAZOVANJA </v>
          </cell>
          <cell r="O7"/>
          <cell r="P7" t="str">
            <v>DONJE SVETICE 38</v>
          </cell>
          <cell r="Q7" t="str">
            <v>10000 ZAGREB</v>
          </cell>
          <cell r="R7">
            <v>3271030</v>
          </cell>
          <cell r="S7" t="str">
            <v>49508397045</v>
          </cell>
          <cell r="T7" t="str">
            <v>MZO</v>
          </cell>
          <cell r="U7" t="str">
            <v>08005</v>
          </cell>
        </row>
        <row r="8">
          <cell r="L8" t="str">
            <v>2063FAKULTET ORGANIZACIJE I INFORMATIKE U VARAŽDINU</v>
          </cell>
          <cell r="M8">
            <v>2063</v>
          </cell>
          <cell r="N8" t="str">
            <v>FAKULTET ORGANIZACIJE I INFORMATIKE U VARAŽDINU</v>
          </cell>
          <cell r="O8" t="str">
            <v>SVEUČILIŠTE U ZAGREBU</v>
          </cell>
          <cell r="P8" t="str">
            <v>PAVLINSKA 2</v>
          </cell>
          <cell r="Q8" t="str">
            <v>42000 VARAŽDIN</v>
          </cell>
          <cell r="R8">
            <v>3006107</v>
          </cell>
          <cell r="S8" t="str">
            <v>02024882310</v>
          </cell>
          <cell r="T8" t="str">
            <v>Sveučilišta i veleučilišta u Republici Hrvatskoj</v>
          </cell>
          <cell r="U8" t="str">
            <v>08006</v>
          </cell>
        </row>
        <row r="9">
          <cell r="L9" t="str">
            <v>43749MEĐIMURSKO VELEUČILIŠTE U ČAKOVCU</v>
          </cell>
          <cell r="M9">
            <v>43749</v>
          </cell>
          <cell r="N9" t="str">
            <v>MEĐIMURSKO VELEUČILIŠTE U ČAKOVCU</v>
          </cell>
          <cell r="O9" t="str">
            <v>MINISTARSTVO ZNANOSTI I OBRAZOVANJA</v>
          </cell>
          <cell r="P9" t="str">
            <v>BANA JOSIPA JELAČIĆA 22/A</v>
          </cell>
          <cell r="Q9" t="str">
            <v>40000 ČAKOVEC</v>
          </cell>
          <cell r="R9">
            <v>2382512</v>
          </cell>
          <cell r="S9" t="str">
            <v>31444990605</v>
          </cell>
          <cell r="T9" t="str">
            <v>Sveučilišta i veleučilišta u Republici Hrvatskoj</v>
          </cell>
          <cell r="U9" t="str">
            <v>08006</v>
          </cell>
        </row>
        <row r="10">
          <cell r="L10" t="str">
            <v>2452SVEUČILIŠTE J. J. STROSSMAYERA U OSIJEKU</v>
          </cell>
          <cell r="M10">
            <v>2452</v>
          </cell>
          <cell r="N10" t="str">
            <v>SVEUČILIŠTE J. J. STROSSMAYERA U OSIJEKU</v>
          </cell>
          <cell r="O10" t="str">
            <v>SVEUČILIŠTE J.J STROSSMAYERA U OSIJEKU</v>
          </cell>
          <cell r="P10" t="str">
            <v>TRG SV. TROJSTVA 3</v>
          </cell>
          <cell r="Q10" t="str">
            <v>31000 OSIJEK</v>
          </cell>
          <cell r="R10">
            <v>3049779</v>
          </cell>
          <cell r="S10" t="str">
            <v>78808975734</v>
          </cell>
          <cell r="T10" t="str">
            <v>Sveučilišta i veleučilišta u Republici Hrvatskoj</v>
          </cell>
          <cell r="U10" t="str">
            <v>08006</v>
          </cell>
        </row>
        <row r="11">
          <cell r="L11" t="str">
            <v>50215SVEUČILIŠTE J. J. STROSSMAYERA U OSIJEKU - AKADEMIJA ZA UMJETNOST I KULTURU U OSIJEKU</v>
          </cell>
          <cell r="M11">
            <v>50215</v>
          </cell>
          <cell r="N11" t="str">
            <v>SVEUČILIŠTE J. J. STROSSMAYERA U OSIJEKU - AKADEMIJA ZA UMJETNOST I KULTURU U OSIJEKU</v>
          </cell>
          <cell r="O11" t="str">
            <v>SVEUČILIŠTE J.J STROSSMAYERA U OSIJEKU</v>
          </cell>
          <cell r="P11" t="str">
            <v>KRALJA PETRA SVAČIĆA 1/F</v>
          </cell>
          <cell r="Q11" t="str">
            <v>31000 OSIJEK</v>
          </cell>
          <cell r="R11">
            <v>4907361</v>
          </cell>
          <cell r="S11" t="str">
            <v>60277424315</v>
          </cell>
          <cell r="T11" t="str">
            <v>Sveučilišta i veleučilišta u Republici Hrvatskoj</v>
          </cell>
          <cell r="U11" t="str">
            <v>08006</v>
          </cell>
        </row>
        <row r="12">
          <cell r="L12" t="str">
            <v>2284SVEUČILIŠTE J. J. STROSSMAYERA U OSIJEKU - EKONOMSKI FAKULTET</v>
          </cell>
          <cell r="M12">
            <v>2284</v>
          </cell>
          <cell r="N12" t="str">
            <v>SVEUČILIŠTE J. J. STROSSMAYERA U OSIJEKU - EKONOMSKI FAKULTET</v>
          </cell>
          <cell r="O12" t="str">
            <v>SVEUČILIŠTE J.J STROSSMAYERA U OSIJEKU</v>
          </cell>
          <cell r="P12" t="str">
            <v>TRG LJUDEVITA GAJA 7</v>
          </cell>
          <cell r="Q12" t="str">
            <v>31000 OSIJEK</v>
          </cell>
          <cell r="R12">
            <v>3021645</v>
          </cell>
          <cell r="S12" t="str">
            <v>52778515544</v>
          </cell>
          <cell r="T12" t="str">
            <v>Sveučilišta i veleučilišta u Republici Hrvatskoj</v>
          </cell>
          <cell r="U12" t="str">
            <v>08006</v>
          </cell>
        </row>
        <row r="13">
          <cell r="L13" t="str">
            <v>2268SVEUČILIŠTE J. J. STROSSMAYERA U OSIJEKU - FAKULTET AGROBIOTEHNIČKIH ZNANOSTI OSIJEK</v>
          </cell>
          <cell r="M13">
            <v>2268</v>
          </cell>
          <cell r="N13" t="str">
            <v>SVEUČILIŠTE J. J. STROSSMAYERA U OSIJEKU - FAKULTET AGROBIOTEHNIČKIH ZNANOSTI OSIJEK</v>
          </cell>
          <cell r="O13" t="str">
            <v>SVEUČILIŠTE J.J STROSSMAYERA U OSIJEKU</v>
          </cell>
          <cell r="P13" t="str">
            <v>VLADIMIRA PRELOGA 1</v>
          </cell>
          <cell r="Q13" t="str">
            <v>31000 OSIJEK</v>
          </cell>
          <cell r="R13">
            <v>3058212</v>
          </cell>
          <cell r="S13" t="str">
            <v>98816779821</v>
          </cell>
          <cell r="T13" t="str">
            <v>Sveučilišta i veleučilišta u Republici Hrvatskoj</v>
          </cell>
          <cell r="U13" t="str">
            <v>08006</v>
          </cell>
        </row>
        <row r="14">
          <cell r="L14" t="str">
            <v>2313SVEUČILIŠTE J. J. STROSSMAYERA U OSIJEKU - FAKULTET ELEKTROTEHNIKE, RAČUNARSTVA I INFORMACIJSKIH TEHNOLOGIJA OSIJEK</v>
          </cell>
          <cell r="M14">
            <v>2313</v>
          </cell>
          <cell r="N14" t="str">
            <v>SVEUČILIŠTE J. J. STROSSMAYERA U OSIJEKU - FAKULTET ELEKTROTEHNIKE, RAČUNARSTVA I INFORMACIJSKIH TEHNOLOGIJA OSIJEK</v>
          </cell>
          <cell r="O14" t="str">
            <v>SVEUČILIŠTE J.J STROSSMAYERA U OSIJEKU</v>
          </cell>
          <cell r="P14" t="str">
            <v>KNEZA TRPIMIRA 2 B</v>
          </cell>
          <cell r="Q14" t="str">
            <v>31000 OSIJEK</v>
          </cell>
          <cell r="R14">
            <v>3392589</v>
          </cell>
          <cell r="S14" t="str">
            <v>95494259952</v>
          </cell>
          <cell r="T14" t="str">
            <v>Sveučilišta i veleučilišta u Republici Hrvatskoj</v>
          </cell>
          <cell r="U14" t="str">
            <v>08006</v>
          </cell>
        </row>
        <row r="15">
          <cell r="L15" t="str">
            <v>49796SVEUČILIŠTE J. J. STROSSMAYERA U OSIJEKU - FAKULTET ZA DENTALNU MEDICINU I ZDRAVSTVO</v>
          </cell>
          <cell r="M15">
            <v>49796</v>
          </cell>
          <cell r="N15" t="str">
            <v>SVEUČILIŠTE J. J. STROSSMAYERA U OSIJEKU - FAKULTET ZA DENTALNU MEDICINU I ZDRAVSTVO</v>
          </cell>
          <cell r="O15" t="str">
            <v>SVEUČILIŠTE J.J STROSSMAYERA U OSIJEKU</v>
          </cell>
          <cell r="P15" t="str">
            <v>CRKVENA 21</v>
          </cell>
          <cell r="Q15" t="str">
            <v>31000 OSIJEK</v>
          </cell>
          <cell r="R15">
            <v>4748875</v>
          </cell>
          <cell r="S15" t="str">
            <v>83830458507</v>
          </cell>
          <cell r="T15" t="str">
            <v>Sveučilišta i veleučilišta u Republici Hrvatskoj</v>
          </cell>
          <cell r="U15" t="str">
            <v>08006</v>
          </cell>
        </row>
        <row r="16">
          <cell r="L16" t="str">
            <v>22486SVEUČILIŠTE J. J. STROSSMAYERA U OSIJEKU - FAKULTET ZA ODGOJNE I OBRAZOVNE ZNANOSTI</v>
          </cell>
          <cell r="M16">
            <v>22486</v>
          </cell>
          <cell r="N16" t="str">
            <v>SVEUČILIŠTE J. J. STROSSMAYERA U OSIJEKU - FAKULTET ZA ODGOJNE I OBRAZOVNE ZNANOSTI</v>
          </cell>
          <cell r="O16" t="str">
            <v>SVEUČILIŠTE J.J STROSSMAYERA U OSIJEKU</v>
          </cell>
          <cell r="P16" t="str">
            <v>CARA HADRIJANA 10</v>
          </cell>
          <cell r="Q16" t="str">
            <v>31000 OSIJEK</v>
          </cell>
          <cell r="R16">
            <v>1404881</v>
          </cell>
          <cell r="S16" t="str">
            <v>28082679513</v>
          </cell>
          <cell r="T16" t="str">
            <v>Sveučilišta i veleučilišta u Republici Hrvatskoj</v>
          </cell>
          <cell r="U16" t="str">
            <v>08006</v>
          </cell>
        </row>
        <row r="17">
          <cell r="L17" t="str">
            <v>2321SVEUČILIŠTE J. J. STROSSMAYERA U OSIJEKU - FILOZOFSKI FAKULTET</v>
          </cell>
          <cell r="M17">
            <v>2321</v>
          </cell>
          <cell r="N17" t="str">
            <v>SVEUČILIŠTE J. J. STROSSMAYERA U OSIJEKU - FILOZOFSKI FAKULTET</v>
          </cell>
          <cell r="O17" t="str">
            <v>SVEUČILIŠTE J.J STROSSMAYERA U OSIJEKU</v>
          </cell>
          <cell r="P17" t="str">
            <v>LORENZA JAGERA 9</v>
          </cell>
          <cell r="Q17" t="str">
            <v>31000 OSIJEK</v>
          </cell>
          <cell r="R17">
            <v>3014185</v>
          </cell>
          <cell r="S17" t="str">
            <v>58868871646</v>
          </cell>
          <cell r="T17" t="str">
            <v>Sveučilišta i veleučilišta u Republici Hrvatskoj</v>
          </cell>
          <cell r="U17" t="str">
            <v>08006</v>
          </cell>
        </row>
        <row r="18">
          <cell r="L18" t="str">
            <v>2508SVEUČILIŠTE J. J. STROSSMAYERA U OSIJEKU - GRADSKA I SVEUČILIŠNA KNJIŽNICA</v>
          </cell>
          <cell r="M18">
            <v>2508</v>
          </cell>
          <cell r="N18" t="str">
            <v>SVEUČILIŠTE J. J. STROSSMAYERA U OSIJEKU - GRADSKA I SVEUČILIŠNA KNJIŽNICA</v>
          </cell>
          <cell r="O18" t="str">
            <v>SVEUČILIŠTE J.J STROSSMAYERA U OSIJEKU</v>
          </cell>
          <cell r="P18" t="str">
            <v>EUROPSKA AVENIJA 24</v>
          </cell>
          <cell r="Q18" t="str">
            <v>31000 OSIJEK</v>
          </cell>
          <cell r="R18">
            <v>3014347</v>
          </cell>
          <cell r="S18" t="str">
            <v>46627536930</v>
          </cell>
          <cell r="T18" t="str">
            <v>Sveučilišta i veleučilišta u Republici Hrvatskoj</v>
          </cell>
          <cell r="U18" t="str">
            <v>08006</v>
          </cell>
        </row>
        <row r="19">
          <cell r="L19" t="str">
            <v>2250SVEUČILIŠTE J. J. STROSSMAYERA U OSIJEKU - GRAĐEVINSKI I ARHITEKTONSKI FAKULTET OSIJEK</v>
          </cell>
          <cell r="M19">
            <v>2250</v>
          </cell>
          <cell r="N19" t="str">
            <v>SVEUČILIŠTE J. J. STROSSMAYERA U OSIJEKU - GRAĐEVINSKI I ARHITEKTONSKI FAKULTET OSIJEK</v>
          </cell>
          <cell r="O19" t="str">
            <v>SVEUČILIŠTE J.J STROSSMAYERA U OSIJEKU</v>
          </cell>
          <cell r="P19" t="str">
            <v>ULICA VLADIMIRA PRELOGA 3</v>
          </cell>
          <cell r="Q19" t="str">
            <v>31000 OSIJEK</v>
          </cell>
          <cell r="R19">
            <v>3397335</v>
          </cell>
          <cell r="S19" t="str">
            <v>04150850819</v>
          </cell>
          <cell r="T19" t="str">
            <v>Sveučilišta i veleučilišta u Republici Hrvatskoj</v>
          </cell>
          <cell r="U19" t="str">
            <v>08006</v>
          </cell>
        </row>
        <row r="20">
          <cell r="L20" t="str">
            <v>38479SVEUČILIŠTE J. J. STROSSMAYERA U OSIJEKU - KATOLIČKI BOGOSLOVNI FAKULTET U ĐAKOVU</v>
          </cell>
          <cell r="M20">
            <v>38479</v>
          </cell>
          <cell r="N20" t="str">
            <v>SVEUČILIŠTE J. J. STROSSMAYERA U OSIJEKU - KATOLIČKI BOGOSLOVNI FAKULTET U ĐAKOVU</v>
          </cell>
          <cell r="O20" t="str">
            <v>SVEUČILIŠTE J.J STROSSMAYERA U OSIJEKU</v>
          </cell>
          <cell r="P20" t="str">
            <v xml:space="preserve">PETRA PRERADOVIĆA 17 </v>
          </cell>
          <cell r="Q20" t="str">
            <v>31400 ĐAKOVO</v>
          </cell>
          <cell r="R20">
            <v>1986490</v>
          </cell>
          <cell r="S20" t="str">
            <v>05384220316</v>
          </cell>
          <cell r="T20" t="str">
            <v>Sveučilišta i veleučilišta u Republici Hrvatskoj</v>
          </cell>
          <cell r="U20" t="str">
            <v>08006</v>
          </cell>
        </row>
        <row r="21">
          <cell r="L21" t="str">
            <v>51450SVEUČILIŠTE J. J. STROSSMAYERA U OSIJEKU - KINEZIOLOŠKI FAKULTET OSIJEK</v>
          </cell>
          <cell r="M21">
            <v>51450</v>
          </cell>
          <cell r="N21" t="str">
            <v>SVEUČILIŠTE J. J. STROSSMAYERA U OSIJEKU - KINEZIOLOŠKI FAKULTET OSIJEK</v>
          </cell>
          <cell r="O21" t="str">
            <v>SVEUČILIŠTE J.J STROSSMAYERA U OSIJEKU</v>
          </cell>
          <cell r="P21" t="str">
            <v>DRINSKA 16/A</v>
          </cell>
          <cell r="Q21" t="str">
            <v>31000 OSIJEK</v>
          </cell>
          <cell r="R21">
            <v>5302099</v>
          </cell>
          <cell r="S21" t="str">
            <v>70788591483</v>
          </cell>
          <cell r="T21" t="str">
            <v>Sveučilišta i veleučilišta u Republici Hrvatskoj</v>
          </cell>
          <cell r="U21" t="str">
            <v>08006</v>
          </cell>
        </row>
        <row r="22">
          <cell r="L22" t="str">
            <v>22849SVEUČILIŠTE J. J. STROSSMAYERA U OSIJEKU - MEDICINSKI FAKULTET</v>
          </cell>
          <cell r="M22">
            <v>22849</v>
          </cell>
          <cell r="N22" t="str">
            <v>SVEUČILIŠTE J. J. STROSSMAYERA U OSIJEKU - MEDICINSKI FAKULTET</v>
          </cell>
          <cell r="O22" t="str">
            <v>SVEUČILIŠTE J.J STROSSMAYERA U OSIJEKU</v>
          </cell>
          <cell r="P22" t="str">
            <v>HUTTLEROVA 4</v>
          </cell>
          <cell r="Q22" t="str">
            <v>31000 OSIJEK</v>
          </cell>
          <cell r="R22">
            <v>1388142</v>
          </cell>
          <cell r="S22" t="str">
            <v>16214165873</v>
          </cell>
          <cell r="T22" t="str">
            <v>Sveučilišta i veleučilišta u Republici Hrvatskoj</v>
          </cell>
          <cell r="U22" t="str">
            <v>08006</v>
          </cell>
        </row>
        <row r="23">
          <cell r="L23" t="str">
            <v>2292SVEUČILIŠTE J. J. STROSSMAYERA U OSIJEKU - PRAVNI FAKULTET</v>
          </cell>
          <cell r="M23">
            <v>2292</v>
          </cell>
          <cell r="N23" t="str">
            <v>SVEUČILIŠTE J. J. STROSSMAYERA U OSIJEKU - PRAVNI FAKULTET</v>
          </cell>
          <cell r="O23" t="str">
            <v>SVEUČILIŠTE J.J STROSSMAYERA U OSIJEKU</v>
          </cell>
          <cell r="P23" t="str">
            <v>STJEPANA RADIĆA 13</v>
          </cell>
          <cell r="Q23" t="str">
            <v>31000 OSIJEK</v>
          </cell>
          <cell r="R23">
            <v>3014193</v>
          </cell>
          <cell r="S23" t="str">
            <v>26416570803</v>
          </cell>
          <cell r="T23" t="str">
            <v>Sveučilišta i veleučilišta u Republici Hrvatskoj</v>
          </cell>
          <cell r="U23" t="str">
            <v>08006</v>
          </cell>
        </row>
        <row r="24">
          <cell r="L24" t="str">
            <v>2276SVEUČILIŠTE J. J. STROSSMAYERA U OSIJEKU - PREHRAMBENO TEHNOLOŠKI FAKULTET</v>
          </cell>
          <cell r="M24">
            <v>2276</v>
          </cell>
          <cell r="N24" t="str">
            <v>SVEUČILIŠTE J. J. STROSSMAYERA U OSIJEKU - PREHRAMBENO TEHNOLOŠKI FAKULTET</v>
          </cell>
          <cell r="O24" t="str">
            <v>SVEUČILIŠTE J.J STROSSMAYERA U OSIJEKU</v>
          </cell>
          <cell r="P24" t="str">
            <v>FRANJE KUHAČA 18</v>
          </cell>
          <cell r="Q24" t="str">
            <v>31000 OSIJEK</v>
          </cell>
          <cell r="R24">
            <v>3058204</v>
          </cell>
          <cell r="S24" t="str">
            <v>96371000697</v>
          </cell>
          <cell r="T24" t="str">
            <v>Sveučilišta i veleučilišta u Republici Hrvatskoj</v>
          </cell>
          <cell r="U24" t="str">
            <v>08006</v>
          </cell>
        </row>
        <row r="25">
          <cell r="L25" t="str">
            <v>42024SVEUČILIŠTE JURJA DOBRILE U PULI</v>
          </cell>
          <cell r="M25">
            <v>42024</v>
          </cell>
          <cell r="N25" t="str">
            <v>SVEUČILIŠTE JURJA DOBRILE U PULI</v>
          </cell>
          <cell r="O25" t="str">
            <v>SVEUČILIŠTE U PULI</v>
          </cell>
          <cell r="P25" t="str">
            <v>ZAGREBAČKA 30</v>
          </cell>
          <cell r="Q25" t="str">
            <v>52100 PULA</v>
          </cell>
          <cell r="R25">
            <v>2161753</v>
          </cell>
          <cell r="S25" t="str">
            <v>61738073226</v>
          </cell>
          <cell r="T25" t="str">
            <v>Sveučilišta i veleučilišta u Republici Hrvatskoj</v>
          </cell>
          <cell r="U25" t="str">
            <v>08006</v>
          </cell>
        </row>
        <row r="26">
          <cell r="L26" t="str">
            <v>48267SVEUČILIŠTE SJEVER</v>
          </cell>
          <cell r="M26">
            <v>48267</v>
          </cell>
          <cell r="N26" t="str">
            <v>SVEUČILIŠTE SJEVER</v>
          </cell>
          <cell r="O26" t="str">
            <v>SVEUČILIŠTE SJEVER</v>
          </cell>
          <cell r="P26" t="str">
            <v>TRG DR. ŽARKA DOLINARA 1</v>
          </cell>
          <cell r="Q26" t="str">
            <v>48000 KOPRIVNICA</v>
          </cell>
          <cell r="R26">
            <v>2752298</v>
          </cell>
          <cell r="S26" t="str">
            <v>59624928052</v>
          </cell>
          <cell r="T26" t="str">
            <v>Sveučilišta i veleučilišta u Republici Hrvatskoj</v>
          </cell>
          <cell r="U26" t="str">
            <v>08006</v>
          </cell>
        </row>
        <row r="27">
          <cell r="L27" t="str">
            <v>24141SVEUČILIŠTE U DUBROVNIKU</v>
          </cell>
          <cell r="M27">
            <v>24141</v>
          </cell>
          <cell r="N27" t="str">
            <v>SVEUČILIŠTE U DUBROVNIKU</v>
          </cell>
          <cell r="O27" t="str">
            <v>SVEUČILIŠTE U DUBROVNIKU</v>
          </cell>
          <cell r="P27" t="str">
            <v>BRANITELJA DUBROVNIKA 29</v>
          </cell>
          <cell r="Q27" t="str">
            <v>20000 DUBROVNIK</v>
          </cell>
          <cell r="R27">
            <v>1787578</v>
          </cell>
          <cell r="S27" t="str">
            <v>01338491514</v>
          </cell>
          <cell r="T27" t="str">
            <v>Sveučilišta i veleučilišta u Republici Hrvatskoj</v>
          </cell>
          <cell r="U27" t="str">
            <v>08006</v>
          </cell>
        </row>
        <row r="28">
          <cell r="L28" t="str">
            <v>2444SVEUČILIŠTE U RIJECI</v>
          </cell>
          <cell r="M28">
            <v>2444</v>
          </cell>
          <cell r="N28" t="str">
            <v>SVEUČILIŠTE U RIJECI</v>
          </cell>
          <cell r="O28" t="str">
            <v>SVEUČILIŠTE U RIJECI</v>
          </cell>
          <cell r="P28" t="str">
            <v>TRG BRAĆE MAŽURANIĆA 10</v>
          </cell>
          <cell r="Q28" t="str">
            <v>51000 RIJEKA</v>
          </cell>
          <cell r="R28">
            <v>3337413</v>
          </cell>
          <cell r="S28" t="str">
            <v>64218323816</v>
          </cell>
          <cell r="T28" t="str">
            <v>Sveučilišta i veleučilišta u Republici Hrvatskoj</v>
          </cell>
          <cell r="U28" t="str">
            <v>08006</v>
          </cell>
        </row>
        <row r="29">
          <cell r="L29" t="str">
            <v>38454SVEUČILIŠTE U RIJECI - AKADEMIJA PRIMJENJENIH UMJETNOSTI</v>
          </cell>
          <cell r="M29">
            <v>38454</v>
          </cell>
          <cell r="N29" t="str">
            <v>SVEUČILIŠTE U RIJECI - AKADEMIJA PRIMJENJENIH UMJETNOSTI</v>
          </cell>
          <cell r="O29" t="str">
            <v>SVEUČILIŠTE U RIJECI</v>
          </cell>
          <cell r="P29" t="str">
            <v>SLAVKA KRAUTZEKA 83</v>
          </cell>
          <cell r="Q29" t="str">
            <v>51000 RIJEKA</v>
          </cell>
          <cell r="R29">
            <v>1954253</v>
          </cell>
          <cell r="S29" t="str">
            <v>55704161999</v>
          </cell>
          <cell r="T29" t="str">
            <v>Sveučilišta i veleučilišta u Republici Hrvatskoj</v>
          </cell>
          <cell r="U29" t="str">
            <v>08006</v>
          </cell>
        </row>
        <row r="30">
          <cell r="L30" t="str">
            <v>2186SVEUČILIŠTE U RIJECI - EKONOMSKI FAKULTET</v>
          </cell>
          <cell r="M30">
            <v>2186</v>
          </cell>
          <cell r="N30" t="str">
            <v>SVEUČILIŠTE U RIJECI - EKONOMSKI FAKULTET</v>
          </cell>
          <cell r="O30" t="str">
            <v>SVEUČILIŠTE U RIJECI</v>
          </cell>
          <cell r="P30" t="str">
            <v>IVANA FILIPOVIĆA 4</v>
          </cell>
          <cell r="Q30" t="str">
            <v>51000 RIJEKA</v>
          </cell>
          <cell r="R30">
            <v>3328627</v>
          </cell>
          <cell r="S30" t="str">
            <v>26093119930</v>
          </cell>
          <cell r="T30" t="str">
            <v>Sveučilišta i veleučilišta u Republici Hrvatskoj</v>
          </cell>
          <cell r="U30" t="str">
            <v>08006</v>
          </cell>
        </row>
        <row r="31">
          <cell r="L31" t="str">
            <v>2194SVEUČILIŠTE U RIJECI - FAKULTET ZA MENADŽMENT U TURIZMU I UGOSTITELJSTVU</v>
          </cell>
          <cell r="M31">
            <v>2194</v>
          </cell>
          <cell r="N31" t="str">
            <v>SVEUČILIŠTE U RIJECI - FAKULTET ZA MENADŽMENT U TURIZMU I UGOSTITELJSTVU</v>
          </cell>
          <cell r="O31" t="str">
            <v>SVEUČILIŠTE U RIJECI</v>
          </cell>
          <cell r="P31" t="str">
            <v>IKA PRIMORSKA 42</v>
          </cell>
          <cell r="Q31" t="str">
            <v>51410 OPATIJA</v>
          </cell>
          <cell r="R31">
            <v>3091732</v>
          </cell>
          <cell r="S31" t="str">
            <v>85799845149</v>
          </cell>
          <cell r="T31" t="str">
            <v>Sveučilišta i veleučilišta u Republici Hrvatskoj</v>
          </cell>
          <cell r="U31" t="str">
            <v>08006</v>
          </cell>
        </row>
        <row r="32">
          <cell r="L32" t="str">
            <v>48023SVEUČILIŠTE U RIJECI - FAKULTET ZDRAVSTVENIH STUDIJA U RIJECI</v>
          </cell>
          <cell r="M32">
            <v>48023</v>
          </cell>
          <cell r="N32" t="str">
            <v>SVEUČILIŠTE U RIJECI - FAKULTET ZDRAVSTVENIH STUDIJA U RIJECI</v>
          </cell>
          <cell r="O32" t="str">
            <v>SVEUČILIŠTE U RIJECI</v>
          </cell>
          <cell r="P32" t="str">
            <v>VIKTORA CARA EMINA 5</v>
          </cell>
          <cell r="Q32" t="str">
            <v>51000 RIJEKA</v>
          </cell>
          <cell r="R32" t="str">
            <v>04052510</v>
          </cell>
          <cell r="S32" t="str">
            <v>19213484918</v>
          </cell>
          <cell r="T32" t="str">
            <v>Sveučilišta i veleučilišta u Republici Hrvatskoj</v>
          </cell>
          <cell r="U32" t="str">
            <v>08006</v>
          </cell>
        </row>
        <row r="33">
          <cell r="L33" t="str">
            <v>22857SVEUČILIŠTE U RIJECI - FILOZOFSKI FAKULTET</v>
          </cell>
          <cell r="M33">
            <v>22857</v>
          </cell>
          <cell r="N33" t="str">
            <v>SVEUČILIŠTE U RIJECI - FILOZOFSKI FAKULTET</v>
          </cell>
          <cell r="O33" t="str">
            <v>SVEUČILIŠTE U RIJECI</v>
          </cell>
          <cell r="P33" t="str">
            <v>SVEUČILIŠNA AVENIJA 4</v>
          </cell>
          <cell r="Q33" t="str">
            <v>51000 RIJEKA</v>
          </cell>
          <cell r="R33">
            <v>3368491</v>
          </cell>
          <cell r="S33" t="str">
            <v>70505505759</v>
          </cell>
          <cell r="T33" t="str">
            <v>Sveučilišta i veleučilišta u Republici Hrvatskoj</v>
          </cell>
          <cell r="U33" t="str">
            <v>08006</v>
          </cell>
        </row>
        <row r="34">
          <cell r="L34" t="str">
            <v>2160SVEUČILIŠTE U RIJECI - GRAĐEVINSKI FAKULTET</v>
          </cell>
          <cell r="M34">
            <v>2160</v>
          </cell>
          <cell r="N34" t="str">
            <v>SVEUČILIŠTE U RIJECI - GRAĐEVINSKI FAKULTET</v>
          </cell>
          <cell r="O34" t="str">
            <v>SVEUČILIŠTE U RIJECI</v>
          </cell>
          <cell r="P34" t="str">
            <v>RADMILE MATEJČIĆ 3</v>
          </cell>
          <cell r="Q34" t="str">
            <v>51000 RIJEKA</v>
          </cell>
          <cell r="R34">
            <v>3395855</v>
          </cell>
          <cell r="S34" t="str">
            <v>92037849504</v>
          </cell>
          <cell r="T34" t="str">
            <v>Sveučilišta i veleučilišta u Republici Hrvatskoj</v>
          </cell>
          <cell r="U34" t="str">
            <v>08006</v>
          </cell>
        </row>
        <row r="35">
          <cell r="L35" t="str">
            <v>2225SVEUČILIŠTE U RIJECI - MEDICINSKI FAKULTET</v>
          </cell>
          <cell r="M35">
            <v>2225</v>
          </cell>
          <cell r="N35" t="str">
            <v>SVEUČILIŠTE U RIJECI - MEDICINSKI FAKULTET</v>
          </cell>
          <cell r="O35" t="str">
            <v>SVEUČILIŠTE U RIJECI</v>
          </cell>
          <cell r="P35" t="str">
            <v>BRAĆE BRANCHETTA 20</v>
          </cell>
          <cell r="Q35" t="str">
            <v>51000 RIJEKA</v>
          </cell>
          <cell r="R35">
            <v>3328554</v>
          </cell>
          <cell r="S35" t="str">
            <v>98164324541</v>
          </cell>
          <cell r="T35" t="str">
            <v>Sveučilišta i veleučilišta u Republici Hrvatskoj</v>
          </cell>
          <cell r="U35" t="str">
            <v>08006</v>
          </cell>
        </row>
        <row r="36">
          <cell r="L36" t="str">
            <v>22568SVEUČILIŠTE U RIJECI - POMORSKI FAKULTET</v>
          </cell>
          <cell r="M36">
            <v>22568</v>
          </cell>
          <cell r="N36" t="str">
            <v>SVEUČILIŠTE U RIJECI - POMORSKI FAKULTET</v>
          </cell>
          <cell r="O36" t="str">
            <v>SVEUČILIŠTE U RIJECI</v>
          </cell>
          <cell r="P36" t="str">
            <v>STUDENTSKA 2</v>
          </cell>
          <cell r="Q36" t="str">
            <v>51000 RIJEKA</v>
          </cell>
          <cell r="R36">
            <v>1580485</v>
          </cell>
          <cell r="S36" t="str">
            <v>76722145702</v>
          </cell>
          <cell r="T36" t="str">
            <v>Sveučilišta i veleučilišta u Republici Hrvatskoj</v>
          </cell>
          <cell r="U36" t="str">
            <v>08006</v>
          </cell>
        </row>
        <row r="37">
          <cell r="L37" t="str">
            <v>2217SVEUČILIŠTE U RIJECI - PRAVNI FAKULTET</v>
          </cell>
          <cell r="M37">
            <v>2217</v>
          </cell>
          <cell r="N37" t="str">
            <v>SVEUČILIŠTE U RIJECI - PRAVNI FAKULTET</v>
          </cell>
          <cell r="O37" t="str">
            <v>SVEUČILIŠTE U RIJECI</v>
          </cell>
          <cell r="P37" t="str">
            <v>HAHLIĆ 6</v>
          </cell>
          <cell r="Q37" t="str">
            <v>51000 RIJEKA</v>
          </cell>
          <cell r="R37">
            <v>3328562</v>
          </cell>
          <cell r="S37" t="str">
            <v>43767699965</v>
          </cell>
          <cell r="T37" t="str">
            <v>Sveučilišta i veleučilišta u Republici Hrvatskoj</v>
          </cell>
          <cell r="U37" t="str">
            <v>08006</v>
          </cell>
        </row>
        <row r="38">
          <cell r="L38" t="str">
            <v>2493SVEUČILIŠTE U RIJECI - SVEUČILIŠNA KNJIŽNICA</v>
          </cell>
          <cell r="M38">
            <v>2493</v>
          </cell>
          <cell r="N38" t="str">
            <v>SVEUČILIŠTE U RIJECI - SVEUČILIŠNA KNJIŽNICA</v>
          </cell>
          <cell r="O38" t="str">
            <v>SVEUČILIŠTE U RIJECI</v>
          </cell>
          <cell r="P38" t="str">
            <v xml:space="preserve"> DOLAC 1</v>
          </cell>
          <cell r="Q38" t="str">
            <v>51000 RIJEKA</v>
          </cell>
          <cell r="R38">
            <v>3328686</v>
          </cell>
          <cell r="S38" t="str">
            <v>84122581314</v>
          </cell>
          <cell r="T38" t="str">
            <v>Sveučilišta i veleučilišta u Republici Hrvatskoj</v>
          </cell>
          <cell r="U38" t="str">
            <v>08006</v>
          </cell>
        </row>
        <row r="39">
          <cell r="L39" t="str">
            <v>2151SVEUČILIŠTE U RIJECI - TEHNIČKI FAKULTET</v>
          </cell>
          <cell r="M39">
            <v>2151</v>
          </cell>
          <cell r="N39" t="str">
            <v>SVEUČILIŠTE U RIJECI - TEHNIČKI FAKULTET</v>
          </cell>
          <cell r="O39" t="str">
            <v>SVEUČILIŠTE U RIJECI</v>
          </cell>
          <cell r="P39" t="str">
            <v>VUKOVARSKA 58</v>
          </cell>
          <cell r="Q39" t="str">
            <v>51000 RIJEKA</v>
          </cell>
          <cell r="R39">
            <v>3334317</v>
          </cell>
          <cell r="S39" t="str">
            <v>46319717480</v>
          </cell>
          <cell r="T39" t="str">
            <v>Sveučilišta i veleučilišta u Republici Hrvatskoj</v>
          </cell>
          <cell r="U39" t="str">
            <v>08006</v>
          </cell>
        </row>
        <row r="40">
          <cell r="L40" t="str">
            <v>40947SVEUČILIŠTE U RIJECI - UČITELJSKI FAKULTET</v>
          </cell>
          <cell r="M40">
            <v>40947</v>
          </cell>
          <cell r="N40" t="str">
            <v>SVEUČILIŠTE U RIJECI - UČITELJSKI FAKULTET</v>
          </cell>
          <cell r="O40" t="str">
            <v>SVEUČILIŠTE U RIJECI</v>
          </cell>
          <cell r="P40" t="str">
            <v>SVEUČILIŠNA AVENIJA 6</v>
          </cell>
          <cell r="Q40" t="str">
            <v>51000 RIJEKA</v>
          </cell>
          <cell r="R40">
            <v>2116073</v>
          </cell>
          <cell r="S40" t="str">
            <v>96996385705</v>
          </cell>
          <cell r="T40" t="str">
            <v>Sveučilišta i veleučilišta u Republici Hrvatskoj</v>
          </cell>
          <cell r="U40" t="str">
            <v>08006</v>
          </cell>
        </row>
        <row r="41">
          <cell r="L41" t="str">
            <v>51360SVEUČILIŠTE U SLAVONSKOM BRODU</v>
          </cell>
          <cell r="M41">
            <v>51360</v>
          </cell>
          <cell r="N41" t="str">
            <v>SVEUČILIŠTE U SLAVONSKOM BRODU</v>
          </cell>
          <cell r="O41" t="str">
            <v>SVEUČILIŠTE U SLAVONSKOM BRODU</v>
          </cell>
          <cell r="P41" t="str">
            <v>TRG IVANE BRLIĆ MAŽURANIĆ 2</v>
          </cell>
          <cell r="Q41" t="str">
            <v>35000 SLAVONSKI BROD</v>
          </cell>
          <cell r="R41">
            <v>5290538</v>
          </cell>
          <cell r="S41" t="str">
            <v>33027834374</v>
          </cell>
          <cell r="T41" t="str">
            <v>Sveučilišta i veleučilišta u Republici Hrvatskoj</v>
          </cell>
          <cell r="U41" t="str">
            <v>08006</v>
          </cell>
        </row>
        <row r="42">
          <cell r="L42" t="str">
            <v>2469SVEUČILIŠTE U SPLITU</v>
          </cell>
          <cell r="M42">
            <v>2469</v>
          </cell>
          <cell r="N42" t="str">
            <v>SVEUČILIŠTE U SPLITU</v>
          </cell>
          <cell r="O42" t="str">
            <v>SVEUČILIŠTE U SPLITU</v>
          </cell>
          <cell r="P42" t="str">
            <v>POLJIČKA CESTA 35</v>
          </cell>
          <cell r="Q42" t="str">
            <v>21000 SPLIT</v>
          </cell>
          <cell r="R42">
            <v>3129306</v>
          </cell>
          <cell r="S42" t="str">
            <v>29845096215</v>
          </cell>
          <cell r="T42" t="str">
            <v>Sveučilišta i veleučilišta u Republici Hrvatskoj</v>
          </cell>
          <cell r="U42" t="str">
            <v>08006</v>
          </cell>
        </row>
        <row r="43">
          <cell r="L43" t="str">
            <v>2372SVEUČILIŠTE U SPLITU - EKONOMSKI FAKULTET</v>
          </cell>
          <cell r="M43">
            <v>2372</v>
          </cell>
          <cell r="N43" t="str">
            <v>SVEUČILIŠTE U SPLITU - EKONOMSKI FAKULTET</v>
          </cell>
          <cell r="O43" t="str">
            <v>SVEUČILIŠTE U SPLITU</v>
          </cell>
          <cell r="P43" t="str">
            <v>CVITE FISKOVIĆA 5</v>
          </cell>
          <cell r="Q43" t="str">
            <v>21000 SPLIT</v>
          </cell>
          <cell r="R43">
            <v>3119076</v>
          </cell>
          <cell r="S43" t="str">
            <v>84477684422</v>
          </cell>
          <cell r="T43" t="str">
            <v>Sveučilišta i veleučilišta u Republici Hrvatskoj</v>
          </cell>
          <cell r="U43" t="str">
            <v>08006</v>
          </cell>
        </row>
        <row r="44">
          <cell r="L44" t="str">
            <v>2330SVEUČILIŠTE U SPLITU - FAKULTET ELEKTROTEHNIKE, STROJARSTVA I BRODOGRADNJE</v>
          </cell>
          <cell r="M44">
            <v>2330</v>
          </cell>
          <cell r="N44" t="str">
            <v>SVEUČILIŠTE U SPLITU - FAKULTET ELEKTROTEHNIKE, STROJARSTVA I BRODOGRADNJE</v>
          </cell>
          <cell r="O44" t="str">
            <v>SVEUČILIŠTE U SPLITU</v>
          </cell>
          <cell r="P44" t="str">
            <v>RUĐERA BOŠKOVIĆA 32</v>
          </cell>
          <cell r="Q44" t="str">
            <v>21000 SPLIT</v>
          </cell>
          <cell r="R44">
            <v>3118339</v>
          </cell>
          <cell r="S44" t="str">
            <v>00857144221</v>
          </cell>
          <cell r="T44" t="str">
            <v>Sveučilišta i veleučilišta u Republici Hrvatskoj</v>
          </cell>
          <cell r="U44" t="str">
            <v>08006</v>
          </cell>
        </row>
        <row r="45">
          <cell r="L45" t="str">
            <v>2348SVEUČILIŠTE U SPLITU - FAKULTET GRAĐEVINARSTVA, ARHITEKTURE I GEODEZIJE</v>
          </cell>
          <cell r="M45">
            <v>2348</v>
          </cell>
          <cell r="N45" t="str">
            <v>SVEUČILIŠTE U SPLITU - FAKULTET GRAĐEVINARSTVA, ARHITEKTURE I GEODEZIJE</v>
          </cell>
          <cell r="O45" t="str">
            <v>SVEUČILIŠTE U SPLITU</v>
          </cell>
          <cell r="P45" t="str">
            <v>MATICE HRVATSKE 15</v>
          </cell>
          <cell r="Q45" t="str">
            <v>21000 SPLIT</v>
          </cell>
          <cell r="R45">
            <v>3149463</v>
          </cell>
          <cell r="S45" t="str">
            <v>83615500218</v>
          </cell>
          <cell r="T45" t="str">
            <v>Sveučilišta i veleučilišta u Republici Hrvatskoj</v>
          </cell>
          <cell r="U45" t="str">
            <v>08006</v>
          </cell>
        </row>
        <row r="46">
          <cell r="L46" t="str">
            <v>22435SVEUČILIŠTE U SPLITU - FILOZOFSKI FAKULTET</v>
          </cell>
          <cell r="M46">
            <v>22435</v>
          </cell>
          <cell r="N46" t="str">
            <v>SVEUČILIŠTE U SPLITU - FILOZOFSKI FAKULTET</v>
          </cell>
          <cell r="O46" t="str">
            <v>SVEUČILIŠTE U SPLITU</v>
          </cell>
          <cell r="P46" t="str">
            <v>POLJIČKA CESTA 35</v>
          </cell>
          <cell r="Q46" t="str">
            <v>21000 SPLIT</v>
          </cell>
          <cell r="R46">
            <v>1413236</v>
          </cell>
          <cell r="S46" t="str">
            <v>98004523293</v>
          </cell>
          <cell r="T46" t="str">
            <v>Sveučilišta i veleučilišta u Republici Hrvatskoj</v>
          </cell>
          <cell r="U46" t="str">
            <v>08006</v>
          </cell>
        </row>
        <row r="47">
          <cell r="L47" t="str">
            <v>23368SVEUČILIŠTE U SPLITU - KATOLIČKI BOGOSLOVNI FAKULTET</v>
          </cell>
          <cell r="M47">
            <v>23368</v>
          </cell>
          <cell r="N47" t="str">
            <v>SVEUČILIŠTE U SPLITU - KATOLIČKI BOGOSLOVNI FAKULTET</v>
          </cell>
          <cell r="O47" t="str">
            <v>SVEUČILIŠTE U SPLITU</v>
          </cell>
          <cell r="P47" t="str">
            <v xml:space="preserve">ZRINSKOG FRANKOPANA 19 </v>
          </cell>
          <cell r="Q47" t="str">
            <v>21000 SPLIT</v>
          </cell>
          <cell r="R47">
            <v>1465643</v>
          </cell>
          <cell r="S47">
            <v>36149548625</v>
          </cell>
          <cell r="T47" t="str">
            <v>Sveučilišta i veleučilišta u Republici Hrvatskoj</v>
          </cell>
          <cell r="U47" t="str">
            <v>08006</v>
          </cell>
        </row>
        <row r="48">
          <cell r="L48" t="str">
            <v>2356SVEUČILIŠTE U SPLITU - KEMIJSKO-TEHNOLOŠKI FAKULTET</v>
          </cell>
          <cell r="M48">
            <v>2356</v>
          </cell>
          <cell r="N48" t="str">
            <v>SVEUČILIŠTE U SPLITU - KEMIJSKO-TEHNOLOŠKI FAKULTET</v>
          </cell>
          <cell r="O48" t="str">
            <v>SVEUČILIŠTE U SPLITU</v>
          </cell>
          <cell r="P48" t="str">
            <v>RUĐERA BOŠKOVIĆA 35</v>
          </cell>
          <cell r="Q48" t="str">
            <v>21000 SPLIT</v>
          </cell>
          <cell r="R48">
            <v>3119068</v>
          </cell>
          <cell r="S48" t="str">
            <v>99401575594</v>
          </cell>
          <cell r="T48" t="str">
            <v>Sveučilišta i veleučilišta u Republici Hrvatskoj</v>
          </cell>
          <cell r="U48" t="str">
            <v>08006</v>
          </cell>
        </row>
        <row r="49">
          <cell r="L49" t="str">
            <v>43773SVEUČILIŠTE U SPLITU - KINEZIOLOŠKI FAKULTET</v>
          </cell>
          <cell r="M49">
            <v>43773</v>
          </cell>
          <cell r="N49" t="str">
            <v>SVEUČILIŠTE U SPLITU - KINEZIOLOŠKI FAKULTET</v>
          </cell>
          <cell r="O49" t="str">
            <v>SVEUČILIŠTE U SPLITU</v>
          </cell>
          <cell r="P49" t="str">
            <v>NIKOLE TESLE 6</v>
          </cell>
          <cell r="Q49" t="str">
            <v>21000 SPLIT</v>
          </cell>
          <cell r="R49">
            <v>2393255</v>
          </cell>
          <cell r="S49" t="str">
            <v>57848936921</v>
          </cell>
          <cell r="T49" t="str">
            <v>Sveučilišta i veleučilišta u Republici Hrvatskoj</v>
          </cell>
          <cell r="U49" t="str">
            <v>08006</v>
          </cell>
        </row>
        <row r="50">
          <cell r="L50" t="str">
            <v>22451SVEUČILIŠTE U SPLITU - MEDICINSKI FAKULTET</v>
          </cell>
          <cell r="M50">
            <v>22451</v>
          </cell>
          <cell r="N50" t="str">
            <v>SVEUČILIŠTE U SPLITU - MEDICINSKI FAKULTET</v>
          </cell>
          <cell r="O50" t="str">
            <v>SVEUČILIŠTE U SPLITU</v>
          </cell>
          <cell r="P50" t="str">
            <v>ŠOLTANSKA 2</v>
          </cell>
          <cell r="Q50" t="str">
            <v>21000 SPLIT</v>
          </cell>
          <cell r="R50">
            <v>1315366</v>
          </cell>
          <cell r="S50" t="str">
            <v>02879747067</v>
          </cell>
          <cell r="T50" t="str">
            <v>Sveučilišta i veleučilišta u Republici Hrvatskoj</v>
          </cell>
          <cell r="U50" t="str">
            <v>08006</v>
          </cell>
        </row>
        <row r="51">
          <cell r="L51" t="str">
            <v>22460SVEUČILIŠTE U SPLITU - POMORSKI FAKULTET</v>
          </cell>
          <cell r="M51">
            <v>22460</v>
          </cell>
          <cell r="N51" t="str">
            <v>SVEUČILIŠTE U SPLITU - POMORSKI FAKULTET</v>
          </cell>
          <cell r="O51" t="str">
            <v>SVEUČILIŠTE U SPLITU</v>
          </cell>
          <cell r="P51" t="str">
            <v>RUĐERA BOŠKOVIĆA 37</v>
          </cell>
          <cell r="Q51" t="str">
            <v>21000 SPLIT</v>
          </cell>
          <cell r="R51">
            <v>1406043</v>
          </cell>
          <cell r="S51" t="str">
            <v>24624257529</v>
          </cell>
          <cell r="T51" t="str">
            <v>Sveučilišta i veleučilišta u Republici Hrvatskoj</v>
          </cell>
          <cell r="U51" t="str">
            <v>08006</v>
          </cell>
        </row>
        <row r="52">
          <cell r="L52" t="str">
            <v>2397SVEUČILIŠTE U SPLITU - PRAVNI FAKULTET</v>
          </cell>
          <cell r="M52">
            <v>2397</v>
          </cell>
          <cell r="N52" t="str">
            <v>SVEUČILIŠTE U SPLITU - PRAVNI FAKULTET</v>
          </cell>
          <cell r="O52" t="str">
            <v>SVEUČILIŠTE U SPLITU</v>
          </cell>
          <cell r="P52" t="str">
            <v>DOMOVINSKOG RATA 8</v>
          </cell>
          <cell r="Q52" t="str">
            <v>21000 SPLIT</v>
          </cell>
          <cell r="R52">
            <v>3118347</v>
          </cell>
          <cell r="S52" t="str">
            <v>03541568700</v>
          </cell>
          <cell r="T52" t="str">
            <v>Sveučilišta i veleučilišta u Republici Hrvatskoj</v>
          </cell>
          <cell r="U52" t="str">
            <v>08006</v>
          </cell>
        </row>
        <row r="53">
          <cell r="L53" t="str">
            <v>2410SVEUČILIŠTE U SPLITU - PRIRODOSLOVNO - MATEMATIČKI FAKULTET</v>
          </cell>
          <cell r="M53">
            <v>2410</v>
          </cell>
          <cell r="N53" t="str">
            <v>SVEUČILIŠTE U SPLITU - PRIRODOSLOVNO - MATEMATIČKI FAKULTET</v>
          </cell>
          <cell r="O53" t="str">
            <v>SVEUČILIŠTE U SPLITU</v>
          </cell>
          <cell r="P53" t="str">
            <v>RUĐERA BOŠKOVIĆA 33</v>
          </cell>
          <cell r="Q53" t="str">
            <v>21000 SPLIT</v>
          </cell>
          <cell r="R53">
            <v>3199622</v>
          </cell>
          <cell r="S53" t="str">
            <v>20858497843</v>
          </cell>
          <cell r="T53" t="str">
            <v>Sveučilišta i veleučilišta u Republici Hrvatskoj</v>
          </cell>
          <cell r="U53" t="str">
            <v>08006</v>
          </cell>
        </row>
        <row r="54">
          <cell r="L54" t="str">
            <v>2524SVEUČILIŠTE U SPLITU - SVEUČILIŠNA KNJIŽNICA</v>
          </cell>
          <cell r="M54">
            <v>2524</v>
          </cell>
          <cell r="N54" t="str">
            <v>SVEUČILIŠTE U SPLITU - SVEUČILIŠNA KNJIŽNICA</v>
          </cell>
          <cell r="O54" t="str">
            <v>SVEUČILIŠTE U SPLITU</v>
          </cell>
          <cell r="P54" t="str">
            <v>RUĐERA BOŠKOVIĆA 31</v>
          </cell>
          <cell r="Q54" t="str">
            <v>21000 SPLIT</v>
          </cell>
          <cell r="R54">
            <v>3118436</v>
          </cell>
          <cell r="S54" t="str">
            <v>40099344720</v>
          </cell>
          <cell r="T54" t="str">
            <v>Sveučilišta i veleučilišta u Republici Hrvatskoj</v>
          </cell>
          <cell r="U54" t="str">
            <v>08006</v>
          </cell>
        </row>
        <row r="55">
          <cell r="L55" t="str">
            <v>22478SVEUČILIŠTE U SPLITU - UMJETNIČKA AKADEMIJA</v>
          </cell>
          <cell r="M55">
            <v>22478</v>
          </cell>
          <cell r="N55" t="str">
            <v>SVEUČILIŠTE U SPLITU - UMJETNIČKA AKADEMIJA</v>
          </cell>
          <cell r="O55" t="str">
            <v>SVEUČILIŠTE U SPLITU</v>
          </cell>
          <cell r="P55" t="str">
            <v>ZAGREBAČKA 3</v>
          </cell>
          <cell r="Q55" t="str">
            <v>21000 SPLIT</v>
          </cell>
          <cell r="R55">
            <v>1321358</v>
          </cell>
          <cell r="S55" t="str">
            <v>38960125358</v>
          </cell>
          <cell r="T55" t="str">
            <v>Sveučilišta i veleučilišta u Republici Hrvatskoj</v>
          </cell>
          <cell r="U55" t="str">
            <v>08006</v>
          </cell>
        </row>
        <row r="56">
          <cell r="L56" t="str">
            <v>23815SVEUČILIŠTE U ZADRU</v>
          </cell>
          <cell r="M56">
            <v>23815</v>
          </cell>
          <cell r="N56" t="str">
            <v>SVEUČILIŠTE U ZADRU</v>
          </cell>
          <cell r="O56" t="str">
            <v>SVEUČILIŠTE U ZADRU</v>
          </cell>
          <cell r="P56" t="str">
            <v>MIHOVILA PAVLINOVIĆA 1</v>
          </cell>
          <cell r="Q56" t="str">
            <v>23000 ZADAR</v>
          </cell>
          <cell r="R56">
            <v>1695525</v>
          </cell>
          <cell r="S56" t="str">
            <v>10839679016</v>
          </cell>
          <cell r="T56" t="str">
            <v>Sveučilišta i veleučilišta u Republici Hrvatskoj</v>
          </cell>
          <cell r="U56" t="str">
            <v>08006</v>
          </cell>
        </row>
        <row r="57">
          <cell r="L57" t="str">
            <v>2436SVEUČILIŠTE U ZAGREBU</v>
          </cell>
          <cell r="M57">
            <v>2436</v>
          </cell>
          <cell r="N57" t="str">
            <v>SVEUČILIŠTE U ZAGREBU</v>
          </cell>
          <cell r="O57" t="str">
            <v>SVEUČILIŠTE U ZAGREBU</v>
          </cell>
          <cell r="P57" t="str">
            <v>TRG REPUBLIKE HRVATSKE 14</v>
          </cell>
          <cell r="Q57" t="str">
            <v>10000 ZAGREB</v>
          </cell>
          <cell r="R57">
            <v>3211592</v>
          </cell>
          <cell r="S57" t="str">
            <v>36612267447</v>
          </cell>
          <cell r="T57" t="str">
            <v>Sveučilišta i veleučilišta u Republici Hrvatskoj</v>
          </cell>
          <cell r="U57" t="str">
            <v>08006</v>
          </cell>
        </row>
        <row r="58">
          <cell r="L58" t="str">
            <v>1923SVEUČILIŠTE U ZAGREBU - AGRONOMSKI FAKULTET</v>
          </cell>
          <cell r="M58">
            <v>1923</v>
          </cell>
          <cell r="N58" t="str">
            <v>SVEUČILIŠTE U ZAGREBU - AGRONOMSKI FAKULTET</v>
          </cell>
          <cell r="O58" t="str">
            <v>SVEUČILIŠTE U ZAGREBU</v>
          </cell>
          <cell r="P58" t="str">
            <v>SVETOŠIMUNSKA CESTA 25</v>
          </cell>
          <cell r="Q58" t="str">
            <v>10000 ZAGREB</v>
          </cell>
          <cell r="R58">
            <v>3283097</v>
          </cell>
          <cell r="S58" t="str">
            <v>76023745044</v>
          </cell>
          <cell r="T58" t="str">
            <v>Sveučilišta i veleučilišta u Republici Hrvatskoj</v>
          </cell>
          <cell r="U58" t="str">
            <v>08006</v>
          </cell>
        </row>
        <row r="59">
          <cell r="L59" t="str">
            <v>1974SVEUČILIŠTE U ZAGREBU - AKADEMIJA DRAMSKE UMJETNOSTI</v>
          </cell>
          <cell r="M59">
            <v>1974</v>
          </cell>
          <cell r="N59" t="str">
            <v>SVEUČILIŠTE U ZAGREBU - AKADEMIJA DRAMSKE UMJETNOSTI</v>
          </cell>
          <cell r="O59" t="str">
            <v>SVEUČILIŠTE U ZAGREBU</v>
          </cell>
          <cell r="P59" t="str">
            <v>TRG REPUBLIKE HRVATSKE 5</v>
          </cell>
          <cell r="Q59" t="str">
            <v>10000 ZAGREB</v>
          </cell>
          <cell r="R59">
            <v>3205029</v>
          </cell>
          <cell r="S59" t="str">
            <v>52097842295</v>
          </cell>
          <cell r="T59" t="str">
            <v>Sveučilišta i veleučilišta u Republici Hrvatskoj</v>
          </cell>
          <cell r="U59" t="str">
            <v>08006</v>
          </cell>
        </row>
        <row r="60">
          <cell r="L60" t="str">
            <v>1982SVEUČILIŠTE U ZAGREBU - AKADEMIJA LIKOVNIH UMJETNOSTI</v>
          </cell>
          <cell r="M60">
            <v>1982</v>
          </cell>
          <cell r="N60" t="str">
            <v>SVEUČILIŠTE U ZAGREBU - AKADEMIJA LIKOVNIH UMJETNOSTI</v>
          </cell>
          <cell r="O60" t="str">
            <v>SVEUČILIŠTE U ZAGREBU</v>
          </cell>
          <cell r="P60" t="str">
            <v>ILICA 85</v>
          </cell>
          <cell r="Q60" t="str">
            <v>10000 ZAGREB</v>
          </cell>
          <cell r="R60">
            <v>3207919</v>
          </cell>
          <cell r="S60" t="str">
            <v>95847257607</v>
          </cell>
          <cell r="T60" t="str">
            <v>Sveučilišta i veleučilišta u Republici Hrvatskoj</v>
          </cell>
          <cell r="U60" t="str">
            <v>08006</v>
          </cell>
        </row>
        <row r="61">
          <cell r="L61" t="str">
            <v xml:space="preserve">1861SVEUČILIŠTE U ZAGREBU - ARHITEKTONSKI FAKULTET </v>
          </cell>
          <cell r="M61">
            <v>1861</v>
          </cell>
          <cell r="N61" t="str">
            <v xml:space="preserve">SVEUČILIŠTE U ZAGREBU - ARHITEKTONSKI FAKULTET </v>
          </cell>
          <cell r="O61" t="str">
            <v>SVEUČILIŠTE U ZAGREBU</v>
          </cell>
          <cell r="P61" t="str">
            <v>KAČIĆEVA 26</v>
          </cell>
          <cell r="Q61" t="str">
            <v>10000 ZAGREB</v>
          </cell>
          <cell r="R61">
            <v>3204952</v>
          </cell>
          <cell r="S61" t="str">
            <v>42061107444</v>
          </cell>
          <cell r="T61" t="str">
            <v>Sveučilišta i veleučilišta u Republici Hrvatskoj</v>
          </cell>
          <cell r="U61" t="str">
            <v>08006</v>
          </cell>
        </row>
        <row r="62">
          <cell r="L62" t="str">
            <v xml:space="preserve">1966SVEUČILIŠTE U ZAGREBU - EDUKACIJSKO-REHABILITACIJSKI FAKULTET </v>
          </cell>
          <cell r="M62">
            <v>1966</v>
          </cell>
          <cell r="N62" t="str">
            <v xml:space="preserve">SVEUČILIŠTE U ZAGREBU - EDUKACIJSKO-REHABILITACIJSKI FAKULTET </v>
          </cell>
          <cell r="O62" t="str">
            <v>SVEUČILIŠTE U ZAGREBU</v>
          </cell>
          <cell r="P62" t="str">
            <v>BORONGAJSKA CESTA 83F</v>
          </cell>
          <cell r="Q62" t="str">
            <v>10000 ZAGREB</v>
          </cell>
          <cell r="R62">
            <v>3219780</v>
          </cell>
          <cell r="S62" t="str">
            <v>34967762426</v>
          </cell>
          <cell r="T62" t="str">
            <v>Sveučilišta i veleučilišta u Republici Hrvatskoj</v>
          </cell>
          <cell r="U62" t="str">
            <v>08006</v>
          </cell>
        </row>
        <row r="63">
          <cell r="L63" t="str">
            <v>1931SVEUČILIŠTE U ZAGREBU - EKONOMSKI FAKULTET</v>
          </cell>
          <cell r="M63">
            <v>1931</v>
          </cell>
          <cell r="N63" t="str">
            <v>SVEUČILIŠTE U ZAGREBU - EKONOMSKI FAKULTET</v>
          </cell>
          <cell r="O63" t="str">
            <v>SVEUČILIŠTE U ZAGREBU</v>
          </cell>
          <cell r="P63" t="str">
            <v>TRG J. F. KENNEDEYA 6</v>
          </cell>
          <cell r="Q63" t="str">
            <v>10000 ZAGREB</v>
          </cell>
          <cell r="R63">
            <v>3272079</v>
          </cell>
          <cell r="S63" t="str">
            <v>27208467122</v>
          </cell>
          <cell r="T63" t="str">
            <v>Sveučilišta i veleučilišta u Republici Hrvatskoj</v>
          </cell>
          <cell r="U63" t="str">
            <v>08006</v>
          </cell>
        </row>
        <row r="64">
          <cell r="L64" t="str">
            <v>1757SVEUČILIŠTE U ZAGREBU - FAKULTET ELEKTROTEHNIKE I RAČUNARSTVA</v>
          </cell>
          <cell r="M64">
            <v>1757</v>
          </cell>
          <cell r="N64" t="str">
            <v>SVEUČILIŠTE U ZAGREBU - FAKULTET ELEKTROTEHNIKE I RAČUNARSTVA</v>
          </cell>
          <cell r="O64" t="str">
            <v>SVEUČILIŠTE U ZAGREBU</v>
          </cell>
          <cell r="P64" t="str">
            <v>UNSKA 3</v>
          </cell>
          <cell r="Q64" t="str">
            <v>10000 ZAGREB</v>
          </cell>
          <cell r="R64">
            <v>3276643</v>
          </cell>
          <cell r="S64" t="str">
            <v>57029260362</v>
          </cell>
          <cell r="T64" t="str">
            <v>Sveučilišta i veleučilišta u Republici Hrvatskoj</v>
          </cell>
          <cell r="U64" t="str">
            <v>08006</v>
          </cell>
        </row>
        <row r="65">
          <cell r="L65" t="str">
            <v>6154SVEUČILIŠTE U ZAGREBU - FAKULTET FILOZOFIJE I RELIGIJSKIH ZNANOSTI</v>
          </cell>
          <cell r="M65">
            <v>6154</v>
          </cell>
          <cell r="N65" t="str">
            <v>SVEUČILIŠTE U ZAGREBU - FAKULTET FILOZOFIJE I RELIGIJSKIH ZNANOSTI</v>
          </cell>
          <cell r="O65" t="str">
            <v>SVEUČILIŠTE U ZAGREBU</v>
          </cell>
          <cell r="P65" t="str">
            <v>JORDANOVAC 110</v>
          </cell>
          <cell r="Q65" t="str">
            <v>10000 ZAGREB</v>
          </cell>
          <cell r="R65">
            <v>1235664</v>
          </cell>
          <cell r="S65" t="str">
            <v>26975482530</v>
          </cell>
          <cell r="T65" t="str">
            <v>Sveučilišta i veleučilišta u Republici Hrvatskoj</v>
          </cell>
          <cell r="U65" t="str">
            <v>08006</v>
          </cell>
        </row>
        <row r="66">
          <cell r="L66" t="str">
            <v>51191SVEUČILIŠTE U ZAGREBU - FAKULTET HRVATSKIH STUDIJA</v>
          </cell>
          <cell r="M66">
            <v>51191</v>
          </cell>
          <cell r="N66" t="str">
            <v>SVEUČILIŠTE U ZAGREBU - FAKULTET HRVATSKIH STUDIJA</v>
          </cell>
          <cell r="O66" t="str">
            <v>SVEUČILIŠTE U ZAGREBU</v>
          </cell>
          <cell r="P66" t="str">
            <v>BORONGAJSKA CESTA 83D</v>
          </cell>
          <cell r="Q66" t="str">
            <v>10000 ZAGREB</v>
          </cell>
          <cell r="R66">
            <v>5214068</v>
          </cell>
          <cell r="S66" t="str">
            <v>99454315441</v>
          </cell>
          <cell r="T66" t="str">
            <v>Sveučilišta i veleučilišta u Republici Hrvatskoj</v>
          </cell>
          <cell r="U66" t="str">
            <v>08006</v>
          </cell>
        </row>
        <row r="67">
          <cell r="L67" t="str">
            <v>1790SVEUČILIŠTE U ZAGREBU - FAKULTET KEMIJSKOG INŽENJERSTVA I TEHNOLOGIJE</v>
          </cell>
          <cell r="M67">
            <v>1790</v>
          </cell>
          <cell r="N67" t="str">
            <v>SVEUČILIŠTE U ZAGREBU - FAKULTET KEMIJSKOG INŽENJERSTVA I TEHNOLOGIJE</v>
          </cell>
          <cell r="O67" t="str">
            <v>SVEUČILIŠTE U ZAGREBU</v>
          </cell>
          <cell r="P67" t="str">
            <v>MARULIĆEV TRG 19</v>
          </cell>
          <cell r="Q67" t="str">
            <v>10000 ZAGREB</v>
          </cell>
          <cell r="R67">
            <v>3250270</v>
          </cell>
          <cell r="S67" t="str">
            <v>71259740533</v>
          </cell>
          <cell r="T67" t="str">
            <v>Sveučilišta i veleučilišta u Republici Hrvatskoj</v>
          </cell>
          <cell r="U67" t="str">
            <v>08006</v>
          </cell>
        </row>
        <row r="68">
          <cell r="L68" t="str">
            <v>1907SVEUČILIŠTE U ZAGREBU - FAKULTET POLITIČKIH ZNANOSTI</v>
          </cell>
          <cell r="M68">
            <v>1907</v>
          </cell>
          <cell r="N68" t="str">
            <v>SVEUČILIŠTE U ZAGREBU - FAKULTET POLITIČKIH ZNANOSTI</v>
          </cell>
          <cell r="O68" t="str">
            <v>SVEUČILIŠTE U ZAGREBU</v>
          </cell>
          <cell r="P68" t="str">
            <v>LEPUŠIĆEVA 6</v>
          </cell>
          <cell r="Q68" t="str">
            <v>10000 ZAGREB</v>
          </cell>
          <cell r="R68">
            <v>3270262</v>
          </cell>
          <cell r="S68" t="str">
            <v>28011548575</v>
          </cell>
          <cell r="T68" t="str">
            <v>Sveučilišta i veleučilišta u Republici Hrvatskoj</v>
          </cell>
          <cell r="U68" t="str">
            <v>08006</v>
          </cell>
        </row>
        <row r="69">
          <cell r="L69" t="str">
            <v>1812SVEUČILIŠTE U ZAGREBU - FAKULTET PROMETNIH ZNANOSTI</v>
          </cell>
          <cell r="M69">
            <v>1812</v>
          </cell>
          <cell r="N69" t="str">
            <v>SVEUČILIŠTE U ZAGREBU - FAKULTET PROMETNIH ZNANOSTI</v>
          </cell>
          <cell r="O69" t="str">
            <v>SVEUČILIŠTE U ZAGREBU</v>
          </cell>
          <cell r="P69" t="str">
            <v>VUKELIĆEVA 4</v>
          </cell>
          <cell r="Q69" t="str">
            <v>10000 ZAGREB</v>
          </cell>
          <cell r="R69">
            <v>3260771</v>
          </cell>
          <cell r="S69" t="str">
            <v>25410051374</v>
          </cell>
          <cell r="T69" t="str">
            <v>Sveučilišta i veleučilišta u Republici Hrvatskoj</v>
          </cell>
          <cell r="U69" t="str">
            <v>08006</v>
          </cell>
        </row>
        <row r="70">
          <cell r="L70" t="str">
            <v>1829SVEUČILIŠTE U ZAGREBU - FAKULTET STROJARSTVA I BRODOGRADNJE</v>
          </cell>
          <cell r="M70">
            <v>1829</v>
          </cell>
          <cell r="N70" t="str">
            <v>SVEUČILIŠTE U ZAGREBU - FAKULTET STROJARSTVA I BRODOGRADNJE</v>
          </cell>
          <cell r="O70" t="str">
            <v>SVEUČILIŠTE U ZAGREBU</v>
          </cell>
          <cell r="P70" t="str">
            <v>IVANA LUČIĆA 5</v>
          </cell>
          <cell r="Q70" t="str">
            <v>10000 ZAGREB</v>
          </cell>
          <cell r="R70">
            <v>3276546</v>
          </cell>
          <cell r="S70" t="str">
            <v>22910368449</v>
          </cell>
          <cell r="T70" t="str">
            <v>Sveučilišta i veleučilišta u Republici Hrvatskoj</v>
          </cell>
          <cell r="U70" t="str">
            <v>08006</v>
          </cell>
        </row>
        <row r="71">
          <cell r="L71" t="str">
            <v xml:space="preserve">2014SVEUČILIŠTE U ZAGREBU - FARMACEUTSKO-BIOKEMIJSKI FAKULTET </v>
          </cell>
          <cell r="M71">
            <v>2014</v>
          </cell>
          <cell r="N71" t="str">
            <v xml:space="preserve">SVEUČILIŠTE U ZAGREBU - FARMACEUTSKO-BIOKEMIJSKI FAKULTET </v>
          </cell>
          <cell r="O71" t="str">
            <v>SVEUČILIŠTE U ZAGREBU</v>
          </cell>
          <cell r="P71" t="str">
            <v>ANTE KOVAČIĆA 1</v>
          </cell>
          <cell r="Q71" t="str">
            <v>10000 ZAGREB</v>
          </cell>
          <cell r="R71">
            <v>3205037</v>
          </cell>
          <cell r="S71" t="str">
            <v>14509285435</v>
          </cell>
          <cell r="T71" t="str">
            <v>Sveučilišta i veleučilišta u Republici Hrvatskoj</v>
          </cell>
          <cell r="U71" t="str">
            <v>08006</v>
          </cell>
        </row>
        <row r="72">
          <cell r="L72" t="str">
            <v>1958SVEUČILIŠTE U ZAGREBU - FILOZOFSKI FAKULTET</v>
          </cell>
          <cell r="M72">
            <v>1958</v>
          </cell>
          <cell r="N72" t="str">
            <v>SVEUČILIŠTE U ZAGREBU - FILOZOFSKI FAKULTET</v>
          </cell>
          <cell r="O72" t="str">
            <v>SVEUČILIŠTE U ZAGREBU</v>
          </cell>
          <cell r="P72" t="str">
            <v>IVANA LUČIĆA 3</v>
          </cell>
          <cell r="Q72" t="str">
            <v>10000 ZAGREB</v>
          </cell>
          <cell r="R72">
            <v>3254852</v>
          </cell>
          <cell r="S72" t="str">
            <v>90633715804</v>
          </cell>
          <cell r="T72" t="str">
            <v>Sveučilišta i veleučilišta u Republici Hrvatskoj</v>
          </cell>
          <cell r="U72" t="str">
            <v>08006</v>
          </cell>
        </row>
        <row r="73">
          <cell r="L73" t="str">
            <v>1853SVEUČILIŠTE U ZAGREBU - GEODETSKI FAKULTET</v>
          </cell>
          <cell r="M73">
            <v>1853</v>
          </cell>
          <cell r="N73" t="str">
            <v>SVEUČILIŠTE U ZAGREBU - GEODETSKI FAKULTET</v>
          </cell>
          <cell r="O73" t="str">
            <v>SVEUČILIŠTE U ZAGREBU</v>
          </cell>
          <cell r="P73" t="str">
            <v>A. KAČIĆA MIOŠIĆA 26</v>
          </cell>
          <cell r="Q73" t="str">
            <v>10000 ZAGREB</v>
          </cell>
          <cell r="R73">
            <v>3204987</v>
          </cell>
          <cell r="S73" t="str">
            <v>43594593297</v>
          </cell>
          <cell r="T73" t="str">
            <v>Sveučilišta i veleučilišta u Republici Hrvatskoj</v>
          </cell>
          <cell r="U73" t="str">
            <v>08006</v>
          </cell>
        </row>
        <row r="74">
          <cell r="L74" t="str">
            <v>2102SVEUČILIŠTE U ZAGREBU - GEOTEHNIČKI FAKULTET</v>
          </cell>
          <cell r="M74">
            <v>2102</v>
          </cell>
          <cell r="N74" t="str">
            <v>SVEUČILIŠTE U ZAGREBU - GEOTEHNIČKI FAKULTET</v>
          </cell>
          <cell r="O74" t="str">
            <v>SVEUČILIŠTE U ZAGREBU</v>
          </cell>
          <cell r="P74" t="str">
            <v>HALLEROVA ALEJA 7</v>
          </cell>
          <cell r="Q74" t="str">
            <v>42000 VARAŽDIN</v>
          </cell>
          <cell r="R74">
            <v>3042316</v>
          </cell>
          <cell r="S74" t="str">
            <v>16146181375</v>
          </cell>
          <cell r="T74" t="str">
            <v>Sveučilišta i veleučilišta u Republici Hrvatskoj</v>
          </cell>
          <cell r="U74" t="str">
            <v>08006</v>
          </cell>
        </row>
        <row r="75">
          <cell r="L75" t="str">
            <v>1837SVEUČILIŠTE U ZAGREBU - GRAĐEVINSKI FAKULTET</v>
          </cell>
          <cell r="M75">
            <v>1837</v>
          </cell>
          <cell r="N75" t="str">
            <v>SVEUČILIŠTE U ZAGREBU - GRAĐEVINSKI FAKULTET</v>
          </cell>
          <cell r="O75" t="str">
            <v>SVEUČILIŠTE U ZAGREBU</v>
          </cell>
          <cell r="P75" t="str">
            <v>FRA ANDRIJE KAČIĆA MIOŠIĆA 26</v>
          </cell>
          <cell r="Q75" t="str">
            <v>10000 ZAGREB</v>
          </cell>
          <cell r="R75">
            <v>3227120</v>
          </cell>
          <cell r="S75" t="str">
            <v>62924153420</v>
          </cell>
          <cell r="T75" t="str">
            <v>Sveučilišta i veleučilišta u Republici Hrvatskoj</v>
          </cell>
          <cell r="U75" t="str">
            <v>08006</v>
          </cell>
        </row>
        <row r="76">
          <cell r="L76" t="str">
            <v>2080SVEUČILIŠTE U ZAGREBU - GRAFIČKI FAKULTET</v>
          </cell>
          <cell r="M76">
            <v>2080</v>
          </cell>
          <cell r="N76" t="str">
            <v>SVEUČILIŠTE U ZAGREBU - GRAFIČKI FAKULTET</v>
          </cell>
          <cell r="O76" t="str">
            <v>SVEUČILIŠTE U ZAGREBU</v>
          </cell>
          <cell r="P76" t="str">
            <v>GETALDIĆEVA 2</v>
          </cell>
          <cell r="Q76" t="str">
            <v>10000 ZAGREB</v>
          </cell>
          <cell r="R76">
            <v>3219763</v>
          </cell>
          <cell r="S76" t="str">
            <v>25564990903</v>
          </cell>
          <cell r="T76" t="str">
            <v>Sveučilišta i veleučilišta u Republici Hrvatskoj</v>
          </cell>
          <cell r="U76" t="str">
            <v>08006</v>
          </cell>
        </row>
        <row r="77">
          <cell r="L77" t="str">
            <v xml:space="preserve">2135SVEUČILIŠTE U ZAGREBU - KATOLIČKI BOGOSLOVNI FAKULTET </v>
          </cell>
          <cell r="M77">
            <v>2135</v>
          </cell>
          <cell r="N77" t="str">
            <v xml:space="preserve">SVEUČILIŠTE U ZAGREBU - KATOLIČKI BOGOSLOVNI FAKULTET </v>
          </cell>
          <cell r="O77" t="str">
            <v>SVEUČILIŠTE U ZAGREBU</v>
          </cell>
          <cell r="P77" t="str">
            <v xml:space="preserve">VLAŠKA 38 </v>
          </cell>
          <cell r="Q77" t="str">
            <v>10000 ZAGREB</v>
          </cell>
          <cell r="R77">
            <v>3703088</v>
          </cell>
          <cell r="S77">
            <v>48987767944</v>
          </cell>
          <cell r="T77" t="str">
            <v>Sveučilišta i veleučilišta u Republici Hrvatskoj</v>
          </cell>
          <cell r="U77" t="str">
            <v>08006</v>
          </cell>
        </row>
        <row r="78">
          <cell r="L78" t="str">
            <v>2006SVEUČILIŠTE U ZAGREBU - KINEZIOLOŠKI FAKULTET</v>
          </cell>
          <cell r="M78">
            <v>2006</v>
          </cell>
          <cell r="N78" t="str">
            <v>SVEUČILIŠTE U ZAGREBU - KINEZIOLOŠKI FAKULTET</v>
          </cell>
          <cell r="O78" t="str">
            <v>SVEUČILIŠTE U ZAGREBU</v>
          </cell>
          <cell r="P78" t="str">
            <v>HORVAĆANSKI ZAVOJ 15</v>
          </cell>
          <cell r="Q78" t="str">
            <v>10000 ZAGREB</v>
          </cell>
          <cell r="R78">
            <v>3274080</v>
          </cell>
          <cell r="S78" t="str">
            <v>25329931628</v>
          </cell>
          <cell r="T78" t="str">
            <v>Sveučilišta i veleučilišta u Republici Hrvatskoj</v>
          </cell>
          <cell r="U78" t="str">
            <v>08006</v>
          </cell>
        </row>
        <row r="79">
          <cell r="L79" t="str">
            <v>1888SVEUČILIŠTE U ZAGREBU - MEDICINSKI FAKULTET</v>
          </cell>
          <cell r="M79">
            <v>1888</v>
          </cell>
          <cell r="N79" t="str">
            <v>SVEUČILIŠTE U ZAGREBU - MEDICINSKI FAKULTET</v>
          </cell>
          <cell r="O79" t="str">
            <v>SVEUČILIŠTE U ZAGREBU</v>
          </cell>
          <cell r="P79" t="str">
            <v>ŠALATA 3</v>
          </cell>
          <cell r="Q79" t="str">
            <v>10000 ZAGREB</v>
          </cell>
          <cell r="R79">
            <v>3270211</v>
          </cell>
          <cell r="S79" t="str">
            <v>45001686598</v>
          </cell>
          <cell r="T79" t="str">
            <v>Sveučilišta i veleučilišta u Republici Hrvatskoj</v>
          </cell>
          <cell r="U79" t="str">
            <v>08006</v>
          </cell>
        </row>
        <row r="80">
          <cell r="L80" t="str">
            <v>2071SVEUČILIŠTE U ZAGREBU - METALURŠKI FAKULTET SISAK</v>
          </cell>
          <cell r="M80">
            <v>2071</v>
          </cell>
          <cell r="N80" t="str">
            <v>SVEUČILIŠTE U ZAGREBU - METALURŠKI FAKULTET SISAK</v>
          </cell>
          <cell r="O80" t="str">
            <v>SVEUČILIŠTE U ZAGREBU</v>
          </cell>
          <cell r="P80" t="str">
            <v>ALEJA NARODNIH HEROJA 3</v>
          </cell>
          <cell r="Q80" t="str">
            <v>44000 SISAK</v>
          </cell>
          <cell r="R80">
            <v>3313786</v>
          </cell>
          <cell r="S80" t="str">
            <v>48006703414</v>
          </cell>
          <cell r="T80" t="str">
            <v>Sveučilišta i veleučilišta u Republici Hrvatskoj</v>
          </cell>
          <cell r="U80" t="str">
            <v>08006</v>
          </cell>
        </row>
        <row r="81">
          <cell r="L81" t="str">
            <v>1999SVEUČILIŠTE U ZAGREBU - MUZIČKA AKADEMIJA</v>
          </cell>
          <cell r="M81">
            <v>1999</v>
          </cell>
          <cell r="N81" t="str">
            <v>SVEUČILIŠTE U ZAGREBU - MUZIČKA AKADEMIJA</v>
          </cell>
          <cell r="O81" t="str">
            <v>SVEUČILIŠTE U ZAGREBU</v>
          </cell>
          <cell r="P81" t="str">
            <v>TRG REPUBLIKE HRVATSKE 12</v>
          </cell>
          <cell r="Q81" t="str">
            <v>10000 ZAGREB</v>
          </cell>
          <cell r="R81">
            <v>3205002</v>
          </cell>
          <cell r="S81" t="str">
            <v>18422925218</v>
          </cell>
          <cell r="T81" t="str">
            <v>Sveučilišta i veleučilišta u Republici Hrvatskoj</v>
          </cell>
          <cell r="U81" t="str">
            <v>08006</v>
          </cell>
        </row>
        <row r="82">
          <cell r="L82" t="str">
            <v>1915SVEUČILIŠTE U ZAGREBU - PRAVNI FAKULTET</v>
          </cell>
          <cell r="M82">
            <v>1915</v>
          </cell>
          <cell r="N82" t="str">
            <v>SVEUČILIŠTE U ZAGREBU - PRAVNI FAKULTET</v>
          </cell>
          <cell r="O82" t="str">
            <v>SVEUČILIŠTE U ZAGREBU</v>
          </cell>
          <cell r="P82" t="str">
            <v>TRG REPUBLIKE HRVATSKE 14</v>
          </cell>
          <cell r="Q82" t="str">
            <v>10000 ZAGREB</v>
          </cell>
          <cell r="R82">
            <v>3225909</v>
          </cell>
          <cell r="S82" t="str">
            <v>38583303160</v>
          </cell>
          <cell r="T82" t="str">
            <v>Sveučilišta i veleučilišta u Republici Hrvatskoj</v>
          </cell>
          <cell r="U82" t="str">
            <v>08006</v>
          </cell>
        </row>
        <row r="83">
          <cell r="L83" t="str">
            <v>1845SVEUČILIŠTE U ZAGREBU - PREHRAMBENO BIOTEHNOLOŠKI FAKULTET</v>
          </cell>
          <cell r="M83">
            <v>1845</v>
          </cell>
          <cell r="N83" t="str">
            <v>SVEUČILIŠTE U ZAGREBU - PREHRAMBENO BIOTEHNOLOŠKI FAKULTET</v>
          </cell>
          <cell r="O83" t="str">
            <v>SVEUČILIŠTE U ZAGREBU</v>
          </cell>
          <cell r="P83" t="str">
            <v>PIEROTTIJEVA 6</v>
          </cell>
          <cell r="Q83" t="str">
            <v>10000 ZAGREB</v>
          </cell>
          <cell r="R83">
            <v>3207102</v>
          </cell>
          <cell r="S83" t="str">
            <v>47824453867</v>
          </cell>
          <cell r="T83" t="str">
            <v>Sveučilišta i veleučilišta u Republici Hrvatskoj</v>
          </cell>
          <cell r="U83" t="str">
            <v>08006</v>
          </cell>
        </row>
        <row r="84">
          <cell r="L84" t="str">
            <v>1781SVEUČILIŠTE U ZAGREBU - PRIRODOSLOVNO-MATEMATIČKI FAKULTET</v>
          </cell>
          <cell r="M84">
            <v>1781</v>
          </cell>
          <cell r="N84" t="str">
            <v>SVEUČILIŠTE U ZAGREBU - PRIRODOSLOVNO-MATEMATIČKI FAKULTET</v>
          </cell>
          <cell r="O84" t="str">
            <v>SVEUČILIŠTE U ZAGREBU</v>
          </cell>
          <cell r="P84" t="str">
            <v>HORVATOVAC 102A</v>
          </cell>
          <cell r="Q84" t="str">
            <v>10000 ZAGREB</v>
          </cell>
          <cell r="R84">
            <v>3270149</v>
          </cell>
          <cell r="S84" t="str">
            <v>28163265527</v>
          </cell>
          <cell r="T84" t="str">
            <v>Sveučilišta i veleučilišta u Republici Hrvatskoj</v>
          </cell>
          <cell r="U84" t="str">
            <v>08006</v>
          </cell>
        </row>
        <row r="85">
          <cell r="L85" t="str">
            <v>2047SVEUČILIŠTE U ZAGREBU - RUDARSKO-GEOLOŠKO-NAFTNI FAKULTET</v>
          </cell>
          <cell r="M85">
            <v>2047</v>
          </cell>
          <cell r="N85" t="str">
            <v>SVEUČILIŠTE U ZAGREBU - RUDARSKO-GEOLOŠKO-NAFTNI FAKULTET</v>
          </cell>
          <cell r="O85" t="str">
            <v>SVEUČILIŠTE U ZAGREBU</v>
          </cell>
          <cell r="P85" t="str">
            <v>PIEROTTIJEVA 6</v>
          </cell>
          <cell r="Q85" t="str">
            <v>10000 ZAGREB</v>
          </cell>
          <cell r="R85">
            <v>3207005</v>
          </cell>
          <cell r="S85" t="str">
            <v>99534693762</v>
          </cell>
          <cell r="T85" t="str">
            <v>Sveučilišta i veleučilišta u Republici Hrvatskoj</v>
          </cell>
          <cell r="U85" t="str">
            <v>08006</v>
          </cell>
        </row>
        <row r="86">
          <cell r="L86" t="str">
            <v>1870SVEUČILIŠTE U ZAGREBU - STOMATOLOŠKI FAKULTET</v>
          </cell>
          <cell r="M86">
            <v>1870</v>
          </cell>
          <cell r="N86" t="str">
            <v>SVEUČILIŠTE U ZAGREBU - STOMATOLOŠKI FAKULTET</v>
          </cell>
          <cell r="O86" t="str">
            <v>SVEUČILIŠTE U ZAGREBU</v>
          </cell>
          <cell r="P86" t="str">
            <v>GUNDULIĆEVA 5</v>
          </cell>
          <cell r="Q86" t="str">
            <v>10000 ZAGREB</v>
          </cell>
          <cell r="R86">
            <v>3204995</v>
          </cell>
          <cell r="S86" t="str">
            <v>70221464726</v>
          </cell>
          <cell r="T86" t="str">
            <v>Sveučilišta i veleučilišta u Republici Hrvatskoj</v>
          </cell>
          <cell r="U86" t="str">
            <v>08006</v>
          </cell>
        </row>
        <row r="87">
          <cell r="L87" t="str">
            <v>1896SVEUČILIŠTE U ZAGREBU - FAKULTET ŠUMARSTVA I DRVNE TEHNOLOGIJE</v>
          </cell>
          <cell r="M87">
            <v>1896</v>
          </cell>
          <cell r="N87" t="str">
            <v>SVEUČILIŠTE U ZAGREBU - FAKULTET ŠUMARSTVA I DRVNE TEHNOLOGIJE</v>
          </cell>
          <cell r="O87" t="str">
            <v>SVEUČILIŠTE U ZAGREBU</v>
          </cell>
          <cell r="P87" t="str">
            <v>SVETOŠIMUNSKA CESTA 25</v>
          </cell>
          <cell r="Q87" t="str">
            <v>10000 ZAGREB</v>
          </cell>
          <cell r="R87">
            <v>3281485</v>
          </cell>
          <cell r="S87" t="str">
            <v>07699719217</v>
          </cell>
          <cell r="T87" t="str">
            <v>Sveučilišta i veleučilišta u Republici Hrvatskoj</v>
          </cell>
          <cell r="U87" t="str">
            <v>08006</v>
          </cell>
        </row>
        <row r="88">
          <cell r="L88" t="str">
            <v>1804SVEUČILIŠTE U ZAGREBU - TEKSTILNO TEHNOLOŠKI FAKULTET</v>
          </cell>
          <cell r="M88">
            <v>1804</v>
          </cell>
          <cell r="N88" t="str">
            <v>SVEUČILIŠTE U ZAGREBU - TEKSTILNO TEHNOLOŠKI FAKULTET</v>
          </cell>
          <cell r="O88" t="str">
            <v>SVEUČILIŠTE U ZAGREBU</v>
          </cell>
          <cell r="P88" t="str">
            <v>PRILAZ BARUNA FILIPOVIĆA 28A</v>
          </cell>
          <cell r="Q88" t="str">
            <v>10000 ZAGREB</v>
          </cell>
          <cell r="R88">
            <v>3207064</v>
          </cell>
          <cell r="S88" t="str">
            <v>43097527965</v>
          </cell>
          <cell r="T88" t="str">
            <v>Sveučilišta i veleučilišta u Republici Hrvatskoj</v>
          </cell>
          <cell r="U88" t="str">
            <v>08006</v>
          </cell>
        </row>
        <row r="89">
          <cell r="L89" t="str">
            <v>1940SVEUČILIŠTE U ZAGREBU - UČITELJSKI FAKULTET</v>
          </cell>
          <cell r="M89">
            <v>1940</v>
          </cell>
          <cell r="N89" t="str">
            <v>SVEUČILIŠTE U ZAGREBU - UČITELJSKI FAKULTET</v>
          </cell>
          <cell r="O89" t="str">
            <v>SVEUČILIŠTE U ZAGREBU</v>
          </cell>
          <cell r="P89" t="str">
            <v>SAVSKA CESTA 77</v>
          </cell>
          <cell r="Q89" t="str">
            <v>10000 ZAGREB</v>
          </cell>
          <cell r="R89">
            <v>1422545</v>
          </cell>
          <cell r="S89" t="str">
            <v>72226488129</v>
          </cell>
          <cell r="T89" t="str">
            <v>Sveučilišta i veleučilišta u Republici Hrvatskoj</v>
          </cell>
          <cell r="U89" t="str">
            <v>08006</v>
          </cell>
        </row>
        <row r="90">
          <cell r="L90" t="str">
            <v>2022SVEUČILIŠTE U ZAGREBU - VETERINARSKI FAKULTET</v>
          </cell>
          <cell r="M90">
            <v>2022</v>
          </cell>
          <cell r="N90" t="str">
            <v>SVEUČILIŠTE U ZAGREBU - VETERINARSKI FAKULTET</v>
          </cell>
          <cell r="O90" t="str">
            <v>SVEUČILIŠTE U ZAGREBU</v>
          </cell>
          <cell r="P90" t="str">
            <v>HEINZELOVA 55</v>
          </cell>
          <cell r="Q90" t="str">
            <v>10000 ZAGREB</v>
          </cell>
          <cell r="R90">
            <v>3225755</v>
          </cell>
          <cell r="S90" t="str">
            <v>36389528408</v>
          </cell>
          <cell r="T90" t="str">
            <v>Sveučilišta i veleučilišta u Republici Hrvatskoj</v>
          </cell>
          <cell r="U90" t="str">
            <v>08006</v>
          </cell>
        </row>
        <row r="91">
          <cell r="L91" t="str">
            <v>22427TEHNIČKO VELEUČILIŠTE U ZAGREBU</v>
          </cell>
          <cell r="M91">
            <v>22427</v>
          </cell>
          <cell r="N91" t="str">
            <v>TEHNIČKO VELEUČILIŠTE U ZAGREBU</v>
          </cell>
          <cell r="O91" t="str">
            <v>MINISTARSTVO ZNANOSTI I OBRAZOVANJA</v>
          </cell>
          <cell r="P91" t="str">
            <v>VRBIK 8</v>
          </cell>
          <cell r="Q91" t="str">
            <v>10000 ZAGREB</v>
          </cell>
          <cell r="R91">
            <v>1398270</v>
          </cell>
          <cell r="S91" t="str">
            <v>08814003451</v>
          </cell>
          <cell r="T91" t="str">
            <v>Sveučilišta i veleučilišta u Republici Hrvatskoj</v>
          </cell>
          <cell r="U91" t="str">
            <v>08006</v>
          </cell>
        </row>
        <row r="92">
          <cell r="L92" t="str">
            <v>50848VELEUČILIŠTE HRVATSKO ZAGORJE KRAPINA</v>
          </cell>
          <cell r="M92">
            <v>50848</v>
          </cell>
          <cell r="N92" t="str">
            <v>VELEUČILIŠTE HRVATSKO ZAGORJE KRAPINA</v>
          </cell>
          <cell r="O92" t="str">
            <v>MINISTARSTVO ZNANOSTI I OBRAZOVANJA</v>
          </cell>
          <cell r="P92" t="str">
            <v>ŠETALIŠTE HRVATSKOG NARODNOG PREPORODA 6</v>
          </cell>
          <cell r="Q92" t="str">
            <v>49000 KRAPINA</v>
          </cell>
          <cell r="R92">
            <v>2271354</v>
          </cell>
          <cell r="S92" t="str">
            <v>16465214888</v>
          </cell>
          <cell r="T92" t="str">
            <v>Sveučilišta i veleučilišta u Republici Hrvatskoj</v>
          </cell>
          <cell r="U92" t="str">
            <v>08006</v>
          </cell>
        </row>
        <row r="93">
          <cell r="L93" t="str">
            <v>38446VELEUČILIŠTE LAVOSLAV RUŽIČKA U VUKOVARU</v>
          </cell>
          <cell r="M93">
            <v>38446</v>
          </cell>
          <cell r="N93" t="str">
            <v>VELEUČILIŠTE LAVOSLAV RUŽIČKA U VUKOVARU</v>
          </cell>
          <cell r="O93" t="str">
            <v>MINISTARSTVO ZNANOSTI I OBRAZOVANJA</v>
          </cell>
          <cell r="P93" t="str">
            <v>ŽUPANIJSKA 50</v>
          </cell>
          <cell r="Q93" t="str">
            <v>32000 VUKOVAR</v>
          </cell>
          <cell r="R93">
            <v>1970828</v>
          </cell>
          <cell r="S93" t="str">
            <v>21720825730</v>
          </cell>
          <cell r="T93" t="str">
            <v>Sveučilišta i veleučilišta u Republici Hrvatskoj</v>
          </cell>
          <cell r="U93" t="str">
            <v>08006</v>
          </cell>
        </row>
        <row r="94">
          <cell r="L94" t="str">
            <v>38438VELEUČILIŠTE MARKO MARULIĆ U KNINU</v>
          </cell>
          <cell r="M94">
            <v>38438</v>
          </cell>
          <cell r="N94" t="str">
            <v>VELEUČILIŠTE MARKO MARULIĆ U KNINU</v>
          </cell>
          <cell r="O94" t="str">
            <v>MINISTARSTVO ZNANOSTI I OBRAZOVANJA</v>
          </cell>
          <cell r="P94" t="str">
            <v xml:space="preserve">KRALJA PETRA KREŠIMIRA IV 30 </v>
          </cell>
          <cell r="Q94" t="str">
            <v>22300 KNIN</v>
          </cell>
          <cell r="R94">
            <v>1963813</v>
          </cell>
          <cell r="S94" t="str">
            <v>13664089430</v>
          </cell>
          <cell r="T94" t="str">
            <v>Sveučilišta i veleučilišta u Republici Hrvatskoj</v>
          </cell>
          <cell r="U94" t="str">
            <v>08006</v>
          </cell>
        </row>
        <row r="95">
          <cell r="L95" t="str">
            <v>41185VELEUČILIŠTE NIKOLA TESLA U GOSPIĆU</v>
          </cell>
          <cell r="M95">
            <v>41185</v>
          </cell>
          <cell r="N95" t="str">
            <v>VELEUČILIŠTE NIKOLA TESLA U GOSPIĆU</v>
          </cell>
          <cell r="O95" t="str">
            <v>MINISTARSTVO ZNANOSTI I OBRAZOVANJA</v>
          </cell>
          <cell r="P95" t="str">
            <v>ULICA BANA IVANA KARLOVIĆA 16</v>
          </cell>
          <cell r="Q95" t="str">
            <v>53000 GOSPIĆ</v>
          </cell>
          <cell r="R95">
            <v>2103133</v>
          </cell>
          <cell r="S95" t="str">
            <v>42552392522</v>
          </cell>
          <cell r="T95" t="str">
            <v>Sveučilišta i veleučilišta u Republici Hrvatskoj</v>
          </cell>
          <cell r="U95" t="str">
            <v>08006</v>
          </cell>
        </row>
        <row r="96">
          <cell r="L96" t="str">
            <v>21053VELEUČILIŠTE U KARLOVCU</v>
          </cell>
          <cell r="M96">
            <v>21053</v>
          </cell>
          <cell r="N96" t="str">
            <v>VELEUČILIŠTE U KARLOVCU</v>
          </cell>
          <cell r="O96" t="str">
            <v>MINISTARSTVO ZNANOSTI I OBRAZOVANJA</v>
          </cell>
          <cell r="P96" t="str">
            <v>TRG J. J. STROSSMAYERA 9</v>
          </cell>
          <cell r="Q96" t="str">
            <v>47000 KARLOVAC</v>
          </cell>
          <cell r="R96">
            <v>1286030</v>
          </cell>
          <cell r="S96" t="str">
            <v>62820859976</v>
          </cell>
          <cell r="T96" t="str">
            <v>Sveučilišta i veleučilišta u Republici Hrvatskoj</v>
          </cell>
          <cell r="U96" t="str">
            <v>08006</v>
          </cell>
        </row>
        <row r="97">
          <cell r="L97" t="str">
            <v>22398VELEUČILIŠTE U POŽEGI</v>
          </cell>
          <cell r="M97">
            <v>22398</v>
          </cell>
          <cell r="N97" t="str">
            <v>VELEUČILIŠTE U POŽEGI</v>
          </cell>
          <cell r="O97" t="str">
            <v>MINISTARSTVO ZNANOSTI I OBRAZOVANJA</v>
          </cell>
          <cell r="P97" t="str">
            <v>VUKOVARSKA 17</v>
          </cell>
          <cell r="Q97" t="str">
            <v>34000 POŽEGA</v>
          </cell>
          <cell r="R97">
            <v>1395521</v>
          </cell>
          <cell r="S97" t="str">
            <v>14821098391</v>
          </cell>
          <cell r="T97" t="str">
            <v>Sveučilišta i veleučilišta u Republici Hrvatskoj</v>
          </cell>
          <cell r="U97" t="str">
            <v>08006</v>
          </cell>
        </row>
        <row r="98">
          <cell r="L98" t="str">
            <v>22494VELEUČILIŠTE U RIJECI</v>
          </cell>
          <cell r="M98">
            <v>22494</v>
          </cell>
          <cell r="N98" t="str">
            <v>VELEUČILIŠTE U RIJECI</v>
          </cell>
          <cell r="O98" t="str">
            <v>MINISTARSTVO ZNANOSTI I OBRAZOVANJA</v>
          </cell>
          <cell r="P98" t="str">
            <v>TRPIMIROVA 2/V</v>
          </cell>
          <cell r="Q98" t="str">
            <v>51000 RIJEKA</v>
          </cell>
          <cell r="R98">
            <v>1387332</v>
          </cell>
          <cell r="S98" t="str">
            <v>29573709870</v>
          </cell>
          <cell r="T98" t="str">
            <v>Sveučilišta i veleučilišta u Republici Hrvatskoj</v>
          </cell>
          <cell r="U98" t="str">
            <v>08006</v>
          </cell>
        </row>
        <row r="99">
          <cell r="L99" t="str">
            <v>22824VELEUČILIŠTE U ŠIBENIKU</v>
          </cell>
          <cell r="M99">
            <v>22824</v>
          </cell>
          <cell r="N99" t="str">
            <v>VELEUČILIŠTE U ŠIBENIKU</v>
          </cell>
          <cell r="O99" t="str">
            <v>MINISTARSTVO ZNANOSTI I OBRAZOVANJA</v>
          </cell>
          <cell r="P99" t="str">
            <v>TRG A. HEBRANGA BR. 11</v>
          </cell>
          <cell r="Q99" t="str">
            <v>22000 ŠIBENIK</v>
          </cell>
          <cell r="R99">
            <v>2100673</v>
          </cell>
          <cell r="S99" t="str">
            <v>61727512157</v>
          </cell>
          <cell r="T99" t="str">
            <v>Sveučilišta i veleučilišta u Republici Hrvatskoj</v>
          </cell>
          <cell r="U99" t="str">
            <v>08006</v>
          </cell>
        </row>
        <row r="100">
          <cell r="L100" t="str">
            <v>42993VELEUČILIŠTE U VIROVITICI</v>
          </cell>
          <cell r="M100">
            <v>42993</v>
          </cell>
          <cell r="N100" t="str">
            <v>VELEUČILIŠTE U VIROVITICI</v>
          </cell>
          <cell r="O100" t="str">
            <v>MINISTARSTVO ZNANOSTI I OBRAZOVANJA</v>
          </cell>
          <cell r="P100" t="str">
            <v>ULICA MATIJE GUPCA 78</v>
          </cell>
          <cell r="Q100" t="str">
            <v>33000 VIROVITICA</v>
          </cell>
          <cell r="R100">
            <v>2282208</v>
          </cell>
          <cell r="S100" t="str">
            <v>46576407858</v>
          </cell>
          <cell r="T100" t="str">
            <v>Sveučilišta i veleučilišta u Republici Hrvatskoj</v>
          </cell>
          <cell r="U100" t="str">
            <v>08006</v>
          </cell>
        </row>
        <row r="101">
          <cell r="L101" t="str">
            <v>22371VISOKO GOSPODARSKO UČILIŠTE U KRIŽEVCIMA</v>
          </cell>
          <cell r="M101">
            <v>22371</v>
          </cell>
          <cell r="N101" t="str">
            <v>VISOKO GOSPODARSKO UČILIŠTE U KRIŽEVCIMA</v>
          </cell>
          <cell r="O101" t="str">
            <v>MINISTARSTVO ZNANOSTI I OBRAZOVANJA</v>
          </cell>
          <cell r="P101" t="str">
            <v>MILISLAVA DEMERCA 1</v>
          </cell>
          <cell r="Q101" t="str">
            <v>48260 KRIŽEVCI</v>
          </cell>
          <cell r="R101">
            <v>1411942</v>
          </cell>
          <cell r="S101" t="str">
            <v>75480885018</v>
          </cell>
          <cell r="T101" t="str">
            <v>Sveučilišta i veleučilišta u Republici Hrvatskoj</v>
          </cell>
          <cell r="U101" t="str">
            <v>08006</v>
          </cell>
        </row>
        <row r="102">
          <cell r="L102" t="str">
            <v>22832ZDRAVSTVENO VELEUČILIŠTE</v>
          </cell>
          <cell r="M102">
            <v>22832</v>
          </cell>
          <cell r="N102" t="str">
            <v>ZDRAVSTVENO VELEUČILIŠTE</v>
          </cell>
          <cell r="O102" t="str">
            <v>MINISTARSTVO ZNANOSTI I OBRAZOVANJA</v>
          </cell>
          <cell r="P102" t="str">
            <v>MLINARSKA CESTA 38</v>
          </cell>
          <cell r="Q102" t="str">
            <v>10000 ZAGREB</v>
          </cell>
          <cell r="R102">
            <v>1274597</v>
          </cell>
          <cell r="S102" t="str">
            <v>50952646228</v>
          </cell>
          <cell r="T102" t="str">
            <v>Sveučilišta i veleučilišta u Republici Hrvatskoj</v>
          </cell>
          <cell r="U102" t="str">
            <v>08006</v>
          </cell>
        </row>
        <row r="103">
          <cell r="L103" t="str">
            <v>2918EKONOMSKI INSTITUT ZAGREB</v>
          </cell>
          <cell r="M103">
            <v>2918</v>
          </cell>
          <cell r="N103" t="str">
            <v>EKONOMSKI INSTITUT ZAGREB</v>
          </cell>
          <cell r="O103" t="str">
            <v>MINISTARSTVO ZNANOSTI I OBRAZOVANJA</v>
          </cell>
          <cell r="P103" t="str">
            <v>TRG JOHNA KENNEDYA 7</v>
          </cell>
          <cell r="Q103" t="str">
            <v>10000 ZAGREB</v>
          </cell>
          <cell r="R103">
            <v>3219925</v>
          </cell>
          <cell r="S103" t="str">
            <v>70925432731</v>
          </cell>
          <cell r="T103" t="str">
            <v>Javni instituti</v>
          </cell>
          <cell r="U103" t="str">
            <v>08008</v>
          </cell>
        </row>
        <row r="104">
          <cell r="L104" t="str">
            <v xml:space="preserve">22525HRVATSKI GEOLOŠKI INSTITUT </v>
          </cell>
          <cell r="M104">
            <v>22525</v>
          </cell>
          <cell r="N104" t="str">
            <v xml:space="preserve">HRVATSKI GEOLOŠKI INSTITUT </v>
          </cell>
          <cell r="O104" t="str">
            <v>MINISTARSTVO ZNANOSTI I OBRAZOVANJA</v>
          </cell>
          <cell r="P104" t="str">
            <v>SACHSOVA 2</v>
          </cell>
          <cell r="Q104" t="str">
            <v>10000 ZAGREB</v>
          </cell>
          <cell r="R104">
            <v>3219518</v>
          </cell>
          <cell r="S104" t="str">
            <v>43733878539</v>
          </cell>
          <cell r="T104" t="str">
            <v>Javni instituti</v>
          </cell>
          <cell r="U104" t="str">
            <v>08008</v>
          </cell>
        </row>
        <row r="105">
          <cell r="L105" t="str">
            <v>2934HRVATSKI INSTITUT ZA POVIJEST</v>
          </cell>
          <cell r="M105">
            <v>2934</v>
          </cell>
          <cell r="N105" t="str">
            <v>HRVATSKI INSTITUT ZA POVIJEST</v>
          </cell>
          <cell r="O105" t="str">
            <v>MINISTARSTVO ZNANOSTI I OBRAZOVANJA</v>
          </cell>
          <cell r="P105" t="str">
            <v>OPATIČKA 10</v>
          </cell>
          <cell r="Q105" t="str">
            <v>10000 ZAGREB</v>
          </cell>
          <cell r="R105">
            <v>3207153</v>
          </cell>
          <cell r="S105" t="str">
            <v>23296176633</v>
          </cell>
          <cell r="T105" t="str">
            <v>Javni instituti</v>
          </cell>
          <cell r="U105" t="str">
            <v>08008</v>
          </cell>
        </row>
        <row r="106">
          <cell r="L106" t="str">
            <v>2967HRVATSKI ŠUMARSKI INSTITUT</v>
          </cell>
          <cell r="M106">
            <v>2967</v>
          </cell>
          <cell r="N106" t="str">
            <v>HRVATSKI ŠUMARSKI INSTITUT</v>
          </cell>
          <cell r="O106" t="str">
            <v>MINISTARSTVO ZNANOSTI I OBRAZOVANJA</v>
          </cell>
          <cell r="P106" t="str">
            <v>CVJETNO NASELJE 41</v>
          </cell>
          <cell r="Q106" t="str">
            <v>10450 JASTREBARSKO</v>
          </cell>
          <cell r="R106">
            <v>3115879</v>
          </cell>
          <cell r="S106" t="str">
            <v>13579392023</v>
          </cell>
          <cell r="T106" t="str">
            <v>Javni instituti</v>
          </cell>
          <cell r="U106" t="str">
            <v>08008</v>
          </cell>
        </row>
        <row r="107">
          <cell r="L107" t="str">
            <v>2983HRVATSKI VETERINARSKI INSTITUT</v>
          </cell>
          <cell r="M107">
            <v>2983</v>
          </cell>
          <cell r="N107" t="str">
            <v>HRVATSKI VETERINARSKI INSTITUT</v>
          </cell>
          <cell r="O107" t="str">
            <v>MINISTARSTVO ZNANOSTI I OBRAZOVANJA</v>
          </cell>
          <cell r="P107" t="str">
            <v>SAVSKA CESTA 143</v>
          </cell>
          <cell r="Q107" t="str">
            <v>10000 ZAGREB</v>
          </cell>
          <cell r="R107">
            <v>3274098</v>
          </cell>
          <cell r="S107" t="str">
            <v>29059177553</v>
          </cell>
          <cell r="T107" t="str">
            <v>Javni instituti</v>
          </cell>
          <cell r="U107" t="str">
            <v>08008</v>
          </cell>
        </row>
        <row r="108">
          <cell r="L108" t="str">
            <v>3105INSTITUT DRUŠTVENIH ZNANOSTI IVO PILAR</v>
          </cell>
          <cell r="M108">
            <v>3105</v>
          </cell>
          <cell r="N108" t="str">
            <v>INSTITUT DRUŠTVENIH ZNANOSTI IVO PILAR</v>
          </cell>
          <cell r="O108" t="str">
            <v>MINISTARSTVO ZNANOSTI I OBRAZOVANJA</v>
          </cell>
          <cell r="P108" t="str">
            <v>MARULIĆEV TRG 19/I</v>
          </cell>
          <cell r="Q108" t="str">
            <v>10000 ZAGREB</v>
          </cell>
          <cell r="R108">
            <v>3793028</v>
          </cell>
          <cell r="S108" t="str">
            <v>32840574937</v>
          </cell>
          <cell r="T108" t="str">
            <v>Javni instituti</v>
          </cell>
          <cell r="U108" t="str">
            <v>08008</v>
          </cell>
        </row>
        <row r="109">
          <cell r="L109" t="str">
            <v>3041INSTITUT RUĐER BOŠKOVIĆ</v>
          </cell>
          <cell r="M109">
            <v>3041</v>
          </cell>
          <cell r="N109" t="str">
            <v>INSTITUT RUĐER BOŠKOVIĆ</v>
          </cell>
          <cell r="O109" t="str">
            <v>MINISTARSTVO ZNANOSTI I OBRAZOVANJA</v>
          </cell>
          <cell r="P109" t="str">
            <v>BIJENIČKA CESTA 46</v>
          </cell>
          <cell r="Q109" t="str">
            <v>10000 ZAGREB</v>
          </cell>
          <cell r="R109">
            <v>3270289</v>
          </cell>
          <cell r="S109" t="str">
            <v>69715301002</v>
          </cell>
          <cell r="T109" t="str">
            <v>Javni instituti</v>
          </cell>
          <cell r="U109" t="str">
            <v>08008</v>
          </cell>
        </row>
        <row r="110">
          <cell r="L110" t="str">
            <v>3113INSTITUT ZA ANTROPOLOGIJU</v>
          </cell>
          <cell r="M110">
            <v>3113</v>
          </cell>
          <cell r="N110" t="str">
            <v>INSTITUT ZA ANTROPOLOGIJU</v>
          </cell>
          <cell r="O110" t="str">
            <v>MINISTARSTVO ZNANOSTI I OBRAZOVANJA</v>
          </cell>
          <cell r="P110" t="str">
            <v>LJUDEVITA GAJA 32</v>
          </cell>
          <cell r="Q110" t="str">
            <v>10000 ZAGREB</v>
          </cell>
          <cell r="R110">
            <v>3817121</v>
          </cell>
          <cell r="S110" t="str">
            <v>93710699926</v>
          </cell>
          <cell r="T110" t="str">
            <v>Javni instituti</v>
          </cell>
          <cell r="U110" t="str">
            <v>08008</v>
          </cell>
        </row>
        <row r="111">
          <cell r="L111" t="str">
            <v>3121INSTITUT ZA ARHEOLOGIJU</v>
          </cell>
          <cell r="M111">
            <v>3121</v>
          </cell>
          <cell r="N111" t="str">
            <v>INSTITUT ZA ARHEOLOGIJU</v>
          </cell>
          <cell r="O111" t="str">
            <v>MINISTARSTVO ZNANOSTI I OBRAZOVANJA</v>
          </cell>
          <cell r="P111" t="str">
            <v>LJUDEVITA GAJA 32</v>
          </cell>
          <cell r="Q111" t="str">
            <v>10000 ZAGREB</v>
          </cell>
          <cell r="R111">
            <v>3937658</v>
          </cell>
          <cell r="S111" t="str">
            <v>59796264563</v>
          </cell>
          <cell r="T111" t="str">
            <v>Javni instituti</v>
          </cell>
          <cell r="U111" t="str">
            <v>08008</v>
          </cell>
        </row>
        <row r="112">
          <cell r="L112" t="str">
            <v>3050INSTITUT ZA DRUŠTVENA ISTRAŽIVANJA</v>
          </cell>
          <cell r="M112">
            <v>3050</v>
          </cell>
          <cell r="N112" t="str">
            <v>INSTITUT ZA DRUŠTVENA ISTRAŽIVANJA</v>
          </cell>
          <cell r="O112" t="str">
            <v>MINISTARSTVO ZNANOSTI I OBRAZOVANJA</v>
          </cell>
          <cell r="P112" t="str">
            <v>AMRUŠEVA 11</v>
          </cell>
          <cell r="Q112" t="str">
            <v>10000 ZAGREB</v>
          </cell>
          <cell r="R112">
            <v>3205118</v>
          </cell>
          <cell r="S112" t="str">
            <v>11986338639</v>
          </cell>
          <cell r="T112" t="str">
            <v>Javni instituti</v>
          </cell>
          <cell r="U112" t="str">
            <v>08008</v>
          </cell>
        </row>
        <row r="113">
          <cell r="L113" t="str">
            <v>3084INSTITUT ZA ETNOLOGIJU I FOLKLORISTIKU</v>
          </cell>
          <cell r="M113">
            <v>3084</v>
          </cell>
          <cell r="N113" t="str">
            <v>INSTITUT ZA ETNOLOGIJU I FOLKLORISTIKU</v>
          </cell>
          <cell r="O113" t="str">
            <v>MINISTARSTVO ZNANOSTI I OBRAZOVANJA</v>
          </cell>
          <cell r="P113" t="str">
            <v>ŠUBIĆEVA 42</v>
          </cell>
          <cell r="Q113" t="str">
            <v>10000 ZAGREB</v>
          </cell>
          <cell r="R113">
            <v>3724042</v>
          </cell>
          <cell r="S113" t="str">
            <v>37781872772</v>
          </cell>
          <cell r="T113" t="str">
            <v>Javni instituti</v>
          </cell>
          <cell r="U113" t="str">
            <v>08008</v>
          </cell>
        </row>
        <row r="114">
          <cell r="L114" t="str">
            <v>3092INSTITUT ZA FILOZOFIJU</v>
          </cell>
          <cell r="M114">
            <v>3092</v>
          </cell>
          <cell r="N114" t="str">
            <v>INSTITUT ZA FILOZOFIJU</v>
          </cell>
          <cell r="O114" t="str">
            <v>MINISTARSTVO ZNANOSTI I OBRAZOVANJA</v>
          </cell>
          <cell r="P114" t="str">
            <v>UL. GRADA VUKOVARA 54</v>
          </cell>
          <cell r="Q114" t="str">
            <v>10000 ZAGREB</v>
          </cell>
          <cell r="R114">
            <v>3772047</v>
          </cell>
          <cell r="S114" t="str">
            <v>43667021597</v>
          </cell>
          <cell r="T114" t="str">
            <v>Javni instituti</v>
          </cell>
          <cell r="U114" t="str">
            <v>08008</v>
          </cell>
        </row>
        <row r="115">
          <cell r="L115" t="str">
            <v>2975INSTITUT ZA FIZIKU</v>
          </cell>
          <cell r="M115">
            <v>2975</v>
          </cell>
          <cell r="N115" t="str">
            <v>INSTITUT ZA FIZIKU</v>
          </cell>
          <cell r="O115" t="str">
            <v>MINISTARSTVO ZNANOSTI I OBRAZOVANJA</v>
          </cell>
          <cell r="P115" t="str">
            <v>BIJENIČKA CESTA 46</v>
          </cell>
          <cell r="Q115" t="str">
            <v>10000 ZAGREB</v>
          </cell>
          <cell r="R115">
            <v>3270424</v>
          </cell>
          <cell r="S115" t="str">
            <v>77627408491</v>
          </cell>
          <cell r="T115" t="str">
            <v>Javni instituti</v>
          </cell>
          <cell r="U115" t="str">
            <v>08008</v>
          </cell>
        </row>
        <row r="116">
          <cell r="L116" t="str">
            <v>21061INSTITUT ZA HRVATSKI JEZIK I JEZIKOSLOVLJE</v>
          </cell>
          <cell r="M116">
            <v>21061</v>
          </cell>
          <cell r="N116" t="str">
            <v>INSTITUT ZA HRVATSKI JEZIK I JEZIKOSLOVLJE</v>
          </cell>
          <cell r="O116" t="str">
            <v>MINISTARSTVO ZNANOSTI I OBRAZOVANJA</v>
          </cell>
          <cell r="P116" t="str">
            <v>REPUBLIKE AUSTRIJE 16</v>
          </cell>
          <cell r="Q116" t="str">
            <v>10000 ZAGREB</v>
          </cell>
          <cell r="R116">
            <v>1259571</v>
          </cell>
          <cell r="S116" t="str">
            <v>12268324202</v>
          </cell>
          <cell r="T116" t="str">
            <v>Javni instituti</v>
          </cell>
          <cell r="U116" t="str">
            <v>08008</v>
          </cell>
        </row>
        <row r="117">
          <cell r="L117" t="str">
            <v>3025INSTITUT ZA JADRANSKE KULTURE I MELIORACIJU KRŠA</v>
          </cell>
          <cell r="M117">
            <v>3025</v>
          </cell>
          <cell r="N117" t="str">
            <v>INSTITUT ZA JADRANSKE KULTURE I MELIORACIJU KRŠA</v>
          </cell>
          <cell r="O117" t="str">
            <v>MINISTARSTVO ZNANOSTI I OBRAZOVANJA</v>
          </cell>
          <cell r="P117" t="str">
            <v>PUT DUILOVA 11</v>
          </cell>
          <cell r="Q117" t="str">
            <v>21000 SPLIT</v>
          </cell>
          <cell r="R117">
            <v>3140792</v>
          </cell>
          <cell r="S117" t="str">
            <v>90884993104</v>
          </cell>
          <cell r="T117" t="str">
            <v>Javni instituti</v>
          </cell>
          <cell r="U117" t="str">
            <v>08008</v>
          </cell>
        </row>
        <row r="118">
          <cell r="L118" t="str">
            <v>23286INSTITUT ZA JAVNE FINANCIJE</v>
          </cell>
          <cell r="M118">
            <v>23286</v>
          </cell>
          <cell r="N118" t="str">
            <v>INSTITUT ZA JAVNE FINANCIJE</v>
          </cell>
          <cell r="O118" t="str">
            <v>MINISTARSTVO ZNANOSTI I OBRAZOVANJA</v>
          </cell>
          <cell r="P118" t="str">
            <v>SMIČIKLASOVA 21</v>
          </cell>
          <cell r="Q118" t="str">
            <v>10000 ZAGREB</v>
          </cell>
          <cell r="R118">
            <v>3226344</v>
          </cell>
          <cell r="S118" t="str">
            <v>41683226810</v>
          </cell>
          <cell r="T118" t="str">
            <v>Javni instituti</v>
          </cell>
          <cell r="U118" t="str">
            <v>08008</v>
          </cell>
        </row>
        <row r="119">
          <cell r="L119" t="str">
            <v>2959INSTITUT ZA MEDICINSKA ISTRAŽIVANJA I MEDICINU RADA</v>
          </cell>
          <cell r="M119">
            <v>2959</v>
          </cell>
          <cell r="N119" t="str">
            <v>INSTITUT ZA MEDICINSKA ISTRAŽIVANJA I MEDICINU RADA</v>
          </cell>
          <cell r="O119" t="str">
            <v>MINISTARSTVO ZNANOSTI I OBRAZOVANJA</v>
          </cell>
          <cell r="P119" t="str">
            <v>KSAVERSKA CESTA 2</v>
          </cell>
          <cell r="Q119" t="str">
            <v>10000 ZAGREB</v>
          </cell>
          <cell r="R119">
            <v>3270475</v>
          </cell>
          <cell r="S119" t="str">
            <v>30285469659</v>
          </cell>
          <cell r="T119" t="str">
            <v>Javni instituti</v>
          </cell>
          <cell r="U119" t="str">
            <v>08008</v>
          </cell>
        </row>
        <row r="120">
          <cell r="L120" t="str">
            <v>3009INSTITUT ZA MIGRACIJE I NARODNOSTI</v>
          </cell>
          <cell r="M120">
            <v>3009</v>
          </cell>
          <cell r="N120" t="str">
            <v>INSTITUT ZA MIGRACIJE I NARODNOSTI</v>
          </cell>
          <cell r="O120" t="str">
            <v>MINISTARSTVO ZNANOSTI I OBRAZOVANJA</v>
          </cell>
          <cell r="P120" t="str">
            <v>TRG STJEPANA RADIĆA 3</v>
          </cell>
          <cell r="Q120" t="str">
            <v>10000 ZAGREB</v>
          </cell>
          <cell r="R120">
            <v>3287572</v>
          </cell>
          <cell r="S120" t="str">
            <v>80265403319</v>
          </cell>
          <cell r="T120" t="str">
            <v>Javni instituti</v>
          </cell>
          <cell r="U120" t="str">
            <v>08008</v>
          </cell>
        </row>
        <row r="121">
          <cell r="L121" t="str">
            <v>2900INSTITUT ZA OCEANOGRAFIJU I RIBARSTVO</v>
          </cell>
          <cell r="M121">
            <v>2900</v>
          </cell>
          <cell r="N121" t="str">
            <v>INSTITUT ZA OCEANOGRAFIJU I RIBARSTVO</v>
          </cell>
          <cell r="O121" t="str">
            <v>MINISTARSTVO ZNANOSTI I OBRAZOVANJA</v>
          </cell>
          <cell r="P121" t="str">
            <v>ŠETALIŠTE I. MEŠTROVIĆA 63</v>
          </cell>
          <cell r="Q121" t="str">
            <v>21000 SPLIT</v>
          </cell>
          <cell r="R121">
            <v>3118355</v>
          </cell>
          <cell r="S121" t="str">
            <v>86235185568</v>
          </cell>
          <cell r="T121" t="str">
            <v>Javni instituti</v>
          </cell>
          <cell r="U121" t="str">
            <v>08008</v>
          </cell>
        </row>
        <row r="122">
          <cell r="L122" t="str">
            <v>3076INSTITUT ZA POLJOPRIVREDU I TURIZAM</v>
          </cell>
          <cell r="M122">
            <v>3076</v>
          </cell>
          <cell r="N122" t="str">
            <v>INSTITUT ZA POLJOPRIVREDU I TURIZAM</v>
          </cell>
          <cell r="O122" t="str">
            <v>MINISTARSTVO ZNANOSTI I OBRAZOVANJA</v>
          </cell>
          <cell r="P122" t="str">
            <v>CARLA HUGUESA 8</v>
          </cell>
          <cell r="Q122" t="str">
            <v>52440 POREČ</v>
          </cell>
          <cell r="R122">
            <v>3421031</v>
          </cell>
          <cell r="S122" t="str">
            <v>03850982961</v>
          </cell>
          <cell r="T122" t="str">
            <v>Javni instituti</v>
          </cell>
          <cell r="U122" t="str">
            <v>08008</v>
          </cell>
        </row>
        <row r="123">
          <cell r="L123" t="str">
            <v>2942INSTITUT ZA POVIJEST UMJETNOSTI</v>
          </cell>
          <cell r="M123">
            <v>2942</v>
          </cell>
          <cell r="N123" t="str">
            <v>INSTITUT ZA POVIJEST UMJETNOSTI</v>
          </cell>
          <cell r="O123" t="str">
            <v>MINISTARSTVO ZNANOSTI I OBRAZOVANJA</v>
          </cell>
          <cell r="P123" t="str">
            <v>ULICA GRADA VUKOVARA 68</v>
          </cell>
          <cell r="Q123" t="str">
            <v>10000 ZAGREB</v>
          </cell>
          <cell r="R123">
            <v>1339958</v>
          </cell>
          <cell r="S123" t="str">
            <v>59451980348</v>
          </cell>
          <cell r="T123" t="str">
            <v>Javni instituti</v>
          </cell>
          <cell r="U123" t="str">
            <v>08008</v>
          </cell>
        </row>
        <row r="124">
          <cell r="L124" t="str">
            <v>22621INSTITUT ZA RAZVOJ I MEĐUNARODNE ODNOSE</v>
          </cell>
          <cell r="M124">
            <v>22621</v>
          </cell>
          <cell r="N124" t="str">
            <v>INSTITUT ZA RAZVOJ I MEĐUNARODNE ODNOSE</v>
          </cell>
          <cell r="O124" t="str">
            <v>MINISTARSTVO ZNANOSTI I OBRAZOVANJA</v>
          </cell>
          <cell r="P124" t="str">
            <v>LJ. F. VUKOTINOVIĆA 2</v>
          </cell>
          <cell r="Q124" t="str">
            <v>10000 ZAGREB</v>
          </cell>
          <cell r="R124">
            <v>3205177</v>
          </cell>
          <cell r="S124" t="str">
            <v>31120185175</v>
          </cell>
          <cell r="T124" t="str">
            <v>Javni instituti</v>
          </cell>
          <cell r="U124" t="str">
            <v>08008</v>
          </cell>
        </row>
        <row r="125">
          <cell r="L125" t="str">
            <v>3068INSTITUT ZA TURIZAM</v>
          </cell>
          <cell r="M125">
            <v>3068</v>
          </cell>
          <cell r="N125" t="str">
            <v>INSTITUT ZA TURIZAM</v>
          </cell>
          <cell r="O125" t="str">
            <v>MINISTARSTVO ZNANOSTI I OBRAZOVANJA</v>
          </cell>
          <cell r="P125" t="str">
            <v>VRHOVEC 5</v>
          </cell>
          <cell r="Q125" t="str">
            <v>10000 ZAGREB</v>
          </cell>
          <cell r="R125">
            <v>3208001</v>
          </cell>
          <cell r="S125" t="str">
            <v>10264179101</v>
          </cell>
          <cell r="T125" t="str">
            <v>Javni instituti</v>
          </cell>
          <cell r="U125" t="str">
            <v>08008</v>
          </cell>
        </row>
        <row r="126">
          <cell r="L126" t="str">
            <v>2991POLJOPRIVREDNI INSTITUT OSIJEK</v>
          </cell>
          <cell r="M126">
            <v>2991</v>
          </cell>
          <cell r="N126" t="str">
            <v>POLJOPRIVREDNI INSTITUT OSIJEK</v>
          </cell>
          <cell r="O126" t="str">
            <v>MINISTARSTVO ZNANOSTI I OBRAZOVANJA</v>
          </cell>
          <cell r="P126" t="str">
            <v>JUŽNO PREDGRAĐE 17</v>
          </cell>
          <cell r="Q126" t="str">
            <v>31000 OSIJEK</v>
          </cell>
          <cell r="R126">
            <v>3058239</v>
          </cell>
          <cell r="S126" t="str">
            <v>03665720049</v>
          </cell>
          <cell r="T126" t="str">
            <v>Javni instituti</v>
          </cell>
          <cell r="U126" t="str">
            <v>08008</v>
          </cell>
        </row>
        <row r="127">
          <cell r="L127" t="str">
            <v>21070STAROSLAVENSKI INSTITUT</v>
          </cell>
          <cell r="M127">
            <v>21070</v>
          </cell>
          <cell r="N127" t="str">
            <v>STAROSLAVENSKI INSTITUT</v>
          </cell>
          <cell r="O127" t="str">
            <v>MINISTARSTVO ZNANOSTI I OBRAZOVANJA</v>
          </cell>
          <cell r="P127" t="str">
            <v>DEMETROVA 11</v>
          </cell>
          <cell r="Q127" t="str">
            <v>10000 ZAGREB</v>
          </cell>
          <cell r="R127">
            <v>1259563</v>
          </cell>
          <cell r="S127" t="str">
            <v>15291942541</v>
          </cell>
          <cell r="T127" t="str">
            <v>Javni instituti</v>
          </cell>
          <cell r="U127" t="str">
            <v>08008</v>
          </cell>
        </row>
        <row r="128">
          <cell r="L128" t="str">
            <v>6179DRŽAVNI ZAVOD ZA INTELEKTUALNO VLASNIŠTVO</v>
          </cell>
          <cell r="M128">
            <v>6179</v>
          </cell>
          <cell r="N128" t="str">
            <v>DRŽAVNI ZAVOD ZA INTELEKTUALNO VLASNIŠTVO</v>
          </cell>
          <cell r="O128" t="str">
            <v>MINISTARSTVO ZNANOSTI I OBRAZOVANJA</v>
          </cell>
          <cell r="P128" t="str">
            <v>ULICA GRADA VUKOVARA 78</v>
          </cell>
          <cell r="Q128" t="str">
            <v>10000 ZAGREB</v>
          </cell>
          <cell r="R128">
            <v>3899772</v>
          </cell>
          <cell r="S128" t="str">
            <v>89755384389</v>
          </cell>
          <cell r="T128" t="str">
            <v>DZIV</v>
          </cell>
          <cell r="U128" t="str">
            <v>08012</v>
          </cell>
        </row>
        <row r="129">
          <cell r="L129" t="str">
            <v>43335AGENCIJA ZA MOBILNOST I PROGRAME EUROPSKE UNIJE</v>
          </cell>
          <cell r="M129">
            <v>43335</v>
          </cell>
          <cell r="N129" t="str">
            <v>AGENCIJA ZA MOBILNOST I PROGRAME EUROPSKE UNIJE</v>
          </cell>
          <cell r="O129" t="str">
            <v>MINISTARSTVO ZNANOSTI I OBRAZOVANJA</v>
          </cell>
          <cell r="P129" t="str">
            <v>FRANKOPANSKA 26</v>
          </cell>
          <cell r="Q129" t="str">
            <v>10000 ZAGREB</v>
          </cell>
          <cell r="R129">
            <v>2298007</v>
          </cell>
          <cell r="S129" t="str">
            <v>25385906011</v>
          </cell>
          <cell r="T129" t="str">
            <v>Agencije</v>
          </cell>
          <cell r="U129" t="str">
            <v>08091</v>
          </cell>
        </row>
        <row r="130">
          <cell r="L130" t="str">
            <v>23962AGENCIJA ZA ODGOJ I OBRAZOVANJE</v>
          </cell>
          <cell r="M130">
            <v>23962</v>
          </cell>
          <cell r="N130" t="str">
            <v>AGENCIJA ZA ODGOJ I OBRAZOVANJE</v>
          </cell>
          <cell r="O130" t="str">
            <v>MINISTARSTVO ZNANOSTI I OBRAZOVANJA</v>
          </cell>
          <cell r="P130" t="str">
            <v>DONJE SVETICE 38</v>
          </cell>
          <cell r="Q130" t="str">
            <v>10000 ZAGREB</v>
          </cell>
          <cell r="R130">
            <v>1778129</v>
          </cell>
          <cell r="S130" t="str">
            <v>72193628411</v>
          </cell>
          <cell r="T130" t="str">
            <v>Agencije</v>
          </cell>
          <cell r="U130" t="str">
            <v>08091</v>
          </cell>
        </row>
        <row r="131">
          <cell r="L131" t="str">
            <v>46173AGENCIJA ZA STRUKOVNO OBRAZOVANJE I OBRAZOVANJE ODRASLIH</v>
          </cell>
          <cell r="M131">
            <v>46173</v>
          </cell>
          <cell r="N131" t="str">
            <v>AGENCIJA ZA STRUKOVNO OBRAZOVANJE I OBRAZOVANJE ODRASLIH</v>
          </cell>
          <cell r="O131" t="str">
            <v>MINISTARSTVO ZNANOSTI I OBRAZOVANJA</v>
          </cell>
          <cell r="P131" t="str">
            <v>GARIĆGRADSKA ULICA 18</v>
          </cell>
          <cell r="Q131" t="str">
            <v>10000 ZAGREB</v>
          </cell>
          <cell r="R131">
            <v>2650029</v>
          </cell>
          <cell r="S131" t="str">
            <v>40719411729</v>
          </cell>
          <cell r="T131" t="str">
            <v>Agencije</v>
          </cell>
          <cell r="U131" t="str">
            <v>08091</v>
          </cell>
        </row>
        <row r="132">
          <cell r="L132" t="str">
            <v>38487AGENCIJA ZA ZNANOST I VISOKO OBRAZOVANJE</v>
          </cell>
          <cell r="M132">
            <v>38487</v>
          </cell>
          <cell r="N132" t="str">
            <v>AGENCIJA ZA ZNANOST I VISOKO OBRAZOVANJE</v>
          </cell>
          <cell r="O132" t="str">
            <v>MINISTARSTVO ZNANOSTI I OBRAZOVANJA</v>
          </cell>
          <cell r="P132" t="str">
            <v>DONJE SVETICE 38/5</v>
          </cell>
          <cell r="Q132" t="str">
            <v>10000 ZAGREB</v>
          </cell>
          <cell r="R132">
            <v>1922548</v>
          </cell>
          <cell r="S132" t="str">
            <v>83358955356</v>
          </cell>
          <cell r="T132" t="str">
            <v>Agencije</v>
          </cell>
          <cell r="U132" t="str">
            <v>08091</v>
          </cell>
        </row>
        <row r="133">
          <cell r="L133" t="str">
            <v>21852HRVATSKA AKADEMSKA I ISTRAŽIVAČKA MREŽA - CARNET</v>
          </cell>
          <cell r="M133">
            <v>21852</v>
          </cell>
          <cell r="N133" t="str">
            <v>HRVATSKA AKADEMSKA I ISTRAŽIVAČKA MREŽA - CARNET</v>
          </cell>
          <cell r="O133" t="str">
            <v>MINISTARSTVO ZNANOSTI I OBRAZOVANJA</v>
          </cell>
          <cell r="P133" t="str">
            <v>JOSIPA MAROHNIĆA 5</v>
          </cell>
          <cell r="Q133" t="str">
            <v>10000 ZAGREB</v>
          </cell>
          <cell r="R133">
            <v>1147820</v>
          </cell>
          <cell r="S133" t="str">
            <v>58101996540</v>
          </cell>
          <cell r="T133" t="str">
            <v>Agencije</v>
          </cell>
          <cell r="U133" t="str">
            <v>08091</v>
          </cell>
        </row>
        <row r="134">
          <cell r="L134" t="str">
            <v>21869LEKSIKOGRAFSKI ZAVOD MIROSLAV KRLEŽA</v>
          </cell>
          <cell r="M134">
            <v>21869</v>
          </cell>
          <cell r="N134" t="str">
            <v>LEKSIKOGRAFSKI ZAVOD MIROSLAV KRLEŽA</v>
          </cell>
          <cell r="O134" t="str">
            <v>MINISTARSTVO ZNANOSTI I OBRAZOVANJA</v>
          </cell>
          <cell r="P134" t="str">
            <v>FRANKOPANSKA 26</v>
          </cell>
          <cell r="Q134" t="str">
            <v>10000 ZAGREB</v>
          </cell>
          <cell r="R134">
            <v>3211622</v>
          </cell>
          <cell r="S134" t="str">
            <v>49894241709</v>
          </cell>
          <cell r="T134" t="str">
            <v>Agencije</v>
          </cell>
          <cell r="U134" t="str">
            <v>08091</v>
          </cell>
        </row>
        <row r="135">
          <cell r="L135" t="str">
            <v>21836NACIONALNA I SVEUČILIŠNA KNJIŽNICA U ZAGREBU</v>
          </cell>
          <cell r="M135">
            <v>21836</v>
          </cell>
          <cell r="N135" t="str">
            <v>NACIONALNA I SVEUČILIŠNA KNJIŽNICA U ZAGREBU</v>
          </cell>
          <cell r="O135" t="str">
            <v>MINISTARSTVO ZNANOSTI I OBRAZOVANJA</v>
          </cell>
          <cell r="P135" t="str">
            <v>HRVATSKE BRATSKE ZAJEDNICE 4</v>
          </cell>
          <cell r="Q135" t="str">
            <v>10000 ZAGREB</v>
          </cell>
          <cell r="R135">
            <v>3205363</v>
          </cell>
          <cell r="S135" t="str">
            <v>84838770814</v>
          </cell>
          <cell r="T135" t="str">
            <v>Agencije</v>
          </cell>
          <cell r="U135" t="str">
            <v>08091</v>
          </cell>
        </row>
        <row r="136">
          <cell r="L136" t="str">
            <v>40883NACIONALNI CENTAR ZA VANJSKO VREDNOVANJE OBRAZOVANJA</v>
          </cell>
          <cell r="M136">
            <v>40883</v>
          </cell>
          <cell r="N136" t="str">
            <v>NACIONALNI CENTAR ZA VANJSKO VREDNOVANJE OBRAZOVANJA</v>
          </cell>
          <cell r="O136" t="str">
            <v>MINISTARSTVO ZNANOSTI I OBRAZOVANJA</v>
          </cell>
          <cell r="P136" t="str">
            <v>ULICA D. TOMLJANOVIĆA GAVRANA 11</v>
          </cell>
          <cell r="Q136" t="str">
            <v>10020 ZAGREB</v>
          </cell>
          <cell r="R136">
            <v>1943430</v>
          </cell>
          <cell r="S136" t="str">
            <v>94833993984</v>
          </cell>
          <cell r="T136" t="str">
            <v>Agencije</v>
          </cell>
          <cell r="U136" t="str">
            <v>08091</v>
          </cell>
        </row>
        <row r="137">
          <cell r="L137" t="str">
            <v>23665SVEUČILIŠTE U ZAGREBU - SVEUČILIŠNI RAČUNSKI CENTAR - SRCE</v>
          </cell>
          <cell r="M137">
            <v>23665</v>
          </cell>
          <cell r="N137" t="str">
            <v>SVEUČILIŠTE U ZAGREBU - SVEUČILIŠNI RAČUNSKI CENTAR - SRCE</v>
          </cell>
          <cell r="O137" t="str">
            <v>MINISTARSTVO ZNANOSTI I OBRAZOVANJA</v>
          </cell>
          <cell r="P137" t="str">
            <v>JOSIPA MAROHNIĆA 5</v>
          </cell>
          <cell r="Q137" t="str">
            <v>10000 ZAGREB</v>
          </cell>
          <cell r="R137">
            <v>3283020</v>
          </cell>
          <cell r="S137" t="str">
            <v>34016189309</v>
          </cell>
          <cell r="T137" t="str">
            <v>Agencije</v>
          </cell>
          <cell r="U137" t="str">
            <v>08091</v>
          </cell>
        </row>
      </sheetData>
      <sheetData sheetId="1"/>
      <sheetData sheetId="2">
        <row r="89">
          <cell r="F89" t="str">
            <v>Komunikacijska oprema</v>
          </cell>
        </row>
        <row r="90">
          <cell r="F90" t="str">
            <v>Oprema za održavanje i zaštitu</v>
          </cell>
        </row>
        <row r="91">
          <cell r="F91" t="str">
            <v>Medicinska i laboratorijska oprema</v>
          </cell>
        </row>
        <row r="92">
          <cell r="F92" t="str">
            <v>Instrumenti, uređaji i strojevi</v>
          </cell>
        </row>
        <row r="93">
          <cell r="F93" t="str">
            <v>Knjige</v>
          </cell>
        </row>
        <row r="94">
          <cell r="F94" t="str">
            <v>Ulaganja u računalne programe</v>
          </cell>
        </row>
        <row r="137">
          <cell r="F137" t="str">
            <v>Oprema za održavanje i zaštitu</v>
          </cell>
        </row>
        <row r="138">
          <cell r="F138" t="str">
            <v>Medicinska i laboratorijska oprema</v>
          </cell>
        </row>
        <row r="139">
          <cell r="F139" t="str">
            <v>Instrumenti, uređaji i strojevi</v>
          </cell>
        </row>
        <row r="140">
          <cell r="F140" t="str">
            <v>Knjige</v>
          </cell>
        </row>
        <row r="141">
          <cell r="F141" t="str">
            <v>Ulaganja u računalne programe</v>
          </cell>
        </row>
      </sheetData>
      <sheetData sheetId="3">
        <row r="13">
          <cell r="F13" t="str">
            <v>Eatris Plus - H2020 Konsolidacija kapaciteta EATRIS -ERIC -a za personaliziranu medicinu</v>
          </cell>
        </row>
        <row r="14">
          <cell r="F14" t="str">
            <v>Erasmus + EPL Europska licenca za propisivanje</v>
          </cell>
        </row>
      </sheetData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8006"/>
      <sheetName val="List2"/>
      <sheetName val="08008"/>
    </sheetNames>
    <sheetDataSet>
      <sheetData sheetId="0"/>
      <sheetData sheetId="1">
        <row r="31">
          <cell r="G31" t="str">
            <v>A679078.649</v>
          </cell>
        </row>
        <row r="32">
          <cell r="G32" t="str">
            <v>A679078.649</v>
          </cell>
        </row>
        <row r="34">
          <cell r="G34" t="str">
            <v>A679078.650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showGridLines="0" topLeftCell="A7" workbookViewId="0">
      <selection activeCell="E18" sqref="E18:E19"/>
    </sheetView>
  </sheetViews>
  <sheetFormatPr defaultColWidth="12.625" defaultRowHeight="15" customHeight="1"/>
  <cols>
    <col min="1" max="1" width="6.625" customWidth="1"/>
    <col min="2" max="2" width="31.625" customWidth="1"/>
    <col min="3" max="3" width="18.75" customWidth="1"/>
    <col min="4" max="4" width="18.5" customWidth="1"/>
    <col min="5" max="5" width="19" customWidth="1"/>
    <col min="6" max="6" width="10" customWidth="1"/>
    <col min="7" max="11" width="10" hidden="1" customWidth="1"/>
    <col min="12" max="12" width="14.375" hidden="1" customWidth="1"/>
    <col min="13" max="13" width="6.875" hidden="1" customWidth="1"/>
    <col min="14" max="14" width="36.125" hidden="1" customWidth="1"/>
    <col min="15" max="15" width="17.125" hidden="1" customWidth="1"/>
    <col min="16" max="28" width="10" hidden="1" customWidth="1"/>
  </cols>
  <sheetData>
    <row r="1" spans="1:28" ht="12.7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 ht="36.75" customHeight="1">
      <c r="A3" s="3"/>
      <c r="B3" s="4" t="s">
        <v>0</v>
      </c>
      <c r="C3" s="237" t="s">
        <v>1</v>
      </c>
      <c r="D3" s="238"/>
      <c r="E3" s="239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spans="1:28" ht="12.75" customHeight="1">
      <c r="A4" s="3"/>
      <c r="B4" s="5" t="s">
        <v>2</v>
      </c>
      <c r="C4" s="240" t="s">
        <v>3</v>
      </c>
      <c r="D4" s="241"/>
      <c r="E4" s="242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ht="12.75" customHeight="1">
      <c r="A5" s="6"/>
      <c r="B5" s="5" t="s">
        <v>4</v>
      </c>
      <c r="C5" s="240" t="s">
        <v>5</v>
      </c>
      <c r="D5" s="241"/>
      <c r="E5" s="242"/>
      <c r="F5" s="3"/>
      <c r="G5" s="3"/>
      <c r="H5" s="3"/>
      <c r="I5" s="3"/>
      <c r="J5" s="3"/>
      <c r="K5" s="7" t="s">
        <v>6</v>
      </c>
      <c r="L5" s="7" t="s">
        <v>7</v>
      </c>
      <c r="M5" s="7" t="s">
        <v>8</v>
      </c>
      <c r="N5" s="7" t="s">
        <v>9</v>
      </c>
      <c r="O5" s="7" t="s">
        <v>10</v>
      </c>
      <c r="P5" s="7" t="s">
        <v>11</v>
      </c>
      <c r="Q5" s="7" t="s">
        <v>12</v>
      </c>
      <c r="R5" s="7" t="s">
        <v>13</v>
      </c>
      <c r="S5" s="7" t="s">
        <v>14</v>
      </c>
      <c r="T5" s="7" t="s">
        <v>15</v>
      </c>
      <c r="U5" s="8" t="s">
        <v>16</v>
      </c>
      <c r="V5" s="3"/>
      <c r="W5" s="3"/>
      <c r="X5" s="3"/>
      <c r="Y5" s="3"/>
      <c r="Z5" s="3"/>
      <c r="AA5" s="3"/>
      <c r="AB5" s="3"/>
    </row>
    <row r="6" spans="1:28" ht="12.75" customHeight="1">
      <c r="A6" s="9"/>
      <c r="B6" s="5" t="s">
        <v>17</v>
      </c>
      <c r="C6" s="240">
        <v>4566931</v>
      </c>
      <c r="D6" s="241"/>
      <c r="E6" s="242"/>
      <c r="F6" s="3"/>
      <c r="G6" s="3"/>
      <c r="H6" s="3"/>
      <c r="I6" s="3"/>
      <c r="J6" s="3"/>
      <c r="K6" s="2">
        <v>0</v>
      </c>
      <c r="L6" s="2" t="s">
        <v>18</v>
      </c>
      <c r="M6" s="2"/>
      <c r="N6" s="2"/>
      <c r="O6" s="2"/>
      <c r="P6" s="2"/>
      <c r="Q6" s="2"/>
      <c r="R6" s="2"/>
      <c r="S6" s="2"/>
      <c r="T6" s="2" t="s">
        <v>19</v>
      </c>
      <c r="U6" s="2" t="s">
        <v>19</v>
      </c>
      <c r="V6" s="3"/>
      <c r="W6" s="3"/>
      <c r="X6" s="3"/>
      <c r="Y6" s="3"/>
      <c r="Z6" s="3"/>
      <c r="AA6" s="3"/>
      <c r="AB6" s="3"/>
    </row>
    <row r="7" spans="1:28" ht="12.75" customHeight="1">
      <c r="A7" s="9"/>
      <c r="B7" s="5" t="s">
        <v>20</v>
      </c>
      <c r="C7" s="240" t="s">
        <v>21</v>
      </c>
      <c r="D7" s="241"/>
      <c r="E7" s="242"/>
      <c r="F7" s="3"/>
      <c r="G7" s="3"/>
      <c r="H7" s="3"/>
      <c r="I7" s="3"/>
      <c r="J7" s="3"/>
      <c r="K7" s="10">
        <f t="shared" ref="K7:K137" si="0">+K6+1</f>
        <v>1</v>
      </c>
      <c r="L7" s="11" t="str">
        <f t="shared" ref="L7:L137" si="1">M7&amp;""&amp;N7</f>
        <v xml:space="preserve">1222MINISTARSTVO ZNANOSTI I OBRAZOVANJA </v>
      </c>
      <c r="M7" s="11">
        <v>1222</v>
      </c>
      <c r="N7" s="12" t="s">
        <v>22</v>
      </c>
      <c r="O7" s="13"/>
      <c r="P7" s="14" t="s">
        <v>23</v>
      </c>
      <c r="Q7" s="12" t="s">
        <v>24</v>
      </c>
      <c r="R7" s="15">
        <v>3271030</v>
      </c>
      <c r="S7" s="16" t="s">
        <v>25</v>
      </c>
      <c r="T7" s="17" t="s">
        <v>26</v>
      </c>
      <c r="U7" s="18" t="s">
        <v>27</v>
      </c>
      <c r="V7" s="3"/>
      <c r="W7" s="3"/>
      <c r="X7" s="3"/>
      <c r="Y7" s="3"/>
      <c r="Z7" s="3"/>
      <c r="AA7" s="3"/>
      <c r="AB7" s="3"/>
    </row>
    <row r="8" spans="1:28" ht="12.75" customHeight="1">
      <c r="A8" s="9"/>
      <c r="B8" s="9"/>
      <c r="C8" s="3"/>
      <c r="D8" s="3"/>
      <c r="E8" s="3"/>
      <c r="F8" s="3"/>
      <c r="G8" s="3"/>
      <c r="H8" s="3"/>
      <c r="I8" s="3"/>
      <c r="J8" s="3"/>
      <c r="K8" s="10">
        <f t="shared" si="0"/>
        <v>2</v>
      </c>
      <c r="L8" s="11" t="str">
        <f t="shared" si="1"/>
        <v>2063FAKULTET ORGANIZACIJE I INFORMATIKE U VARAŽDINU</v>
      </c>
      <c r="M8" s="11">
        <v>2063</v>
      </c>
      <c r="N8" s="12" t="s">
        <v>28</v>
      </c>
      <c r="O8" s="13" t="s">
        <v>29</v>
      </c>
      <c r="P8" s="12" t="s">
        <v>30</v>
      </c>
      <c r="Q8" s="12" t="s">
        <v>31</v>
      </c>
      <c r="R8" s="15">
        <v>3006107</v>
      </c>
      <c r="S8" s="16" t="s">
        <v>32</v>
      </c>
      <c r="T8" s="17" t="s">
        <v>33</v>
      </c>
      <c r="U8" s="18" t="s">
        <v>34</v>
      </c>
      <c r="V8" s="3"/>
      <c r="W8" s="3"/>
      <c r="X8" s="3"/>
      <c r="Y8" s="3"/>
      <c r="Z8" s="3"/>
      <c r="AA8" s="3"/>
      <c r="AB8" s="3"/>
    </row>
    <row r="9" spans="1:28" ht="28.5" customHeight="1">
      <c r="A9" s="2"/>
      <c r="B9" s="243" t="s">
        <v>35</v>
      </c>
      <c r="C9" s="236"/>
      <c r="D9" s="236"/>
      <c r="E9" s="236"/>
      <c r="F9" s="3"/>
      <c r="G9" s="3"/>
      <c r="H9" s="3"/>
      <c r="I9" s="3"/>
      <c r="J9" s="3"/>
      <c r="K9" s="10">
        <f t="shared" si="0"/>
        <v>3</v>
      </c>
      <c r="L9" s="11" t="str">
        <f t="shared" si="1"/>
        <v>43749MEĐIMURSKO VELEUČILIŠTE U ČAKOVCU</v>
      </c>
      <c r="M9" s="11">
        <v>43749</v>
      </c>
      <c r="N9" s="12" t="s">
        <v>36</v>
      </c>
      <c r="O9" s="13" t="s">
        <v>37</v>
      </c>
      <c r="P9" s="12" t="s">
        <v>38</v>
      </c>
      <c r="Q9" s="12" t="s">
        <v>39</v>
      </c>
      <c r="R9" s="15">
        <v>2382512</v>
      </c>
      <c r="S9" s="16" t="s">
        <v>40</v>
      </c>
      <c r="T9" s="17" t="s">
        <v>33</v>
      </c>
      <c r="U9" s="18" t="s">
        <v>34</v>
      </c>
      <c r="V9" s="3"/>
      <c r="W9" s="3"/>
      <c r="X9" s="3"/>
      <c r="Y9" s="3"/>
      <c r="Z9" s="3"/>
      <c r="AA9" s="3"/>
      <c r="AB9" s="3"/>
    </row>
    <row r="10" spans="1:28" ht="18.75" customHeight="1">
      <c r="A10" s="2"/>
      <c r="B10" s="243" t="s">
        <v>41</v>
      </c>
      <c r="C10" s="236"/>
      <c r="D10" s="236"/>
      <c r="E10" s="236"/>
      <c r="F10" s="3"/>
      <c r="G10" s="3"/>
      <c r="H10" s="3"/>
      <c r="I10" s="3"/>
      <c r="J10" s="3"/>
      <c r="K10" s="10">
        <f t="shared" si="0"/>
        <v>4</v>
      </c>
      <c r="L10" s="11" t="str">
        <f t="shared" si="1"/>
        <v>2452SVEUČILIŠTE J. J. STROSSMAYERA U OSIJEKU</v>
      </c>
      <c r="M10" s="11">
        <v>2452</v>
      </c>
      <c r="N10" s="12" t="s">
        <v>42</v>
      </c>
      <c r="O10" s="19" t="s">
        <v>43</v>
      </c>
      <c r="P10" s="12" t="s">
        <v>44</v>
      </c>
      <c r="Q10" s="12" t="s">
        <v>45</v>
      </c>
      <c r="R10" s="15">
        <v>3049779</v>
      </c>
      <c r="S10" s="16" t="s">
        <v>46</v>
      </c>
      <c r="T10" s="17" t="s">
        <v>33</v>
      </c>
      <c r="U10" s="18" t="s">
        <v>34</v>
      </c>
      <c r="V10" s="3"/>
      <c r="W10" s="3"/>
      <c r="X10" s="3"/>
      <c r="Y10" s="3"/>
      <c r="Z10" s="3"/>
      <c r="AA10" s="3"/>
      <c r="AB10" s="3"/>
    </row>
    <row r="11" spans="1:28" ht="12" customHeight="1">
      <c r="A11" s="2"/>
      <c r="B11" s="235"/>
      <c r="C11" s="236"/>
      <c r="D11" s="236"/>
      <c r="E11" s="236"/>
      <c r="F11" s="3"/>
      <c r="G11" s="3"/>
      <c r="H11" s="3"/>
      <c r="I11" s="3"/>
      <c r="J11" s="3"/>
      <c r="K11" s="10">
        <f t="shared" si="0"/>
        <v>5</v>
      </c>
      <c r="L11" s="11" t="str">
        <f t="shared" si="1"/>
        <v>50215SVEUČILIŠTE J. J. STROSSMAYERA U OSIJEKU - AKADEMIJA ZA UMJETNOST I KULTURU U OSIJEKU</v>
      </c>
      <c r="M11" s="11">
        <v>50215</v>
      </c>
      <c r="N11" s="12" t="s">
        <v>47</v>
      </c>
      <c r="O11" s="19" t="s">
        <v>43</v>
      </c>
      <c r="P11" s="12" t="s">
        <v>48</v>
      </c>
      <c r="Q11" s="12" t="s">
        <v>45</v>
      </c>
      <c r="R11" s="15">
        <v>4907361</v>
      </c>
      <c r="S11" s="16" t="s">
        <v>49</v>
      </c>
      <c r="T11" s="17" t="s">
        <v>33</v>
      </c>
      <c r="U11" s="18" t="s">
        <v>34</v>
      </c>
      <c r="V11" s="3"/>
      <c r="W11" s="3"/>
      <c r="X11" s="3"/>
      <c r="Y11" s="3"/>
      <c r="Z11" s="3"/>
      <c r="AA11" s="3"/>
      <c r="AB11" s="3"/>
    </row>
    <row r="12" spans="1:28" ht="12" customHeight="1">
      <c r="A12" s="21"/>
      <c r="B12" s="21"/>
      <c r="C12" s="3"/>
      <c r="D12" s="3"/>
      <c r="E12" s="3"/>
      <c r="F12" s="3"/>
      <c r="G12" s="3"/>
      <c r="H12" s="3"/>
      <c r="I12" s="3"/>
      <c r="J12" s="3"/>
      <c r="K12" s="10">
        <f t="shared" si="0"/>
        <v>6</v>
      </c>
      <c r="L12" s="11" t="str">
        <f t="shared" si="1"/>
        <v>2284SVEUČILIŠTE J. J. STROSSMAYERA U OSIJEKU - EKONOMSKI FAKULTET</v>
      </c>
      <c r="M12" s="11">
        <v>2284</v>
      </c>
      <c r="N12" s="12" t="s">
        <v>50</v>
      </c>
      <c r="O12" s="19" t="s">
        <v>43</v>
      </c>
      <c r="P12" s="12" t="s">
        <v>51</v>
      </c>
      <c r="Q12" s="12" t="s">
        <v>45</v>
      </c>
      <c r="R12" s="15">
        <v>3021645</v>
      </c>
      <c r="S12" s="16" t="s">
        <v>52</v>
      </c>
      <c r="T12" s="17" t="s">
        <v>33</v>
      </c>
      <c r="U12" s="18" t="s">
        <v>34</v>
      </c>
      <c r="V12" s="3"/>
      <c r="W12" s="3"/>
      <c r="X12" s="3"/>
      <c r="Y12" s="3"/>
      <c r="Z12" s="3"/>
      <c r="AA12" s="3"/>
      <c r="AB12" s="3"/>
    </row>
    <row r="13" spans="1:28" ht="33" customHeight="1">
      <c r="A13" s="22"/>
      <c r="B13" s="22"/>
      <c r="C13" s="22" t="s">
        <v>53</v>
      </c>
      <c r="D13" s="22" t="s">
        <v>54</v>
      </c>
      <c r="E13" s="22" t="s">
        <v>55</v>
      </c>
      <c r="F13" s="23"/>
      <c r="G13" s="3"/>
      <c r="H13" s="3"/>
      <c r="I13" s="3"/>
      <c r="J13" s="3"/>
      <c r="K13" s="10">
        <f t="shared" si="0"/>
        <v>7</v>
      </c>
      <c r="L13" s="11" t="str">
        <f t="shared" si="1"/>
        <v>2268SVEUČILIŠTE J. J. STROSSMAYERA U OSIJEKU - FAKULTET AGROBIOTEHNIČKIH ZNANOSTI OSIJEK</v>
      </c>
      <c r="M13" s="11">
        <v>2268</v>
      </c>
      <c r="N13" s="12" t="s">
        <v>56</v>
      </c>
      <c r="O13" s="19" t="s">
        <v>43</v>
      </c>
      <c r="P13" s="12" t="s">
        <v>57</v>
      </c>
      <c r="Q13" s="12" t="s">
        <v>45</v>
      </c>
      <c r="R13" s="15">
        <v>3058212</v>
      </c>
      <c r="S13" s="16" t="s">
        <v>58</v>
      </c>
      <c r="T13" s="17" t="s">
        <v>33</v>
      </c>
      <c r="U13" s="18" t="s">
        <v>34</v>
      </c>
      <c r="V13" s="3"/>
      <c r="W13" s="3"/>
      <c r="X13" s="3"/>
      <c r="Y13" s="3"/>
      <c r="Z13" s="3"/>
      <c r="AA13" s="3"/>
      <c r="AB13" s="3"/>
    </row>
    <row r="14" spans="1:28" ht="19.5" customHeight="1">
      <c r="A14" s="24"/>
      <c r="B14" s="24" t="s">
        <v>59</v>
      </c>
      <c r="C14" s="25">
        <f>SUM(C15:C16)</f>
        <v>486237247</v>
      </c>
      <c r="D14" s="25">
        <f t="shared" ref="D14:E14" si="2">+D15+D16</f>
        <v>192295040</v>
      </c>
      <c r="E14" s="25">
        <f t="shared" si="2"/>
        <v>190929459</v>
      </c>
      <c r="F14" s="20"/>
      <c r="G14" s="3"/>
      <c r="H14" s="3"/>
      <c r="I14" s="3"/>
      <c r="J14" s="3"/>
      <c r="K14" s="10">
        <f t="shared" si="0"/>
        <v>8</v>
      </c>
      <c r="L14" s="11" t="str">
        <f t="shared" si="1"/>
        <v>2313SVEUČILIŠTE J. J. STROSSMAYERA U OSIJEKU - FAKULTET ELEKTROTEHNIKE, RAČUNARSTVA I INFORMACIJSKIH TEHNOLOGIJA OSIJEK</v>
      </c>
      <c r="M14" s="11">
        <v>2313</v>
      </c>
      <c r="N14" s="12" t="s">
        <v>60</v>
      </c>
      <c r="O14" s="19" t="s">
        <v>43</v>
      </c>
      <c r="P14" s="12" t="s">
        <v>61</v>
      </c>
      <c r="Q14" s="12" t="s">
        <v>45</v>
      </c>
      <c r="R14" s="15">
        <v>3392589</v>
      </c>
      <c r="S14" s="16" t="s">
        <v>62</v>
      </c>
      <c r="T14" s="17" t="s">
        <v>33</v>
      </c>
      <c r="U14" s="18" t="s">
        <v>34</v>
      </c>
      <c r="V14" s="3"/>
      <c r="W14" s="3"/>
      <c r="X14" s="3"/>
      <c r="Y14" s="3"/>
      <c r="Z14" s="3"/>
      <c r="AA14" s="3"/>
      <c r="AB14" s="3"/>
    </row>
    <row r="15" spans="1:28" ht="19.5" customHeight="1">
      <c r="A15" s="26">
        <v>6</v>
      </c>
      <c r="B15" s="24" t="s">
        <v>63</v>
      </c>
      <c r="C15" s="27">
        <f>'PLAN PRIHODA I PRIMITAKA '!D27</f>
        <v>486237247</v>
      </c>
      <c r="D15" s="27">
        <f>'PLAN PRIHODA I PRIMITAKA '!D67</f>
        <v>192295040</v>
      </c>
      <c r="E15" s="27">
        <f>'PLAN PRIHODA I PRIMITAKA '!D107</f>
        <v>190929459</v>
      </c>
      <c r="F15" s="3"/>
      <c r="G15" s="3"/>
      <c r="H15" s="3"/>
      <c r="I15" s="3"/>
      <c r="J15" s="3"/>
      <c r="K15" s="10">
        <f t="shared" si="0"/>
        <v>9</v>
      </c>
      <c r="L15" s="11" t="str">
        <f t="shared" si="1"/>
        <v>49796SVEUČILIŠTE J. J. STROSSMAYERA U OSIJEKU - FAKULTET ZA DENTALNU MEDICINU I ZDRAVSTVO</v>
      </c>
      <c r="M15" s="11">
        <v>49796</v>
      </c>
      <c r="N15" s="12" t="s">
        <v>64</v>
      </c>
      <c r="O15" s="19" t="s">
        <v>43</v>
      </c>
      <c r="P15" s="12" t="s">
        <v>65</v>
      </c>
      <c r="Q15" s="12" t="s">
        <v>45</v>
      </c>
      <c r="R15" s="15">
        <v>4748875</v>
      </c>
      <c r="S15" s="16" t="s">
        <v>66</v>
      </c>
      <c r="T15" s="17" t="s">
        <v>33</v>
      </c>
      <c r="U15" s="18" t="s">
        <v>34</v>
      </c>
      <c r="V15" s="3"/>
      <c r="W15" s="3"/>
      <c r="X15" s="3"/>
      <c r="Y15" s="3"/>
      <c r="Z15" s="3"/>
      <c r="AA15" s="3"/>
      <c r="AB15" s="3"/>
    </row>
    <row r="16" spans="1:28" ht="19.5" customHeight="1">
      <c r="A16" s="26">
        <v>7</v>
      </c>
      <c r="B16" s="28" t="s">
        <v>67</v>
      </c>
      <c r="C16" s="27">
        <f>'PLAN PRIHODA I PRIMITAKA '!D34</f>
        <v>0</v>
      </c>
      <c r="D16" s="27">
        <f>'PLAN PRIHODA I PRIMITAKA '!D74</f>
        <v>0</v>
      </c>
      <c r="E16" s="27">
        <f>'PLAN PRIHODA I PRIMITAKA '!D114</f>
        <v>0</v>
      </c>
      <c r="F16" s="3"/>
      <c r="G16" s="29"/>
      <c r="H16" s="3"/>
      <c r="I16" s="3"/>
      <c r="J16" s="3"/>
      <c r="K16" s="10">
        <f t="shared" si="0"/>
        <v>10</v>
      </c>
      <c r="L16" s="11" t="str">
        <f t="shared" si="1"/>
        <v>22486SVEUČILIŠTE J. J. STROSSMAYERA U OSIJEKU - FAKULTET ZA ODGOJNE I OBRAZOVNE ZNANOSTI</v>
      </c>
      <c r="M16" s="11">
        <v>22486</v>
      </c>
      <c r="N16" s="12" t="s">
        <v>68</v>
      </c>
      <c r="O16" s="19" t="s">
        <v>43</v>
      </c>
      <c r="P16" s="12" t="s">
        <v>69</v>
      </c>
      <c r="Q16" s="12" t="s">
        <v>45</v>
      </c>
      <c r="R16" s="15">
        <v>1404881</v>
      </c>
      <c r="S16" s="16" t="s">
        <v>70</v>
      </c>
      <c r="T16" s="17" t="s">
        <v>33</v>
      </c>
      <c r="U16" s="18" t="s">
        <v>34</v>
      </c>
      <c r="V16" s="3"/>
      <c r="W16" s="3"/>
      <c r="X16" s="3"/>
      <c r="Y16" s="3"/>
      <c r="Z16" s="3"/>
      <c r="AA16" s="3"/>
      <c r="AB16" s="3"/>
    </row>
    <row r="17" spans="1:28" ht="19.5" customHeight="1">
      <c r="A17" s="30"/>
      <c r="B17" s="28" t="s">
        <v>71</v>
      </c>
      <c r="C17" s="31">
        <f>SUM(C18:C19)</f>
        <v>483907269.59139997</v>
      </c>
      <c r="D17" s="31">
        <f t="shared" ref="D17:E17" si="3">+D18+D19</f>
        <v>190770103.60080001</v>
      </c>
      <c r="E17" s="31">
        <f t="shared" si="3"/>
        <v>189717139.17090002</v>
      </c>
      <c r="F17" s="3"/>
      <c r="G17" s="3"/>
      <c r="H17" s="3"/>
      <c r="I17" s="3"/>
      <c r="J17" s="3"/>
      <c r="K17" s="10">
        <f t="shared" si="0"/>
        <v>11</v>
      </c>
      <c r="L17" s="11" t="str">
        <f t="shared" si="1"/>
        <v>2321SVEUČILIŠTE J. J. STROSSMAYERA U OSIJEKU - FILOZOFSKI FAKULTET</v>
      </c>
      <c r="M17" s="11">
        <v>2321</v>
      </c>
      <c r="N17" s="12" t="s">
        <v>72</v>
      </c>
      <c r="O17" s="19" t="s">
        <v>43</v>
      </c>
      <c r="P17" s="12" t="s">
        <v>73</v>
      </c>
      <c r="Q17" s="12" t="s">
        <v>45</v>
      </c>
      <c r="R17" s="15">
        <v>3014185</v>
      </c>
      <c r="S17" s="16" t="s">
        <v>74</v>
      </c>
      <c r="T17" s="17" t="s">
        <v>33</v>
      </c>
      <c r="U17" s="18" t="s">
        <v>34</v>
      </c>
      <c r="V17" s="3"/>
      <c r="W17" s="3"/>
      <c r="X17" s="3"/>
      <c r="Y17" s="3"/>
      <c r="Z17" s="3"/>
      <c r="AA17" s="3"/>
      <c r="AB17" s="3"/>
    </row>
    <row r="18" spans="1:28" ht="19.5" customHeight="1">
      <c r="A18" s="30">
        <v>3</v>
      </c>
      <c r="B18" s="24" t="s">
        <v>75</v>
      </c>
      <c r="C18" s="32">
        <f>'PLAN RASHODA I IZDATAKA'!D4</f>
        <v>192924840.91360003</v>
      </c>
      <c r="D18" s="33">
        <f>'PLAN RASHODA I IZDATAKA'!D72</f>
        <v>184729068.3008</v>
      </c>
      <c r="E18" s="33">
        <f>'PLAN RASHODA I IZDATAKA'!D92</f>
        <v>183636255.51790002</v>
      </c>
      <c r="F18" s="3"/>
      <c r="G18" s="3"/>
      <c r="H18" s="3"/>
      <c r="I18" s="3"/>
      <c r="J18" s="3"/>
      <c r="K18" s="10">
        <f t="shared" si="0"/>
        <v>12</v>
      </c>
      <c r="L18" s="11" t="str">
        <f t="shared" si="1"/>
        <v>2508SVEUČILIŠTE J. J. STROSSMAYERA U OSIJEKU - GRADSKA I SVEUČILIŠNA KNJIŽNICA</v>
      </c>
      <c r="M18" s="11">
        <v>2508</v>
      </c>
      <c r="N18" s="12" t="s">
        <v>76</v>
      </c>
      <c r="O18" s="19" t="s">
        <v>43</v>
      </c>
      <c r="P18" s="12" t="s">
        <v>77</v>
      </c>
      <c r="Q18" s="12" t="s">
        <v>45</v>
      </c>
      <c r="R18" s="15">
        <v>3014347</v>
      </c>
      <c r="S18" s="16" t="s">
        <v>78</v>
      </c>
      <c r="T18" s="17" t="s">
        <v>33</v>
      </c>
      <c r="U18" s="18" t="s">
        <v>34</v>
      </c>
      <c r="V18" s="3"/>
      <c r="W18" s="3"/>
      <c r="X18" s="3"/>
      <c r="Y18" s="3"/>
      <c r="Z18" s="3"/>
      <c r="AA18" s="3"/>
      <c r="AB18" s="3"/>
    </row>
    <row r="19" spans="1:28" ht="19.5" customHeight="1">
      <c r="A19" s="26">
        <v>4</v>
      </c>
      <c r="B19" s="28" t="s">
        <v>79</v>
      </c>
      <c r="C19" s="32">
        <f>'PLAN RASHODA I IZDATAKA'!D38</f>
        <v>290982428.67779994</v>
      </c>
      <c r="D19" s="33">
        <f>'PLAN RASHODA I IZDATAKA'!D80</f>
        <v>6041035.3000000007</v>
      </c>
      <c r="E19" s="33">
        <f>'PLAN RASHODA I IZDATAKA'!D100</f>
        <v>6080883.6530000009</v>
      </c>
      <c r="F19" s="3"/>
      <c r="G19" s="3"/>
      <c r="H19" s="3"/>
      <c r="I19" s="3"/>
      <c r="J19" s="3"/>
      <c r="K19" s="10">
        <f t="shared" si="0"/>
        <v>13</v>
      </c>
      <c r="L19" s="11" t="str">
        <f t="shared" si="1"/>
        <v>2250SVEUČILIŠTE J. J. STROSSMAYERA U OSIJEKU - GRAĐEVINSKI I ARHITEKTONSKI FAKULTET OSIJEK</v>
      </c>
      <c r="M19" s="11">
        <v>2250</v>
      </c>
      <c r="N19" s="12" t="s">
        <v>80</v>
      </c>
      <c r="O19" s="19" t="s">
        <v>43</v>
      </c>
      <c r="P19" s="12" t="s">
        <v>81</v>
      </c>
      <c r="Q19" s="12" t="s">
        <v>45</v>
      </c>
      <c r="R19" s="15">
        <v>3397335</v>
      </c>
      <c r="S19" s="16" t="s">
        <v>82</v>
      </c>
      <c r="T19" s="17" t="s">
        <v>33</v>
      </c>
      <c r="U19" s="18" t="s">
        <v>34</v>
      </c>
      <c r="V19" s="3"/>
      <c r="W19" s="3"/>
      <c r="X19" s="3"/>
      <c r="Y19" s="3"/>
      <c r="Z19" s="3"/>
      <c r="AA19" s="3"/>
      <c r="AB19" s="3"/>
    </row>
    <row r="20" spans="1:28" ht="19.5" customHeight="1">
      <c r="A20" s="24"/>
      <c r="B20" s="24" t="s">
        <v>83</v>
      </c>
      <c r="C20" s="25">
        <f t="shared" ref="C20:E20" si="4">+C14-C17</f>
        <v>2329977.4086000323</v>
      </c>
      <c r="D20" s="25">
        <f t="shared" si="4"/>
        <v>1524936.3991999924</v>
      </c>
      <c r="E20" s="25">
        <f t="shared" si="4"/>
        <v>1212319.829099983</v>
      </c>
      <c r="F20" s="3"/>
      <c r="G20" s="3"/>
      <c r="H20" s="3"/>
      <c r="I20" s="3"/>
      <c r="J20" s="3"/>
      <c r="K20" s="10">
        <f t="shared" si="0"/>
        <v>14</v>
      </c>
      <c r="L20" s="11" t="str">
        <f t="shared" si="1"/>
        <v>38479SVEUČILIŠTE J. J. STROSSMAYERA U OSIJEKU - KATOLIČKI BOGOSLOVNI FAKULTET U ĐAKOVU</v>
      </c>
      <c r="M20" s="11">
        <v>38479</v>
      </c>
      <c r="N20" s="12" t="s">
        <v>84</v>
      </c>
      <c r="O20" s="19" t="s">
        <v>43</v>
      </c>
      <c r="P20" s="12" t="s">
        <v>85</v>
      </c>
      <c r="Q20" s="12" t="s">
        <v>86</v>
      </c>
      <c r="R20" s="15">
        <v>1986490</v>
      </c>
      <c r="S20" s="16" t="s">
        <v>87</v>
      </c>
      <c r="T20" s="17" t="s">
        <v>33</v>
      </c>
      <c r="U20" s="18" t="s">
        <v>34</v>
      </c>
      <c r="V20" s="3"/>
      <c r="W20" s="3"/>
      <c r="X20" s="3"/>
      <c r="Y20" s="3"/>
      <c r="Z20" s="3"/>
      <c r="AA20" s="3"/>
      <c r="AB20" s="3"/>
    </row>
    <row r="21" spans="1:28" ht="19.5" customHeight="1">
      <c r="A21" s="2"/>
      <c r="B21" s="235"/>
      <c r="C21" s="236"/>
      <c r="D21" s="236"/>
      <c r="E21" s="236"/>
      <c r="F21" s="3"/>
      <c r="G21" s="3"/>
      <c r="H21" s="3"/>
      <c r="I21" s="3"/>
      <c r="J21" s="3"/>
      <c r="K21" s="10">
        <f t="shared" si="0"/>
        <v>15</v>
      </c>
      <c r="L21" s="11" t="str">
        <f t="shared" si="1"/>
        <v>51450SVEUČILIŠTE J. J. STROSSMAYERA U OSIJEKU - KINEZIOLOŠKI FAKULTET OSIJEK</v>
      </c>
      <c r="M21" s="11">
        <v>51450</v>
      </c>
      <c r="N21" s="12" t="s">
        <v>88</v>
      </c>
      <c r="O21" s="19" t="s">
        <v>43</v>
      </c>
      <c r="P21" s="12" t="s">
        <v>89</v>
      </c>
      <c r="Q21" s="12" t="s">
        <v>45</v>
      </c>
      <c r="R21" s="15">
        <v>5302099</v>
      </c>
      <c r="S21" s="16" t="s">
        <v>90</v>
      </c>
      <c r="T21" s="17" t="s">
        <v>33</v>
      </c>
      <c r="U21" s="18" t="s">
        <v>34</v>
      </c>
      <c r="V21" s="3"/>
      <c r="W21" s="3"/>
      <c r="X21" s="3"/>
      <c r="Y21" s="3"/>
      <c r="Z21" s="3"/>
      <c r="AA21" s="3"/>
      <c r="AB21" s="3"/>
    </row>
    <row r="22" spans="1:28" ht="29.25" customHeight="1">
      <c r="A22" s="22"/>
      <c r="B22" s="22"/>
      <c r="C22" s="22" t="s">
        <v>53</v>
      </c>
      <c r="D22" s="22" t="s">
        <v>54</v>
      </c>
      <c r="E22" s="22" t="s">
        <v>55</v>
      </c>
      <c r="F22" s="3"/>
      <c r="G22" s="3"/>
      <c r="H22" s="29"/>
      <c r="I22" s="3"/>
      <c r="J22" s="3"/>
      <c r="K22" s="10">
        <f t="shared" si="0"/>
        <v>16</v>
      </c>
      <c r="L22" s="11" t="str">
        <f t="shared" si="1"/>
        <v>22849SVEUČILIŠTE J. J. STROSSMAYERA U OSIJEKU - MEDICINSKI FAKULTET</v>
      </c>
      <c r="M22" s="11">
        <v>22849</v>
      </c>
      <c r="N22" s="12" t="s">
        <v>91</v>
      </c>
      <c r="O22" s="19" t="s">
        <v>43</v>
      </c>
      <c r="P22" s="12" t="s">
        <v>92</v>
      </c>
      <c r="Q22" s="12" t="s">
        <v>45</v>
      </c>
      <c r="R22" s="15">
        <v>1388142</v>
      </c>
      <c r="S22" s="16" t="s">
        <v>93</v>
      </c>
      <c r="T22" s="17" t="s">
        <v>33</v>
      </c>
      <c r="U22" s="18" t="s">
        <v>34</v>
      </c>
      <c r="V22" s="3"/>
      <c r="W22" s="3"/>
      <c r="X22" s="3"/>
      <c r="Y22" s="3"/>
      <c r="Z22" s="3"/>
      <c r="AA22" s="3"/>
      <c r="AB22" s="3"/>
    </row>
    <row r="23" spans="1:28" ht="12.75" customHeight="1">
      <c r="A23" s="34" t="s">
        <v>94</v>
      </c>
      <c r="B23" s="34" t="s">
        <v>95</v>
      </c>
      <c r="C23" s="32">
        <f>'PLAN PRIHODA I PRIMITAKA '!D5</f>
        <v>7050000</v>
      </c>
      <c r="D23" s="32">
        <f>'PLAN PRIHODA I PRIMITAKA '!D45</f>
        <v>9379978</v>
      </c>
      <c r="E23" s="32">
        <f>'PLAN PRIHODA I PRIMITAKA '!D85</f>
        <v>10904914</v>
      </c>
      <c r="F23" s="3"/>
      <c r="G23" s="3"/>
      <c r="H23" s="35"/>
      <c r="I23" s="3"/>
      <c r="J23" s="3"/>
      <c r="K23" s="10">
        <f t="shared" si="0"/>
        <v>17</v>
      </c>
      <c r="L23" s="11" t="str">
        <f t="shared" si="1"/>
        <v>2292SVEUČILIŠTE J. J. STROSSMAYERA U OSIJEKU - PRAVNI FAKULTET</v>
      </c>
      <c r="M23" s="11">
        <v>2292</v>
      </c>
      <c r="N23" s="12" t="s">
        <v>96</v>
      </c>
      <c r="O23" s="19" t="s">
        <v>43</v>
      </c>
      <c r="P23" s="12" t="s">
        <v>97</v>
      </c>
      <c r="Q23" s="12" t="s">
        <v>45</v>
      </c>
      <c r="R23" s="15">
        <v>3014193</v>
      </c>
      <c r="S23" s="16" t="s">
        <v>98</v>
      </c>
      <c r="T23" s="17" t="s">
        <v>33</v>
      </c>
      <c r="U23" s="18" t="s">
        <v>34</v>
      </c>
      <c r="V23" s="3"/>
      <c r="W23" s="3"/>
      <c r="X23" s="3"/>
      <c r="Y23" s="3"/>
      <c r="Z23" s="3"/>
      <c r="AA23" s="3"/>
      <c r="AB23" s="3"/>
    </row>
    <row r="24" spans="1:28" ht="12.75" customHeight="1">
      <c r="A24" s="34" t="s">
        <v>99</v>
      </c>
      <c r="B24" s="34" t="s">
        <v>100</v>
      </c>
      <c r="C24" s="36">
        <f>'PLAN PRIHODA I PRIMITAKA '!D7</f>
        <v>-9379978</v>
      </c>
      <c r="D24" s="36">
        <f>'PLAN PRIHODA I PRIMITAKA '!D47</f>
        <v>-10904914</v>
      </c>
      <c r="E24" s="37">
        <f>'PLAN PRIHODA I PRIMITAKA '!D87</f>
        <v>-12117234</v>
      </c>
      <c r="F24" s="3"/>
      <c r="G24" s="3"/>
      <c r="H24" s="35"/>
      <c r="I24" s="3"/>
      <c r="J24" s="3"/>
      <c r="K24" s="10">
        <f t="shared" si="0"/>
        <v>18</v>
      </c>
      <c r="L24" s="11" t="str">
        <f t="shared" si="1"/>
        <v>2276SVEUČILIŠTE J. J. STROSSMAYERA U OSIJEKU - PREHRAMBENO TEHNOLOŠKI FAKULTET</v>
      </c>
      <c r="M24" s="11">
        <v>2276</v>
      </c>
      <c r="N24" s="12" t="s">
        <v>101</v>
      </c>
      <c r="O24" s="19" t="s">
        <v>43</v>
      </c>
      <c r="P24" s="12" t="s">
        <v>102</v>
      </c>
      <c r="Q24" s="12" t="s">
        <v>45</v>
      </c>
      <c r="R24" s="15">
        <v>3058204</v>
      </c>
      <c r="S24" s="16" t="s">
        <v>103</v>
      </c>
      <c r="T24" s="17" t="s">
        <v>33</v>
      </c>
      <c r="U24" s="18" t="s">
        <v>34</v>
      </c>
      <c r="V24" s="3"/>
      <c r="W24" s="3"/>
      <c r="X24" s="3"/>
      <c r="Y24" s="3"/>
      <c r="Z24" s="3"/>
      <c r="AA24" s="3"/>
      <c r="AB24" s="3"/>
    </row>
    <row r="25" spans="1:28" ht="19.5" customHeight="1">
      <c r="A25" s="2"/>
      <c r="B25" s="235"/>
      <c r="C25" s="236"/>
      <c r="D25" s="236"/>
      <c r="E25" s="236"/>
      <c r="F25" s="3"/>
      <c r="G25" s="3"/>
      <c r="H25" s="3"/>
      <c r="I25" s="3"/>
      <c r="J25" s="3"/>
      <c r="K25" s="10">
        <f t="shared" si="0"/>
        <v>19</v>
      </c>
      <c r="L25" s="11" t="str">
        <f t="shared" si="1"/>
        <v>42024SVEUČILIŠTE JURJA DOBRILE U PULI</v>
      </c>
      <c r="M25" s="11">
        <v>42024</v>
      </c>
      <c r="N25" s="12" t="s">
        <v>104</v>
      </c>
      <c r="O25" s="13" t="s">
        <v>105</v>
      </c>
      <c r="P25" s="12" t="s">
        <v>106</v>
      </c>
      <c r="Q25" s="12" t="s">
        <v>107</v>
      </c>
      <c r="R25" s="15">
        <v>2161753</v>
      </c>
      <c r="S25" s="16" t="s">
        <v>108</v>
      </c>
      <c r="T25" s="17" t="s">
        <v>33</v>
      </c>
      <c r="U25" s="18" t="s">
        <v>34</v>
      </c>
      <c r="V25" s="3"/>
      <c r="W25" s="3"/>
      <c r="X25" s="3"/>
      <c r="Y25" s="3"/>
      <c r="Z25" s="3"/>
      <c r="AA25" s="3"/>
      <c r="AB25" s="3"/>
    </row>
    <row r="26" spans="1:28" ht="30.75" customHeight="1">
      <c r="A26" s="22"/>
      <c r="B26" s="22"/>
      <c r="C26" s="22" t="s">
        <v>53</v>
      </c>
      <c r="D26" s="22" t="s">
        <v>54</v>
      </c>
      <c r="E26" s="22" t="s">
        <v>55</v>
      </c>
      <c r="F26" s="3"/>
      <c r="G26" s="3"/>
      <c r="H26" s="38"/>
      <c r="I26" s="3"/>
      <c r="J26" s="3"/>
      <c r="K26" s="10">
        <f t="shared" si="0"/>
        <v>20</v>
      </c>
      <c r="L26" s="11" t="str">
        <f t="shared" si="1"/>
        <v>48267SVEUČILIŠTE SJEVER</v>
      </c>
      <c r="M26" s="11">
        <v>48267</v>
      </c>
      <c r="N26" s="12" t="s">
        <v>109</v>
      </c>
      <c r="O26" s="13" t="s">
        <v>109</v>
      </c>
      <c r="P26" s="12" t="s">
        <v>110</v>
      </c>
      <c r="Q26" s="12" t="s">
        <v>111</v>
      </c>
      <c r="R26" s="15">
        <v>2752298</v>
      </c>
      <c r="S26" s="16" t="s">
        <v>112</v>
      </c>
      <c r="T26" s="17" t="s">
        <v>33</v>
      </c>
      <c r="U26" s="18" t="s">
        <v>34</v>
      </c>
      <c r="V26" s="3"/>
      <c r="W26" s="3"/>
      <c r="X26" s="3"/>
      <c r="Y26" s="3"/>
      <c r="Z26" s="3"/>
      <c r="AA26" s="3"/>
      <c r="AB26" s="3"/>
    </row>
    <row r="27" spans="1:28" ht="12.75" customHeight="1">
      <c r="A27" s="26">
        <v>8</v>
      </c>
      <c r="B27" s="24" t="s">
        <v>113</v>
      </c>
      <c r="C27" s="27">
        <f>'PLAN PRIHODA I PRIMITAKA '!D40</f>
        <v>0</v>
      </c>
      <c r="D27" s="27">
        <f>'PLAN PRIHODA I PRIMITAKA '!D80</f>
        <v>0</v>
      </c>
      <c r="E27" s="27">
        <f>'PLAN PRIHODA I PRIMITAKA '!D120</f>
        <v>0</v>
      </c>
      <c r="F27" s="3"/>
      <c r="G27" s="3"/>
      <c r="H27" s="3"/>
      <c r="I27" s="3"/>
      <c r="J27" s="3"/>
      <c r="K27" s="10">
        <f t="shared" si="0"/>
        <v>21</v>
      </c>
      <c r="L27" s="11" t="str">
        <f t="shared" si="1"/>
        <v>24141SVEUČILIŠTE U DUBROVNIKU</v>
      </c>
      <c r="M27" s="11">
        <v>24141</v>
      </c>
      <c r="N27" s="12" t="s">
        <v>114</v>
      </c>
      <c r="O27" s="13" t="s">
        <v>114</v>
      </c>
      <c r="P27" s="12" t="s">
        <v>115</v>
      </c>
      <c r="Q27" s="12" t="s">
        <v>116</v>
      </c>
      <c r="R27" s="15">
        <v>1787578</v>
      </c>
      <c r="S27" s="16" t="s">
        <v>117</v>
      </c>
      <c r="T27" s="17" t="s">
        <v>33</v>
      </c>
      <c r="U27" s="18" t="s">
        <v>34</v>
      </c>
      <c r="V27" s="3"/>
      <c r="W27" s="3"/>
      <c r="X27" s="3"/>
      <c r="Y27" s="3"/>
      <c r="Z27" s="3"/>
      <c r="AA27" s="3"/>
      <c r="AB27" s="3"/>
    </row>
    <row r="28" spans="1:28" ht="12.75" customHeight="1">
      <c r="A28" s="26">
        <v>5</v>
      </c>
      <c r="B28" s="24" t="s">
        <v>118</v>
      </c>
      <c r="C28" s="27">
        <f>'PLAN RASHODA I IZDATAKA'!D58</f>
        <v>0</v>
      </c>
      <c r="D28" s="27">
        <f>'PLAN RASHODA I IZDATAKA'!D86</f>
        <v>0</v>
      </c>
      <c r="E28" s="27">
        <f>'PLAN RASHODA I IZDATAKA'!D106</f>
        <v>0</v>
      </c>
      <c r="F28" s="39"/>
      <c r="G28" s="3"/>
      <c r="H28" s="3"/>
      <c r="I28" s="3"/>
      <c r="J28" s="3"/>
      <c r="K28" s="10">
        <f t="shared" si="0"/>
        <v>22</v>
      </c>
      <c r="L28" s="11" t="str">
        <f t="shared" si="1"/>
        <v>2444SVEUČILIŠTE U RIJECI</v>
      </c>
      <c r="M28" s="11">
        <v>2444</v>
      </c>
      <c r="N28" s="12" t="s">
        <v>119</v>
      </c>
      <c r="O28" s="40" t="s">
        <v>119</v>
      </c>
      <c r="P28" s="12" t="s">
        <v>120</v>
      </c>
      <c r="Q28" s="12" t="s">
        <v>121</v>
      </c>
      <c r="R28" s="15">
        <v>3337413</v>
      </c>
      <c r="S28" s="16" t="s">
        <v>122</v>
      </c>
      <c r="T28" s="17" t="s">
        <v>33</v>
      </c>
      <c r="U28" s="18" t="s">
        <v>34</v>
      </c>
      <c r="V28" s="3"/>
      <c r="W28" s="3"/>
      <c r="X28" s="3"/>
      <c r="Y28" s="3"/>
      <c r="Z28" s="3"/>
      <c r="AA28" s="3"/>
      <c r="AB28" s="3"/>
    </row>
    <row r="29" spans="1:28" ht="19.5" customHeight="1">
      <c r="A29" s="24"/>
      <c r="B29" s="24" t="s">
        <v>123</v>
      </c>
      <c r="C29" s="31">
        <f t="shared" ref="C29:E29" si="5">+C27-C28</f>
        <v>0</v>
      </c>
      <c r="D29" s="31">
        <f t="shared" si="5"/>
        <v>0</v>
      </c>
      <c r="E29" s="31">
        <f t="shared" si="5"/>
        <v>0</v>
      </c>
      <c r="F29" s="3"/>
      <c r="G29" s="3"/>
      <c r="H29" s="3"/>
      <c r="I29" s="3"/>
      <c r="J29" s="3"/>
      <c r="K29" s="10">
        <f t="shared" si="0"/>
        <v>23</v>
      </c>
      <c r="L29" s="11" t="str">
        <f t="shared" si="1"/>
        <v>38454SVEUČILIŠTE U RIJECI - AKADEMIJA PRIMJENJENIH UMJETNOSTI</v>
      </c>
      <c r="M29" s="11">
        <v>38454</v>
      </c>
      <c r="N29" s="12" t="s">
        <v>124</v>
      </c>
      <c r="O29" s="40" t="s">
        <v>119</v>
      </c>
      <c r="P29" s="12" t="s">
        <v>125</v>
      </c>
      <c r="Q29" s="12" t="s">
        <v>121</v>
      </c>
      <c r="R29" s="15">
        <v>1954253</v>
      </c>
      <c r="S29" s="16" t="s">
        <v>126</v>
      </c>
      <c r="T29" s="17" t="s">
        <v>33</v>
      </c>
      <c r="U29" s="18" t="s">
        <v>34</v>
      </c>
      <c r="V29" s="3"/>
      <c r="W29" s="3"/>
      <c r="X29" s="3"/>
      <c r="Y29" s="3"/>
      <c r="Z29" s="3"/>
      <c r="AA29" s="3"/>
      <c r="AB29" s="3"/>
    </row>
    <row r="30" spans="1:28" ht="19.5" customHeight="1">
      <c r="A30" s="2"/>
      <c r="B30" s="235"/>
      <c r="C30" s="236"/>
      <c r="D30" s="236"/>
      <c r="E30" s="236"/>
      <c r="F30" s="3"/>
      <c r="G30" s="3"/>
      <c r="H30" s="3"/>
      <c r="I30" s="3"/>
      <c r="J30" s="3"/>
      <c r="K30" s="10">
        <f t="shared" si="0"/>
        <v>24</v>
      </c>
      <c r="L30" s="11" t="str">
        <f t="shared" si="1"/>
        <v>2186SVEUČILIŠTE U RIJECI - EKONOMSKI FAKULTET</v>
      </c>
      <c r="M30" s="11">
        <v>2186</v>
      </c>
      <c r="N30" s="12" t="s">
        <v>127</v>
      </c>
      <c r="O30" s="40" t="s">
        <v>119</v>
      </c>
      <c r="P30" s="12" t="s">
        <v>128</v>
      </c>
      <c r="Q30" s="12" t="s">
        <v>121</v>
      </c>
      <c r="R30" s="15">
        <v>3328627</v>
      </c>
      <c r="S30" s="16" t="s">
        <v>129</v>
      </c>
      <c r="T30" s="17" t="s">
        <v>33</v>
      </c>
      <c r="U30" s="18" t="s">
        <v>34</v>
      </c>
      <c r="V30" s="3"/>
      <c r="W30" s="3"/>
      <c r="X30" s="3"/>
      <c r="Y30" s="3"/>
      <c r="Z30" s="3"/>
      <c r="AA30" s="3"/>
      <c r="AB30" s="3"/>
    </row>
    <row r="31" spans="1:28" ht="12.75" customHeight="1">
      <c r="A31" s="41"/>
      <c r="B31" s="41" t="s">
        <v>130</v>
      </c>
      <c r="C31" s="42">
        <v>0</v>
      </c>
      <c r="D31" s="42">
        <f t="shared" ref="D31:E31" si="6">+D20+D23+D24+D29</f>
        <v>0.39919999241828918</v>
      </c>
      <c r="E31" s="42">
        <f t="shared" si="6"/>
        <v>-0.17090001702308655</v>
      </c>
      <c r="F31" s="3"/>
      <c r="G31" s="43"/>
      <c r="H31" s="3"/>
      <c r="I31" s="3"/>
      <c r="J31" s="3"/>
      <c r="K31" s="10">
        <f t="shared" si="0"/>
        <v>25</v>
      </c>
      <c r="L31" s="11" t="str">
        <f t="shared" si="1"/>
        <v>2194SVEUČILIŠTE U RIJECI - FAKULTET ZA MENADŽMENT U TURIZMU I UGOSTITELJSTVU</v>
      </c>
      <c r="M31" s="11">
        <v>2194</v>
      </c>
      <c r="N31" s="12" t="s">
        <v>131</v>
      </c>
      <c r="O31" s="40" t="s">
        <v>119</v>
      </c>
      <c r="P31" s="12" t="s">
        <v>132</v>
      </c>
      <c r="Q31" s="12" t="s">
        <v>133</v>
      </c>
      <c r="R31" s="15">
        <v>3091732</v>
      </c>
      <c r="S31" s="16" t="s">
        <v>134</v>
      </c>
      <c r="T31" s="17" t="s">
        <v>33</v>
      </c>
      <c r="U31" s="18" t="s">
        <v>34</v>
      </c>
      <c r="V31" s="3"/>
      <c r="W31" s="3"/>
      <c r="X31" s="3"/>
      <c r="Y31" s="3"/>
      <c r="Z31" s="3"/>
      <c r="AA31" s="3"/>
      <c r="AB31" s="3"/>
    </row>
    <row r="32" spans="1:28" ht="18.75" customHeight="1">
      <c r="A32" s="21"/>
      <c r="B32" s="21"/>
      <c r="C32" s="3"/>
      <c r="D32" s="3"/>
      <c r="E32" s="3"/>
      <c r="F32" s="3"/>
      <c r="G32" s="3"/>
      <c r="H32" s="3"/>
      <c r="I32" s="3"/>
      <c r="J32" s="3"/>
      <c r="K32" s="10">
        <f t="shared" si="0"/>
        <v>26</v>
      </c>
      <c r="L32" s="11" t="str">
        <f t="shared" si="1"/>
        <v>48023SVEUČILIŠTE U RIJECI - FAKULTET ZDRAVSTVENIH STUDIJA U RIJECI</v>
      </c>
      <c r="M32" s="11">
        <v>48023</v>
      </c>
      <c r="N32" s="12" t="s">
        <v>135</v>
      </c>
      <c r="O32" s="40" t="s">
        <v>119</v>
      </c>
      <c r="P32" s="12" t="s">
        <v>136</v>
      </c>
      <c r="Q32" s="12" t="s">
        <v>121</v>
      </c>
      <c r="R32" s="15" t="s">
        <v>137</v>
      </c>
      <c r="S32" s="16" t="s">
        <v>138</v>
      </c>
      <c r="T32" s="17" t="s">
        <v>33</v>
      </c>
      <c r="U32" s="18" t="s">
        <v>34</v>
      </c>
      <c r="V32" s="3"/>
      <c r="W32" s="3"/>
      <c r="X32" s="3"/>
      <c r="Y32" s="3"/>
      <c r="Z32" s="3"/>
      <c r="AA32" s="3"/>
      <c r="AB32" s="3"/>
    </row>
    <row r="33" spans="1:28" ht="12.75" customHeight="1">
      <c r="A33" s="44"/>
      <c r="B33" s="44"/>
      <c r="C33" s="44"/>
      <c r="D33" s="44"/>
      <c r="E33" s="44"/>
      <c r="F33" s="44"/>
      <c r="G33" s="45"/>
      <c r="H33" s="45"/>
      <c r="I33" s="45"/>
      <c r="J33" s="45"/>
      <c r="K33" s="10">
        <f t="shared" si="0"/>
        <v>27</v>
      </c>
      <c r="L33" s="11" t="str">
        <f t="shared" si="1"/>
        <v>22857SVEUČILIŠTE U RIJECI - FILOZOFSKI FAKULTET</v>
      </c>
      <c r="M33" s="11">
        <v>22857</v>
      </c>
      <c r="N33" s="12" t="s">
        <v>139</v>
      </c>
      <c r="O33" s="40" t="s">
        <v>119</v>
      </c>
      <c r="P33" s="12" t="s">
        <v>140</v>
      </c>
      <c r="Q33" s="12" t="s">
        <v>121</v>
      </c>
      <c r="R33" s="15">
        <v>3368491</v>
      </c>
      <c r="S33" s="16" t="s">
        <v>141</v>
      </c>
      <c r="T33" s="17" t="s">
        <v>33</v>
      </c>
      <c r="U33" s="18" t="s">
        <v>34</v>
      </c>
      <c r="V33" s="45"/>
      <c r="W33" s="45"/>
      <c r="X33" s="45"/>
      <c r="Y33" s="45"/>
      <c r="Z33" s="45"/>
      <c r="AA33" s="45"/>
      <c r="AB33" s="45"/>
    </row>
    <row r="34" spans="1:28" ht="12.75" hidden="1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10">
        <f t="shared" si="0"/>
        <v>28</v>
      </c>
      <c r="L34" s="11" t="str">
        <f t="shared" si="1"/>
        <v>2160SVEUČILIŠTE U RIJECI - GRAĐEVINSKI FAKULTET</v>
      </c>
      <c r="M34" s="11">
        <v>2160</v>
      </c>
      <c r="N34" s="12" t="s">
        <v>142</v>
      </c>
      <c r="O34" s="40" t="s">
        <v>119</v>
      </c>
      <c r="P34" s="12" t="s">
        <v>143</v>
      </c>
      <c r="Q34" s="12" t="s">
        <v>121</v>
      </c>
      <c r="R34" s="15">
        <v>3395855</v>
      </c>
      <c r="S34" s="16" t="s">
        <v>144</v>
      </c>
      <c r="T34" s="17" t="s">
        <v>33</v>
      </c>
      <c r="U34" s="18" t="s">
        <v>34</v>
      </c>
      <c r="V34" s="3"/>
      <c r="W34" s="3"/>
      <c r="X34" s="3"/>
      <c r="Y34" s="3"/>
      <c r="Z34" s="3"/>
      <c r="AA34" s="3"/>
      <c r="AB34" s="3"/>
    </row>
    <row r="35" spans="1:28" ht="12.75" hidden="1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10">
        <f t="shared" si="0"/>
        <v>29</v>
      </c>
      <c r="L35" s="11" t="str">
        <f t="shared" si="1"/>
        <v>2225SVEUČILIŠTE U RIJECI - MEDICINSKI FAKULTET</v>
      </c>
      <c r="M35" s="11">
        <v>2225</v>
      </c>
      <c r="N35" s="12" t="s">
        <v>145</v>
      </c>
      <c r="O35" s="40" t="s">
        <v>119</v>
      </c>
      <c r="P35" s="12" t="s">
        <v>146</v>
      </c>
      <c r="Q35" s="12" t="s">
        <v>121</v>
      </c>
      <c r="R35" s="15">
        <v>3328554</v>
      </c>
      <c r="S35" s="16" t="s">
        <v>147</v>
      </c>
      <c r="T35" s="17" t="s">
        <v>33</v>
      </c>
      <c r="U35" s="18" t="s">
        <v>34</v>
      </c>
      <c r="V35" s="3"/>
      <c r="W35" s="3"/>
      <c r="X35" s="3"/>
      <c r="Y35" s="3"/>
      <c r="Z35" s="3"/>
      <c r="AA35" s="3"/>
      <c r="AB35" s="3"/>
    </row>
    <row r="36" spans="1:28" ht="12.75" hidden="1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10">
        <f t="shared" si="0"/>
        <v>30</v>
      </c>
      <c r="L36" s="11" t="str">
        <f t="shared" si="1"/>
        <v>22568SVEUČILIŠTE U RIJECI - POMORSKI FAKULTET</v>
      </c>
      <c r="M36" s="11">
        <v>22568</v>
      </c>
      <c r="N36" s="12" t="s">
        <v>148</v>
      </c>
      <c r="O36" s="40" t="s">
        <v>119</v>
      </c>
      <c r="P36" s="12" t="s">
        <v>149</v>
      </c>
      <c r="Q36" s="12" t="s">
        <v>121</v>
      </c>
      <c r="R36" s="15">
        <v>1580485</v>
      </c>
      <c r="S36" s="16" t="s">
        <v>150</v>
      </c>
      <c r="T36" s="17" t="s">
        <v>33</v>
      </c>
      <c r="U36" s="18" t="s">
        <v>34</v>
      </c>
      <c r="V36" s="3"/>
      <c r="W36" s="3"/>
      <c r="X36" s="3"/>
      <c r="Y36" s="3"/>
      <c r="Z36" s="3"/>
      <c r="AA36" s="3"/>
      <c r="AB36" s="3"/>
    </row>
    <row r="37" spans="1:28" ht="12.75" hidden="1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10">
        <f t="shared" si="0"/>
        <v>31</v>
      </c>
      <c r="L37" s="11" t="str">
        <f t="shared" si="1"/>
        <v>2217SVEUČILIŠTE U RIJECI - PRAVNI FAKULTET</v>
      </c>
      <c r="M37" s="11">
        <v>2217</v>
      </c>
      <c r="N37" s="12" t="s">
        <v>151</v>
      </c>
      <c r="O37" s="40" t="s">
        <v>119</v>
      </c>
      <c r="P37" s="12" t="s">
        <v>152</v>
      </c>
      <c r="Q37" s="12" t="s">
        <v>121</v>
      </c>
      <c r="R37" s="15">
        <v>3328562</v>
      </c>
      <c r="S37" s="16" t="s">
        <v>153</v>
      </c>
      <c r="T37" s="17" t="s">
        <v>33</v>
      </c>
      <c r="U37" s="18" t="s">
        <v>34</v>
      </c>
      <c r="V37" s="3"/>
      <c r="W37" s="3"/>
      <c r="X37" s="3"/>
      <c r="Y37" s="3"/>
      <c r="Z37" s="3"/>
      <c r="AA37" s="3"/>
      <c r="AB37" s="3"/>
    </row>
    <row r="38" spans="1:28" ht="12.75" hidden="1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10">
        <f t="shared" si="0"/>
        <v>32</v>
      </c>
      <c r="L38" s="11" t="str">
        <f t="shared" si="1"/>
        <v>2493SVEUČILIŠTE U RIJECI - SVEUČILIŠNA KNJIŽNICA</v>
      </c>
      <c r="M38" s="11">
        <v>2493</v>
      </c>
      <c r="N38" s="12" t="s">
        <v>154</v>
      </c>
      <c r="O38" s="40" t="s">
        <v>119</v>
      </c>
      <c r="P38" s="12" t="s">
        <v>155</v>
      </c>
      <c r="Q38" s="12" t="s">
        <v>121</v>
      </c>
      <c r="R38" s="15">
        <v>3328686</v>
      </c>
      <c r="S38" s="16" t="s">
        <v>156</v>
      </c>
      <c r="T38" s="17" t="s">
        <v>33</v>
      </c>
      <c r="U38" s="18" t="s">
        <v>34</v>
      </c>
      <c r="V38" s="3"/>
      <c r="W38" s="3"/>
      <c r="X38" s="3"/>
      <c r="Y38" s="3"/>
      <c r="Z38" s="3"/>
      <c r="AA38" s="3"/>
      <c r="AB38" s="3"/>
    </row>
    <row r="39" spans="1:28" ht="12.75" hidden="1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10">
        <f t="shared" si="0"/>
        <v>33</v>
      </c>
      <c r="L39" s="11" t="str">
        <f t="shared" si="1"/>
        <v>2151SVEUČILIŠTE U RIJECI - TEHNIČKI FAKULTET</v>
      </c>
      <c r="M39" s="11">
        <v>2151</v>
      </c>
      <c r="N39" s="12" t="s">
        <v>157</v>
      </c>
      <c r="O39" s="40" t="s">
        <v>119</v>
      </c>
      <c r="P39" s="12" t="s">
        <v>158</v>
      </c>
      <c r="Q39" s="12" t="s">
        <v>121</v>
      </c>
      <c r="R39" s="15">
        <v>3334317</v>
      </c>
      <c r="S39" s="16" t="s">
        <v>159</v>
      </c>
      <c r="T39" s="17" t="s">
        <v>33</v>
      </c>
      <c r="U39" s="18" t="s">
        <v>34</v>
      </c>
      <c r="V39" s="3"/>
      <c r="W39" s="3"/>
      <c r="X39" s="3"/>
      <c r="Y39" s="3"/>
      <c r="Z39" s="3"/>
      <c r="AA39" s="3"/>
      <c r="AB39" s="3"/>
    </row>
    <row r="40" spans="1:28" ht="12.75" hidden="1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10">
        <f t="shared" si="0"/>
        <v>34</v>
      </c>
      <c r="L40" s="11" t="str">
        <f t="shared" si="1"/>
        <v>40947SVEUČILIŠTE U RIJECI - UČITELJSKI FAKULTET</v>
      </c>
      <c r="M40" s="11">
        <v>40947</v>
      </c>
      <c r="N40" s="12" t="s">
        <v>160</v>
      </c>
      <c r="O40" s="40" t="s">
        <v>119</v>
      </c>
      <c r="P40" s="12" t="s">
        <v>161</v>
      </c>
      <c r="Q40" s="12" t="s">
        <v>121</v>
      </c>
      <c r="R40" s="15">
        <v>2116073</v>
      </c>
      <c r="S40" s="16" t="s">
        <v>162</v>
      </c>
      <c r="T40" s="17" t="s">
        <v>33</v>
      </c>
      <c r="U40" s="18" t="s">
        <v>34</v>
      </c>
      <c r="V40" s="3"/>
      <c r="W40" s="3"/>
      <c r="X40" s="3"/>
      <c r="Y40" s="3"/>
      <c r="Z40" s="3"/>
      <c r="AA40" s="3"/>
      <c r="AB40" s="3"/>
    </row>
    <row r="41" spans="1:28" ht="12.75" hidden="1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10">
        <f t="shared" si="0"/>
        <v>35</v>
      </c>
      <c r="L41" s="11" t="str">
        <f t="shared" si="1"/>
        <v>51360SVEUČILIŠTE U SLAVONSKOM BRODU</v>
      </c>
      <c r="M41" s="11">
        <v>51360</v>
      </c>
      <c r="N41" s="12" t="s">
        <v>163</v>
      </c>
      <c r="O41" s="19" t="s">
        <v>163</v>
      </c>
      <c r="P41" s="12" t="s">
        <v>164</v>
      </c>
      <c r="Q41" s="12" t="s">
        <v>165</v>
      </c>
      <c r="R41" s="15">
        <v>5290538</v>
      </c>
      <c r="S41" s="16" t="s">
        <v>166</v>
      </c>
      <c r="T41" s="17" t="s">
        <v>33</v>
      </c>
      <c r="U41" s="18" t="s">
        <v>34</v>
      </c>
      <c r="V41" s="3"/>
      <c r="W41" s="3"/>
      <c r="X41" s="3"/>
      <c r="Y41" s="3"/>
      <c r="Z41" s="3"/>
      <c r="AA41" s="3"/>
      <c r="AB41" s="3"/>
    </row>
    <row r="42" spans="1:28" ht="12.75" hidden="1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10">
        <f t="shared" si="0"/>
        <v>36</v>
      </c>
      <c r="L42" s="11" t="str">
        <f t="shared" si="1"/>
        <v>2469SVEUČILIŠTE U SPLITU</v>
      </c>
      <c r="M42" s="11">
        <v>2469</v>
      </c>
      <c r="N42" s="12" t="s">
        <v>167</v>
      </c>
      <c r="O42" s="13" t="s">
        <v>167</v>
      </c>
      <c r="P42" s="12" t="s">
        <v>168</v>
      </c>
      <c r="Q42" s="12" t="s">
        <v>169</v>
      </c>
      <c r="R42" s="15">
        <v>3129306</v>
      </c>
      <c r="S42" s="16" t="s">
        <v>170</v>
      </c>
      <c r="T42" s="17" t="s">
        <v>33</v>
      </c>
      <c r="U42" s="18" t="s">
        <v>34</v>
      </c>
      <c r="V42" s="3"/>
      <c r="W42" s="3"/>
      <c r="X42" s="3"/>
      <c r="Y42" s="3"/>
      <c r="Z42" s="3"/>
      <c r="AA42" s="3"/>
      <c r="AB42" s="3"/>
    </row>
    <row r="43" spans="1:28" ht="12.75" hidden="1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10">
        <f t="shared" si="0"/>
        <v>37</v>
      </c>
      <c r="L43" s="11" t="str">
        <f t="shared" si="1"/>
        <v>2372SVEUČILIŠTE U SPLITU - EKONOMSKI FAKULTET</v>
      </c>
      <c r="M43" s="11">
        <v>2372</v>
      </c>
      <c r="N43" s="12" t="s">
        <v>171</v>
      </c>
      <c r="O43" s="13" t="s">
        <v>167</v>
      </c>
      <c r="P43" s="12" t="s">
        <v>172</v>
      </c>
      <c r="Q43" s="12" t="s">
        <v>169</v>
      </c>
      <c r="R43" s="15">
        <v>3119076</v>
      </c>
      <c r="S43" s="16" t="s">
        <v>173</v>
      </c>
      <c r="T43" s="17" t="s">
        <v>33</v>
      </c>
      <c r="U43" s="18" t="s">
        <v>34</v>
      </c>
      <c r="V43" s="3"/>
      <c r="W43" s="3"/>
      <c r="X43" s="3"/>
      <c r="Y43" s="3"/>
      <c r="Z43" s="3"/>
      <c r="AA43" s="3"/>
      <c r="AB43" s="3"/>
    </row>
    <row r="44" spans="1:28" ht="12.75" hidden="1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10">
        <f t="shared" si="0"/>
        <v>38</v>
      </c>
      <c r="L44" s="11" t="str">
        <f t="shared" si="1"/>
        <v>2330SVEUČILIŠTE U SPLITU - FAKULTET ELEKTROTEHNIKE, STROJARSTVA I BRODOGRADNJE</v>
      </c>
      <c r="M44" s="11">
        <v>2330</v>
      </c>
      <c r="N44" s="12" t="s">
        <v>174</v>
      </c>
      <c r="O44" s="13" t="s">
        <v>167</v>
      </c>
      <c r="P44" s="12" t="s">
        <v>175</v>
      </c>
      <c r="Q44" s="12" t="s">
        <v>169</v>
      </c>
      <c r="R44" s="15">
        <v>3118339</v>
      </c>
      <c r="S44" s="16" t="s">
        <v>176</v>
      </c>
      <c r="T44" s="17" t="s">
        <v>33</v>
      </c>
      <c r="U44" s="18" t="s">
        <v>34</v>
      </c>
      <c r="V44" s="3"/>
      <c r="W44" s="3"/>
      <c r="X44" s="3"/>
      <c r="Y44" s="3"/>
      <c r="Z44" s="3"/>
      <c r="AA44" s="3"/>
      <c r="AB44" s="3"/>
    </row>
    <row r="45" spans="1:28" ht="12.75" hidden="1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10">
        <f t="shared" si="0"/>
        <v>39</v>
      </c>
      <c r="L45" s="11" t="str">
        <f t="shared" si="1"/>
        <v>2348SVEUČILIŠTE U SPLITU - FAKULTET GRAĐEVINARSTVA, ARHITEKTURE I GEODEZIJE</v>
      </c>
      <c r="M45" s="11">
        <v>2348</v>
      </c>
      <c r="N45" s="12" t="s">
        <v>177</v>
      </c>
      <c r="O45" s="13" t="s">
        <v>167</v>
      </c>
      <c r="P45" s="12" t="s">
        <v>178</v>
      </c>
      <c r="Q45" s="12" t="s">
        <v>169</v>
      </c>
      <c r="R45" s="15">
        <v>3149463</v>
      </c>
      <c r="S45" s="16" t="s">
        <v>179</v>
      </c>
      <c r="T45" s="17" t="s">
        <v>33</v>
      </c>
      <c r="U45" s="18" t="s">
        <v>34</v>
      </c>
      <c r="V45" s="3"/>
      <c r="W45" s="3"/>
      <c r="X45" s="3"/>
      <c r="Y45" s="3"/>
      <c r="Z45" s="3"/>
      <c r="AA45" s="3"/>
      <c r="AB45" s="3"/>
    </row>
    <row r="46" spans="1:28" ht="12.75" hidden="1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10">
        <f t="shared" si="0"/>
        <v>40</v>
      </c>
      <c r="L46" s="11" t="str">
        <f t="shared" si="1"/>
        <v>22435SVEUČILIŠTE U SPLITU - FILOZOFSKI FAKULTET</v>
      </c>
      <c r="M46" s="11">
        <v>22435</v>
      </c>
      <c r="N46" s="12" t="s">
        <v>180</v>
      </c>
      <c r="O46" s="13" t="s">
        <v>167</v>
      </c>
      <c r="P46" s="12" t="s">
        <v>168</v>
      </c>
      <c r="Q46" s="12" t="s">
        <v>169</v>
      </c>
      <c r="R46" s="15">
        <v>1413236</v>
      </c>
      <c r="S46" s="16" t="s">
        <v>181</v>
      </c>
      <c r="T46" s="17" t="s">
        <v>33</v>
      </c>
      <c r="U46" s="18" t="s">
        <v>34</v>
      </c>
      <c r="V46" s="3"/>
      <c r="W46" s="3"/>
      <c r="X46" s="3"/>
      <c r="Y46" s="3"/>
      <c r="Z46" s="3"/>
      <c r="AA46" s="3"/>
      <c r="AB46" s="3"/>
    </row>
    <row r="47" spans="1:28" ht="12.75" hidden="1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10">
        <f t="shared" si="0"/>
        <v>41</v>
      </c>
      <c r="L47" s="11" t="str">
        <f t="shared" si="1"/>
        <v>23368SVEUČILIŠTE U SPLITU - KATOLIČKI BOGOSLOVNI FAKULTET</v>
      </c>
      <c r="M47" s="11">
        <v>23368</v>
      </c>
      <c r="N47" s="12" t="s">
        <v>182</v>
      </c>
      <c r="O47" s="13" t="s">
        <v>167</v>
      </c>
      <c r="P47" s="12" t="s">
        <v>183</v>
      </c>
      <c r="Q47" s="12" t="s">
        <v>169</v>
      </c>
      <c r="R47" s="15">
        <v>1465643</v>
      </c>
      <c r="S47" s="16">
        <v>36149548625</v>
      </c>
      <c r="T47" s="17" t="s">
        <v>33</v>
      </c>
      <c r="U47" s="18" t="s">
        <v>34</v>
      </c>
      <c r="V47" s="3"/>
      <c r="W47" s="3"/>
      <c r="X47" s="3"/>
      <c r="Y47" s="3"/>
      <c r="Z47" s="3"/>
      <c r="AA47" s="3"/>
      <c r="AB47" s="3"/>
    </row>
    <row r="48" spans="1:28" ht="12.75" hidden="1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10">
        <f t="shared" si="0"/>
        <v>42</v>
      </c>
      <c r="L48" s="11" t="str">
        <f t="shared" si="1"/>
        <v>2356SVEUČILIŠTE U SPLITU - KEMIJSKO-TEHNOLOŠKI FAKULTET</v>
      </c>
      <c r="M48" s="11">
        <v>2356</v>
      </c>
      <c r="N48" s="12" t="s">
        <v>184</v>
      </c>
      <c r="O48" s="13" t="s">
        <v>167</v>
      </c>
      <c r="P48" s="12" t="s">
        <v>185</v>
      </c>
      <c r="Q48" s="12" t="s">
        <v>169</v>
      </c>
      <c r="R48" s="15">
        <v>3119068</v>
      </c>
      <c r="S48" s="16" t="s">
        <v>186</v>
      </c>
      <c r="T48" s="17" t="s">
        <v>33</v>
      </c>
      <c r="U48" s="18" t="s">
        <v>34</v>
      </c>
      <c r="V48" s="3"/>
      <c r="W48" s="3"/>
      <c r="X48" s="3"/>
      <c r="Y48" s="3"/>
      <c r="Z48" s="3"/>
      <c r="AA48" s="3"/>
      <c r="AB48" s="3"/>
    </row>
    <row r="49" spans="1:28" ht="12.75" hidden="1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10">
        <f t="shared" si="0"/>
        <v>43</v>
      </c>
      <c r="L49" s="11" t="str">
        <f t="shared" si="1"/>
        <v>43773SVEUČILIŠTE U SPLITU - KINEZIOLOŠKI FAKULTET</v>
      </c>
      <c r="M49" s="11">
        <v>43773</v>
      </c>
      <c r="N49" s="12" t="s">
        <v>187</v>
      </c>
      <c r="O49" s="13" t="s">
        <v>167</v>
      </c>
      <c r="P49" s="12" t="s">
        <v>188</v>
      </c>
      <c r="Q49" s="12" t="s">
        <v>169</v>
      </c>
      <c r="R49" s="15">
        <v>2393255</v>
      </c>
      <c r="S49" s="16" t="s">
        <v>189</v>
      </c>
      <c r="T49" s="17" t="s">
        <v>33</v>
      </c>
      <c r="U49" s="18" t="s">
        <v>34</v>
      </c>
      <c r="V49" s="3"/>
      <c r="W49" s="3"/>
      <c r="X49" s="3"/>
      <c r="Y49" s="3"/>
      <c r="Z49" s="3"/>
      <c r="AA49" s="3"/>
      <c r="AB49" s="3"/>
    </row>
    <row r="50" spans="1:28" ht="12.75" hidden="1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10">
        <f t="shared" si="0"/>
        <v>44</v>
      </c>
      <c r="L50" s="11" t="str">
        <f t="shared" si="1"/>
        <v>22451SVEUČILIŠTE U SPLITU - MEDICINSKI FAKULTET</v>
      </c>
      <c r="M50" s="11">
        <v>22451</v>
      </c>
      <c r="N50" s="12" t="s">
        <v>190</v>
      </c>
      <c r="O50" s="13" t="s">
        <v>167</v>
      </c>
      <c r="P50" s="12" t="s">
        <v>191</v>
      </c>
      <c r="Q50" s="12" t="s">
        <v>169</v>
      </c>
      <c r="R50" s="15">
        <v>1315366</v>
      </c>
      <c r="S50" s="16" t="s">
        <v>192</v>
      </c>
      <c r="T50" s="17" t="s">
        <v>33</v>
      </c>
      <c r="U50" s="18" t="s">
        <v>34</v>
      </c>
      <c r="V50" s="3"/>
      <c r="W50" s="3"/>
      <c r="X50" s="3"/>
      <c r="Y50" s="3"/>
      <c r="Z50" s="3"/>
      <c r="AA50" s="3"/>
      <c r="AB50" s="3"/>
    </row>
    <row r="51" spans="1:28" ht="12.75" hidden="1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10">
        <f t="shared" si="0"/>
        <v>45</v>
      </c>
      <c r="L51" s="11" t="str">
        <f t="shared" si="1"/>
        <v>22460SVEUČILIŠTE U SPLITU - POMORSKI FAKULTET</v>
      </c>
      <c r="M51" s="11">
        <v>22460</v>
      </c>
      <c r="N51" s="12" t="s">
        <v>193</v>
      </c>
      <c r="O51" s="13" t="s">
        <v>167</v>
      </c>
      <c r="P51" s="12" t="s">
        <v>194</v>
      </c>
      <c r="Q51" s="12" t="s">
        <v>169</v>
      </c>
      <c r="R51" s="15">
        <v>1406043</v>
      </c>
      <c r="S51" s="16" t="s">
        <v>195</v>
      </c>
      <c r="T51" s="17" t="s">
        <v>33</v>
      </c>
      <c r="U51" s="18" t="s">
        <v>34</v>
      </c>
      <c r="V51" s="3"/>
      <c r="W51" s="3"/>
      <c r="X51" s="3"/>
      <c r="Y51" s="3"/>
      <c r="Z51" s="3"/>
      <c r="AA51" s="3"/>
      <c r="AB51" s="3"/>
    </row>
    <row r="52" spans="1:28" ht="12.75" hidden="1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10">
        <f t="shared" si="0"/>
        <v>46</v>
      </c>
      <c r="L52" s="11" t="str">
        <f t="shared" si="1"/>
        <v>2397SVEUČILIŠTE U SPLITU - PRAVNI FAKULTET</v>
      </c>
      <c r="M52" s="11">
        <v>2397</v>
      </c>
      <c r="N52" s="12" t="s">
        <v>196</v>
      </c>
      <c r="O52" s="13" t="s">
        <v>167</v>
      </c>
      <c r="P52" s="12" t="s">
        <v>197</v>
      </c>
      <c r="Q52" s="12" t="s">
        <v>169</v>
      </c>
      <c r="R52" s="15">
        <v>3118347</v>
      </c>
      <c r="S52" s="16" t="s">
        <v>198</v>
      </c>
      <c r="T52" s="17" t="s">
        <v>33</v>
      </c>
      <c r="U52" s="18" t="s">
        <v>34</v>
      </c>
      <c r="V52" s="3"/>
      <c r="W52" s="3"/>
      <c r="X52" s="3"/>
      <c r="Y52" s="3"/>
      <c r="Z52" s="3"/>
      <c r="AA52" s="3"/>
      <c r="AB52" s="3"/>
    </row>
    <row r="53" spans="1:28" ht="12.75" hidden="1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10">
        <f t="shared" si="0"/>
        <v>47</v>
      </c>
      <c r="L53" s="11" t="str">
        <f t="shared" si="1"/>
        <v>2410SVEUČILIŠTE U SPLITU - PRIRODOSLOVNO - MATEMATIČKI FAKULTET</v>
      </c>
      <c r="M53" s="11">
        <v>2410</v>
      </c>
      <c r="N53" s="12" t="s">
        <v>199</v>
      </c>
      <c r="O53" s="13" t="s">
        <v>167</v>
      </c>
      <c r="P53" s="12" t="s">
        <v>200</v>
      </c>
      <c r="Q53" s="12" t="s">
        <v>169</v>
      </c>
      <c r="R53" s="15">
        <v>3199622</v>
      </c>
      <c r="S53" s="16" t="s">
        <v>201</v>
      </c>
      <c r="T53" s="17" t="s">
        <v>33</v>
      </c>
      <c r="U53" s="18" t="s">
        <v>34</v>
      </c>
      <c r="V53" s="3"/>
      <c r="W53" s="3"/>
      <c r="X53" s="3"/>
      <c r="Y53" s="3"/>
      <c r="Z53" s="3"/>
      <c r="AA53" s="3"/>
      <c r="AB53" s="3"/>
    </row>
    <row r="54" spans="1:28" ht="12.75" hidden="1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10">
        <f t="shared" si="0"/>
        <v>48</v>
      </c>
      <c r="L54" s="11" t="str">
        <f t="shared" si="1"/>
        <v>2524SVEUČILIŠTE U SPLITU - SVEUČILIŠNA KNJIŽNICA</v>
      </c>
      <c r="M54" s="11">
        <v>2524</v>
      </c>
      <c r="N54" s="12" t="s">
        <v>202</v>
      </c>
      <c r="O54" s="13" t="s">
        <v>167</v>
      </c>
      <c r="P54" s="12" t="s">
        <v>203</v>
      </c>
      <c r="Q54" s="12" t="s">
        <v>169</v>
      </c>
      <c r="R54" s="15">
        <v>3118436</v>
      </c>
      <c r="S54" s="16" t="s">
        <v>204</v>
      </c>
      <c r="T54" s="17" t="s">
        <v>33</v>
      </c>
      <c r="U54" s="18" t="s">
        <v>34</v>
      </c>
      <c r="V54" s="3"/>
      <c r="W54" s="3"/>
      <c r="X54" s="3"/>
      <c r="Y54" s="3"/>
      <c r="Z54" s="3"/>
      <c r="AA54" s="3"/>
      <c r="AB54" s="3"/>
    </row>
    <row r="55" spans="1:28" ht="12.75" hidden="1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10">
        <f t="shared" si="0"/>
        <v>49</v>
      </c>
      <c r="L55" s="11" t="str">
        <f t="shared" si="1"/>
        <v>22478SVEUČILIŠTE U SPLITU - UMJETNIČKA AKADEMIJA</v>
      </c>
      <c r="M55" s="11">
        <v>22478</v>
      </c>
      <c r="N55" s="12" t="s">
        <v>205</v>
      </c>
      <c r="O55" s="13" t="s">
        <v>167</v>
      </c>
      <c r="P55" s="12" t="s">
        <v>206</v>
      </c>
      <c r="Q55" s="12" t="s">
        <v>169</v>
      </c>
      <c r="R55" s="15">
        <v>1321358</v>
      </c>
      <c r="S55" s="16" t="s">
        <v>207</v>
      </c>
      <c r="T55" s="17" t="s">
        <v>33</v>
      </c>
      <c r="U55" s="18" t="s">
        <v>34</v>
      </c>
      <c r="V55" s="3"/>
      <c r="W55" s="3"/>
      <c r="X55" s="3"/>
      <c r="Y55" s="3"/>
      <c r="Z55" s="3"/>
      <c r="AA55" s="3"/>
      <c r="AB55" s="3"/>
    </row>
    <row r="56" spans="1:28" ht="12.75" hidden="1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10">
        <f t="shared" si="0"/>
        <v>50</v>
      </c>
      <c r="L56" s="11" t="str">
        <f t="shared" si="1"/>
        <v>23815SVEUČILIŠTE U ZADRU</v>
      </c>
      <c r="M56" s="11">
        <v>23815</v>
      </c>
      <c r="N56" s="12" t="s">
        <v>208</v>
      </c>
      <c r="O56" s="13" t="s">
        <v>208</v>
      </c>
      <c r="P56" s="12" t="s">
        <v>209</v>
      </c>
      <c r="Q56" s="12" t="s">
        <v>210</v>
      </c>
      <c r="R56" s="15">
        <v>1695525</v>
      </c>
      <c r="S56" s="16" t="s">
        <v>211</v>
      </c>
      <c r="T56" s="17" t="s">
        <v>33</v>
      </c>
      <c r="U56" s="18" t="s">
        <v>34</v>
      </c>
      <c r="V56" s="3"/>
      <c r="W56" s="3"/>
      <c r="X56" s="3"/>
      <c r="Y56" s="3"/>
      <c r="Z56" s="3"/>
      <c r="AA56" s="3"/>
      <c r="AB56" s="3"/>
    </row>
    <row r="57" spans="1:28" ht="12.75" hidden="1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10">
        <f t="shared" si="0"/>
        <v>51</v>
      </c>
      <c r="L57" s="11" t="str">
        <f t="shared" si="1"/>
        <v>2436SVEUČILIŠTE U ZAGREBU</v>
      </c>
      <c r="M57" s="11">
        <v>2436</v>
      </c>
      <c r="N57" s="12" t="s">
        <v>29</v>
      </c>
      <c r="O57" s="13" t="s">
        <v>29</v>
      </c>
      <c r="P57" s="12" t="s">
        <v>212</v>
      </c>
      <c r="Q57" s="12" t="s">
        <v>24</v>
      </c>
      <c r="R57" s="15">
        <v>3211592</v>
      </c>
      <c r="S57" s="16" t="s">
        <v>213</v>
      </c>
      <c r="T57" s="17" t="s">
        <v>33</v>
      </c>
      <c r="U57" s="18" t="s">
        <v>34</v>
      </c>
      <c r="V57" s="3"/>
      <c r="W57" s="3"/>
      <c r="X57" s="3"/>
      <c r="Y57" s="3"/>
      <c r="Z57" s="3"/>
      <c r="AA57" s="3"/>
      <c r="AB57" s="3"/>
    </row>
    <row r="58" spans="1:28" ht="12.75" hidden="1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10">
        <f t="shared" si="0"/>
        <v>52</v>
      </c>
      <c r="L58" s="11" t="str">
        <f t="shared" si="1"/>
        <v>1923SVEUČILIŠTE U ZAGREBU - AGRONOMSKI FAKULTET</v>
      </c>
      <c r="M58" s="11">
        <v>1923</v>
      </c>
      <c r="N58" s="12" t="s">
        <v>214</v>
      </c>
      <c r="O58" s="13" t="s">
        <v>29</v>
      </c>
      <c r="P58" s="12" t="s">
        <v>215</v>
      </c>
      <c r="Q58" s="12" t="s">
        <v>24</v>
      </c>
      <c r="R58" s="15">
        <v>3283097</v>
      </c>
      <c r="S58" s="16" t="s">
        <v>216</v>
      </c>
      <c r="T58" s="17" t="s">
        <v>33</v>
      </c>
      <c r="U58" s="18" t="s">
        <v>34</v>
      </c>
      <c r="V58" s="3"/>
      <c r="W58" s="3"/>
      <c r="X58" s="3"/>
      <c r="Y58" s="3"/>
      <c r="Z58" s="3"/>
      <c r="AA58" s="3"/>
      <c r="AB58" s="3"/>
    </row>
    <row r="59" spans="1:28" ht="12.75" hidden="1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10">
        <f t="shared" si="0"/>
        <v>53</v>
      </c>
      <c r="L59" s="11" t="str">
        <f t="shared" si="1"/>
        <v>1974SVEUČILIŠTE U ZAGREBU - AKADEMIJA DRAMSKE UMJETNOSTI</v>
      </c>
      <c r="M59" s="11">
        <v>1974</v>
      </c>
      <c r="N59" s="12" t="s">
        <v>217</v>
      </c>
      <c r="O59" s="13" t="s">
        <v>29</v>
      </c>
      <c r="P59" s="12" t="s">
        <v>218</v>
      </c>
      <c r="Q59" s="12" t="s">
        <v>24</v>
      </c>
      <c r="R59" s="15">
        <v>3205029</v>
      </c>
      <c r="S59" s="16" t="s">
        <v>219</v>
      </c>
      <c r="T59" s="17" t="s">
        <v>33</v>
      </c>
      <c r="U59" s="18" t="s">
        <v>34</v>
      </c>
      <c r="V59" s="3"/>
      <c r="W59" s="3"/>
      <c r="X59" s="3"/>
      <c r="Y59" s="3"/>
      <c r="Z59" s="3"/>
      <c r="AA59" s="3"/>
      <c r="AB59" s="3"/>
    </row>
    <row r="60" spans="1:28" ht="12.75" hidden="1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10">
        <f t="shared" si="0"/>
        <v>54</v>
      </c>
      <c r="L60" s="11" t="str">
        <f t="shared" si="1"/>
        <v>1982SVEUČILIŠTE U ZAGREBU - AKADEMIJA LIKOVNIH UMJETNOSTI</v>
      </c>
      <c r="M60" s="11">
        <v>1982</v>
      </c>
      <c r="N60" s="12" t="s">
        <v>220</v>
      </c>
      <c r="O60" s="13" t="s">
        <v>29</v>
      </c>
      <c r="P60" s="12" t="s">
        <v>221</v>
      </c>
      <c r="Q60" s="12" t="s">
        <v>24</v>
      </c>
      <c r="R60" s="15">
        <v>3207919</v>
      </c>
      <c r="S60" s="16" t="s">
        <v>222</v>
      </c>
      <c r="T60" s="17" t="s">
        <v>33</v>
      </c>
      <c r="U60" s="18" t="s">
        <v>34</v>
      </c>
      <c r="V60" s="3"/>
      <c r="W60" s="3"/>
      <c r="X60" s="3"/>
      <c r="Y60" s="3"/>
      <c r="Z60" s="3"/>
      <c r="AA60" s="3"/>
      <c r="AB60" s="3"/>
    </row>
    <row r="61" spans="1:28" ht="12.75" hidden="1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10">
        <f t="shared" si="0"/>
        <v>55</v>
      </c>
      <c r="L61" s="11" t="str">
        <f t="shared" si="1"/>
        <v xml:space="preserve">1861SVEUČILIŠTE U ZAGREBU - ARHITEKTONSKI FAKULTET </v>
      </c>
      <c r="M61" s="11">
        <v>1861</v>
      </c>
      <c r="N61" s="12" t="s">
        <v>223</v>
      </c>
      <c r="O61" s="13" t="s">
        <v>29</v>
      </c>
      <c r="P61" s="12" t="s">
        <v>224</v>
      </c>
      <c r="Q61" s="12" t="s">
        <v>24</v>
      </c>
      <c r="R61" s="15">
        <v>3204952</v>
      </c>
      <c r="S61" s="16" t="s">
        <v>225</v>
      </c>
      <c r="T61" s="17" t="s">
        <v>33</v>
      </c>
      <c r="U61" s="18" t="s">
        <v>34</v>
      </c>
      <c r="V61" s="3"/>
      <c r="W61" s="3"/>
      <c r="X61" s="3"/>
      <c r="Y61" s="3"/>
      <c r="Z61" s="3"/>
      <c r="AA61" s="3"/>
      <c r="AB61" s="3"/>
    </row>
    <row r="62" spans="1:28" ht="12.75" hidden="1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10">
        <f t="shared" si="0"/>
        <v>56</v>
      </c>
      <c r="L62" s="11" t="str">
        <f t="shared" si="1"/>
        <v xml:space="preserve">1966SVEUČILIŠTE U ZAGREBU - EDUKACIJSKO-REHABILITACIJSKI FAKULTET </v>
      </c>
      <c r="M62" s="11">
        <v>1966</v>
      </c>
      <c r="N62" s="12" t="s">
        <v>226</v>
      </c>
      <c r="O62" s="13" t="s">
        <v>29</v>
      </c>
      <c r="P62" s="12" t="s">
        <v>227</v>
      </c>
      <c r="Q62" s="12" t="s">
        <v>24</v>
      </c>
      <c r="R62" s="15">
        <v>3219780</v>
      </c>
      <c r="S62" s="16" t="s">
        <v>228</v>
      </c>
      <c r="T62" s="17" t="s">
        <v>33</v>
      </c>
      <c r="U62" s="18" t="s">
        <v>34</v>
      </c>
      <c r="V62" s="3"/>
      <c r="W62" s="3"/>
      <c r="X62" s="3"/>
      <c r="Y62" s="3"/>
      <c r="Z62" s="3"/>
      <c r="AA62" s="3"/>
      <c r="AB62" s="3"/>
    </row>
    <row r="63" spans="1:28" ht="12.75" hidden="1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10">
        <f t="shared" si="0"/>
        <v>57</v>
      </c>
      <c r="L63" s="11" t="str">
        <f t="shared" si="1"/>
        <v>1931SVEUČILIŠTE U ZAGREBU - EKONOMSKI FAKULTET</v>
      </c>
      <c r="M63" s="11">
        <v>1931</v>
      </c>
      <c r="N63" s="12" t="s">
        <v>229</v>
      </c>
      <c r="O63" s="13" t="s">
        <v>29</v>
      </c>
      <c r="P63" s="12" t="s">
        <v>230</v>
      </c>
      <c r="Q63" s="12" t="s">
        <v>24</v>
      </c>
      <c r="R63" s="15">
        <v>3272079</v>
      </c>
      <c r="S63" s="16" t="s">
        <v>231</v>
      </c>
      <c r="T63" s="17" t="s">
        <v>33</v>
      </c>
      <c r="U63" s="18" t="s">
        <v>34</v>
      </c>
      <c r="V63" s="3"/>
      <c r="W63" s="3"/>
      <c r="X63" s="3"/>
      <c r="Y63" s="3"/>
      <c r="Z63" s="3"/>
      <c r="AA63" s="3"/>
      <c r="AB63" s="3"/>
    </row>
    <row r="64" spans="1:28" ht="12.75" hidden="1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10">
        <f t="shared" si="0"/>
        <v>58</v>
      </c>
      <c r="L64" s="11" t="str">
        <f t="shared" si="1"/>
        <v>1757SVEUČILIŠTE U ZAGREBU - FAKULTET ELEKTROTEHNIKE I RAČUNARSTVA</v>
      </c>
      <c r="M64" s="11">
        <v>1757</v>
      </c>
      <c r="N64" s="12" t="s">
        <v>232</v>
      </c>
      <c r="O64" s="13" t="s">
        <v>29</v>
      </c>
      <c r="P64" s="12" t="s">
        <v>233</v>
      </c>
      <c r="Q64" s="12" t="s">
        <v>24</v>
      </c>
      <c r="R64" s="15">
        <v>3276643</v>
      </c>
      <c r="S64" s="16" t="s">
        <v>234</v>
      </c>
      <c r="T64" s="17" t="s">
        <v>33</v>
      </c>
      <c r="U64" s="18" t="s">
        <v>34</v>
      </c>
      <c r="V64" s="3"/>
      <c r="W64" s="3"/>
      <c r="X64" s="3"/>
      <c r="Y64" s="3"/>
      <c r="Z64" s="3"/>
      <c r="AA64" s="3"/>
      <c r="AB64" s="3"/>
    </row>
    <row r="65" spans="1:28" ht="12.75" hidden="1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10">
        <f t="shared" si="0"/>
        <v>59</v>
      </c>
      <c r="L65" s="11" t="str">
        <f t="shared" si="1"/>
        <v>6154SVEUČILIŠTE U ZAGREBU - FAKULTET FILOZOFIJE I RELIGIJSKIH ZNANOSTI</v>
      </c>
      <c r="M65" s="11">
        <v>6154</v>
      </c>
      <c r="N65" s="12" t="s">
        <v>235</v>
      </c>
      <c r="O65" s="13" t="s">
        <v>29</v>
      </c>
      <c r="P65" s="12" t="s">
        <v>236</v>
      </c>
      <c r="Q65" s="12" t="s">
        <v>24</v>
      </c>
      <c r="R65" s="15">
        <v>1235664</v>
      </c>
      <c r="S65" s="16" t="s">
        <v>237</v>
      </c>
      <c r="T65" s="17" t="s">
        <v>33</v>
      </c>
      <c r="U65" s="18" t="s">
        <v>34</v>
      </c>
      <c r="V65" s="3"/>
      <c r="W65" s="3"/>
      <c r="X65" s="3"/>
      <c r="Y65" s="3"/>
      <c r="Z65" s="3"/>
      <c r="AA65" s="3"/>
      <c r="AB65" s="3"/>
    </row>
    <row r="66" spans="1:28" ht="12.75" hidden="1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10">
        <f t="shared" si="0"/>
        <v>60</v>
      </c>
      <c r="L66" s="11" t="str">
        <f t="shared" si="1"/>
        <v>51191SVEUČILIŠTE U ZAGREBU - FAKULTET HRVATSKIH STUDIJA</v>
      </c>
      <c r="M66" s="11">
        <v>51191</v>
      </c>
      <c r="N66" s="12" t="s">
        <v>238</v>
      </c>
      <c r="O66" s="13" t="s">
        <v>29</v>
      </c>
      <c r="P66" s="12" t="s">
        <v>239</v>
      </c>
      <c r="Q66" s="12" t="s">
        <v>24</v>
      </c>
      <c r="R66" s="15">
        <v>5214068</v>
      </c>
      <c r="S66" s="16" t="s">
        <v>240</v>
      </c>
      <c r="T66" s="17" t="s">
        <v>33</v>
      </c>
      <c r="U66" s="18" t="s">
        <v>34</v>
      </c>
      <c r="V66" s="3"/>
      <c r="W66" s="3"/>
      <c r="X66" s="3"/>
      <c r="Y66" s="3"/>
      <c r="Z66" s="3"/>
      <c r="AA66" s="3"/>
      <c r="AB66" s="3"/>
    </row>
    <row r="67" spans="1:28" ht="12.75" hidden="1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10">
        <f t="shared" si="0"/>
        <v>61</v>
      </c>
      <c r="L67" s="11" t="str">
        <f t="shared" si="1"/>
        <v>1790SVEUČILIŠTE U ZAGREBU - FAKULTET KEMIJSKOG INŽENJERSTVA I TEHNOLOGIJE</v>
      </c>
      <c r="M67" s="11">
        <v>1790</v>
      </c>
      <c r="N67" s="12" t="s">
        <v>241</v>
      </c>
      <c r="O67" s="13" t="s">
        <v>29</v>
      </c>
      <c r="P67" s="12" t="s">
        <v>242</v>
      </c>
      <c r="Q67" s="12" t="s">
        <v>24</v>
      </c>
      <c r="R67" s="15">
        <v>3250270</v>
      </c>
      <c r="S67" s="16" t="s">
        <v>243</v>
      </c>
      <c r="T67" s="17" t="s">
        <v>33</v>
      </c>
      <c r="U67" s="18" t="s">
        <v>34</v>
      </c>
      <c r="V67" s="3"/>
      <c r="W67" s="3"/>
      <c r="X67" s="3"/>
      <c r="Y67" s="3"/>
      <c r="Z67" s="3"/>
      <c r="AA67" s="3"/>
      <c r="AB67" s="3"/>
    </row>
    <row r="68" spans="1:28" ht="12.75" hidden="1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10">
        <f t="shared" si="0"/>
        <v>62</v>
      </c>
      <c r="L68" s="11" t="str">
        <f t="shared" si="1"/>
        <v>1907SVEUČILIŠTE U ZAGREBU - FAKULTET POLITIČKIH ZNANOSTI</v>
      </c>
      <c r="M68" s="11">
        <v>1907</v>
      </c>
      <c r="N68" s="12" t="s">
        <v>244</v>
      </c>
      <c r="O68" s="13" t="s">
        <v>29</v>
      </c>
      <c r="P68" s="12" t="s">
        <v>245</v>
      </c>
      <c r="Q68" s="12" t="s">
        <v>24</v>
      </c>
      <c r="R68" s="15">
        <v>3270262</v>
      </c>
      <c r="S68" s="16" t="s">
        <v>246</v>
      </c>
      <c r="T68" s="17" t="s">
        <v>33</v>
      </c>
      <c r="U68" s="18" t="s">
        <v>34</v>
      </c>
      <c r="V68" s="3"/>
      <c r="W68" s="3"/>
      <c r="X68" s="3"/>
      <c r="Y68" s="3"/>
      <c r="Z68" s="3"/>
      <c r="AA68" s="3"/>
      <c r="AB68" s="3"/>
    </row>
    <row r="69" spans="1:28" ht="12.75" hidden="1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10">
        <f t="shared" si="0"/>
        <v>63</v>
      </c>
      <c r="L69" s="11" t="str">
        <f t="shared" si="1"/>
        <v>1812SVEUČILIŠTE U ZAGREBU - FAKULTET PROMETNIH ZNANOSTI</v>
      </c>
      <c r="M69" s="11">
        <v>1812</v>
      </c>
      <c r="N69" s="12" t="s">
        <v>247</v>
      </c>
      <c r="O69" s="13" t="s">
        <v>29</v>
      </c>
      <c r="P69" s="12" t="s">
        <v>248</v>
      </c>
      <c r="Q69" s="12" t="s">
        <v>24</v>
      </c>
      <c r="R69" s="15">
        <v>3260771</v>
      </c>
      <c r="S69" s="16" t="s">
        <v>249</v>
      </c>
      <c r="T69" s="17" t="s">
        <v>33</v>
      </c>
      <c r="U69" s="18" t="s">
        <v>34</v>
      </c>
      <c r="V69" s="3"/>
      <c r="W69" s="3"/>
      <c r="X69" s="3"/>
      <c r="Y69" s="3"/>
      <c r="Z69" s="3"/>
      <c r="AA69" s="3"/>
      <c r="AB69" s="3"/>
    </row>
    <row r="70" spans="1:28" ht="12.75" hidden="1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10">
        <f t="shared" si="0"/>
        <v>64</v>
      </c>
      <c r="L70" s="11" t="str">
        <f t="shared" si="1"/>
        <v>1829SVEUČILIŠTE U ZAGREBU - FAKULTET STROJARSTVA I BRODOGRADNJE</v>
      </c>
      <c r="M70" s="11">
        <v>1829</v>
      </c>
      <c r="N70" s="12" t="s">
        <v>250</v>
      </c>
      <c r="O70" s="13" t="s">
        <v>29</v>
      </c>
      <c r="P70" s="12" t="s">
        <v>251</v>
      </c>
      <c r="Q70" s="12" t="s">
        <v>24</v>
      </c>
      <c r="R70" s="15">
        <v>3276546</v>
      </c>
      <c r="S70" s="16" t="s">
        <v>252</v>
      </c>
      <c r="T70" s="17" t="s">
        <v>33</v>
      </c>
      <c r="U70" s="18" t="s">
        <v>34</v>
      </c>
      <c r="V70" s="3"/>
      <c r="W70" s="3"/>
      <c r="X70" s="3"/>
      <c r="Y70" s="3"/>
      <c r="Z70" s="3"/>
      <c r="AA70" s="3"/>
      <c r="AB70" s="3"/>
    </row>
    <row r="71" spans="1:28" ht="12.75" hidden="1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10">
        <f t="shared" si="0"/>
        <v>65</v>
      </c>
      <c r="L71" s="11" t="str">
        <f t="shared" si="1"/>
        <v xml:space="preserve">2014SVEUČILIŠTE U ZAGREBU - FARMACEUTSKO-BIOKEMIJSKI FAKULTET </v>
      </c>
      <c r="M71" s="11">
        <v>2014</v>
      </c>
      <c r="N71" s="12" t="s">
        <v>253</v>
      </c>
      <c r="O71" s="13" t="s">
        <v>29</v>
      </c>
      <c r="P71" s="12" t="s">
        <v>254</v>
      </c>
      <c r="Q71" s="12" t="s">
        <v>24</v>
      </c>
      <c r="R71" s="15">
        <v>3205037</v>
      </c>
      <c r="S71" s="16" t="s">
        <v>255</v>
      </c>
      <c r="T71" s="17" t="s">
        <v>33</v>
      </c>
      <c r="U71" s="18" t="s">
        <v>34</v>
      </c>
      <c r="V71" s="3"/>
      <c r="W71" s="3"/>
      <c r="X71" s="3"/>
      <c r="Y71" s="3"/>
      <c r="Z71" s="3"/>
      <c r="AA71" s="3"/>
      <c r="AB71" s="3"/>
    </row>
    <row r="72" spans="1:28" ht="12.75" hidden="1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10">
        <f t="shared" si="0"/>
        <v>66</v>
      </c>
      <c r="L72" s="11" t="str">
        <f t="shared" si="1"/>
        <v>1958SVEUČILIŠTE U ZAGREBU - FILOZOFSKI FAKULTET</v>
      </c>
      <c r="M72" s="11">
        <v>1958</v>
      </c>
      <c r="N72" s="12" t="s">
        <v>256</v>
      </c>
      <c r="O72" s="13" t="s">
        <v>29</v>
      </c>
      <c r="P72" s="12" t="s">
        <v>257</v>
      </c>
      <c r="Q72" s="12" t="s">
        <v>24</v>
      </c>
      <c r="R72" s="15">
        <v>3254852</v>
      </c>
      <c r="S72" s="16" t="s">
        <v>258</v>
      </c>
      <c r="T72" s="17" t="s">
        <v>33</v>
      </c>
      <c r="U72" s="18" t="s">
        <v>34</v>
      </c>
      <c r="V72" s="3"/>
      <c r="W72" s="3"/>
      <c r="X72" s="3"/>
      <c r="Y72" s="3"/>
      <c r="Z72" s="3"/>
      <c r="AA72" s="3"/>
      <c r="AB72" s="3"/>
    </row>
    <row r="73" spans="1:28" ht="12.75" hidden="1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10">
        <f t="shared" si="0"/>
        <v>67</v>
      </c>
      <c r="L73" s="11" t="str">
        <f t="shared" si="1"/>
        <v>1853SVEUČILIŠTE U ZAGREBU - GEODETSKI FAKULTET</v>
      </c>
      <c r="M73" s="11">
        <v>1853</v>
      </c>
      <c r="N73" s="12" t="s">
        <v>259</v>
      </c>
      <c r="O73" s="13" t="s">
        <v>29</v>
      </c>
      <c r="P73" s="12" t="s">
        <v>260</v>
      </c>
      <c r="Q73" s="12" t="s">
        <v>24</v>
      </c>
      <c r="R73" s="15">
        <v>3204987</v>
      </c>
      <c r="S73" s="16" t="s">
        <v>261</v>
      </c>
      <c r="T73" s="17" t="s">
        <v>33</v>
      </c>
      <c r="U73" s="18" t="s">
        <v>34</v>
      </c>
      <c r="V73" s="3"/>
      <c r="W73" s="3"/>
      <c r="X73" s="3"/>
      <c r="Y73" s="3"/>
      <c r="Z73" s="3"/>
      <c r="AA73" s="3"/>
      <c r="AB73" s="3"/>
    </row>
    <row r="74" spans="1:28" ht="12.75" hidden="1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10">
        <f t="shared" si="0"/>
        <v>68</v>
      </c>
      <c r="L74" s="11" t="str">
        <f t="shared" si="1"/>
        <v>2102SVEUČILIŠTE U ZAGREBU - GEOTEHNIČKI FAKULTET</v>
      </c>
      <c r="M74" s="11">
        <v>2102</v>
      </c>
      <c r="N74" s="12" t="s">
        <v>262</v>
      </c>
      <c r="O74" s="13" t="s">
        <v>29</v>
      </c>
      <c r="P74" s="12" t="s">
        <v>263</v>
      </c>
      <c r="Q74" s="12" t="s">
        <v>31</v>
      </c>
      <c r="R74" s="15">
        <v>3042316</v>
      </c>
      <c r="S74" s="16" t="s">
        <v>264</v>
      </c>
      <c r="T74" s="17" t="s">
        <v>33</v>
      </c>
      <c r="U74" s="18" t="s">
        <v>34</v>
      </c>
      <c r="V74" s="3"/>
      <c r="W74" s="3"/>
      <c r="X74" s="3"/>
      <c r="Y74" s="3"/>
      <c r="Z74" s="3"/>
      <c r="AA74" s="3"/>
      <c r="AB74" s="3"/>
    </row>
    <row r="75" spans="1:28" ht="12.75" hidden="1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10">
        <f t="shared" si="0"/>
        <v>69</v>
      </c>
      <c r="L75" s="11" t="str">
        <f t="shared" si="1"/>
        <v>1837SVEUČILIŠTE U ZAGREBU - GRAĐEVINSKI FAKULTET</v>
      </c>
      <c r="M75" s="11">
        <v>1837</v>
      </c>
      <c r="N75" s="12" t="s">
        <v>265</v>
      </c>
      <c r="O75" s="13" t="s">
        <v>29</v>
      </c>
      <c r="P75" s="12" t="s">
        <v>266</v>
      </c>
      <c r="Q75" s="12" t="s">
        <v>24</v>
      </c>
      <c r="R75" s="15">
        <v>3227120</v>
      </c>
      <c r="S75" s="16" t="s">
        <v>267</v>
      </c>
      <c r="T75" s="17" t="s">
        <v>33</v>
      </c>
      <c r="U75" s="18" t="s">
        <v>34</v>
      </c>
      <c r="V75" s="3"/>
      <c r="W75" s="3"/>
      <c r="X75" s="3"/>
      <c r="Y75" s="3"/>
      <c r="Z75" s="3"/>
      <c r="AA75" s="3"/>
      <c r="AB75" s="3"/>
    </row>
    <row r="76" spans="1:28" ht="12.75" hidden="1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10">
        <f t="shared" si="0"/>
        <v>70</v>
      </c>
      <c r="L76" s="11" t="str">
        <f t="shared" si="1"/>
        <v>2080SVEUČILIŠTE U ZAGREBU - GRAFIČKI FAKULTET</v>
      </c>
      <c r="M76" s="11">
        <v>2080</v>
      </c>
      <c r="N76" s="12" t="s">
        <v>268</v>
      </c>
      <c r="O76" s="13" t="s">
        <v>29</v>
      </c>
      <c r="P76" s="12" t="s">
        <v>269</v>
      </c>
      <c r="Q76" s="12" t="s">
        <v>24</v>
      </c>
      <c r="R76" s="15">
        <v>3219763</v>
      </c>
      <c r="S76" s="16" t="s">
        <v>270</v>
      </c>
      <c r="T76" s="17" t="s">
        <v>33</v>
      </c>
      <c r="U76" s="18" t="s">
        <v>34</v>
      </c>
      <c r="V76" s="3"/>
      <c r="W76" s="3"/>
      <c r="X76" s="3"/>
      <c r="Y76" s="3"/>
      <c r="Z76" s="3"/>
      <c r="AA76" s="3"/>
      <c r="AB76" s="3"/>
    </row>
    <row r="77" spans="1:28" ht="12.75" hidden="1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10">
        <f t="shared" si="0"/>
        <v>71</v>
      </c>
      <c r="L77" s="11" t="str">
        <f t="shared" si="1"/>
        <v xml:space="preserve">2135SVEUČILIŠTE U ZAGREBU - KATOLIČKI BOGOSLOVNI FAKULTET </v>
      </c>
      <c r="M77" s="11">
        <v>2135</v>
      </c>
      <c r="N77" s="12" t="s">
        <v>271</v>
      </c>
      <c r="O77" s="13" t="s">
        <v>29</v>
      </c>
      <c r="P77" s="12" t="s">
        <v>272</v>
      </c>
      <c r="Q77" s="12" t="s">
        <v>24</v>
      </c>
      <c r="R77" s="15">
        <v>3703088</v>
      </c>
      <c r="S77" s="16">
        <v>48987767944</v>
      </c>
      <c r="T77" s="17" t="s">
        <v>33</v>
      </c>
      <c r="U77" s="18" t="s">
        <v>34</v>
      </c>
      <c r="V77" s="3"/>
      <c r="W77" s="3"/>
      <c r="X77" s="3"/>
      <c r="Y77" s="3"/>
      <c r="Z77" s="3"/>
      <c r="AA77" s="3"/>
      <c r="AB77" s="3"/>
    </row>
    <row r="78" spans="1:28" ht="12.75" hidden="1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10">
        <f t="shared" si="0"/>
        <v>72</v>
      </c>
      <c r="L78" s="11" t="str">
        <f t="shared" si="1"/>
        <v>2006SVEUČILIŠTE U ZAGREBU - KINEZIOLOŠKI FAKULTET</v>
      </c>
      <c r="M78" s="11">
        <v>2006</v>
      </c>
      <c r="N78" s="12" t="s">
        <v>273</v>
      </c>
      <c r="O78" s="13" t="s">
        <v>29</v>
      </c>
      <c r="P78" s="12" t="s">
        <v>274</v>
      </c>
      <c r="Q78" s="12" t="s">
        <v>24</v>
      </c>
      <c r="R78" s="15">
        <v>3274080</v>
      </c>
      <c r="S78" s="16" t="s">
        <v>275</v>
      </c>
      <c r="T78" s="17" t="s">
        <v>33</v>
      </c>
      <c r="U78" s="18" t="s">
        <v>34</v>
      </c>
      <c r="V78" s="3"/>
      <c r="W78" s="3"/>
      <c r="X78" s="3"/>
      <c r="Y78" s="3"/>
      <c r="Z78" s="3"/>
      <c r="AA78" s="3"/>
      <c r="AB78" s="3"/>
    </row>
    <row r="79" spans="1:28" ht="12.75" hidden="1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10">
        <f t="shared" si="0"/>
        <v>73</v>
      </c>
      <c r="L79" s="11" t="str">
        <f t="shared" si="1"/>
        <v>1888SVEUČILIŠTE U ZAGREBU - MEDICINSKI FAKULTET</v>
      </c>
      <c r="M79" s="11">
        <v>1888</v>
      </c>
      <c r="N79" s="12" t="s">
        <v>276</v>
      </c>
      <c r="O79" s="13" t="s">
        <v>29</v>
      </c>
      <c r="P79" s="12" t="s">
        <v>277</v>
      </c>
      <c r="Q79" s="12" t="s">
        <v>24</v>
      </c>
      <c r="R79" s="15">
        <v>3270211</v>
      </c>
      <c r="S79" s="16" t="s">
        <v>278</v>
      </c>
      <c r="T79" s="17" t="s">
        <v>33</v>
      </c>
      <c r="U79" s="18" t="s">
        <v>34</v>
      </c>
      <c r="V79" s="3"/>
      <c r="W79" s="3"/>
      <c r="X79" s="3"/>
      <c r="Y79" s="3"/>
      <c r="Z79" s="3"/>
      <c r="AA79" s="3"/>
      <c r="AB79" s="3"/>
    </row>
    <row r="80" spans="1:28" ht="12.75" hidden="1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10">
        <f t="shared" si="0"/>
        <v>74</v>
      </c>
      <c r="L80" s="11" t="str">
        <f t="shared" si="1"/>
        <v>2071SVEUČILIŠTE U ZAGREBU - METALURŠKI FAKULTET SISAK</v>
      </c>
      <c r="M80" s="11">
        <v>2071</v>
      </c>
      <c r="N80" s="12" t="s">
        <v>279</v>
      </c>
      <c r="O80" s="13" t="s">
        <v>29</v>
      </c>
      <c r="P80" s="12" t="s">
        <v>280</v>
      </c>
      <c r="Q80" s="12" t="s">
        <v>281</v>
      </c>
      <c r="R80" s="15">
        <v>3313786</v>
      </c>
      <c r="S80" s="16" t="s">
        <v>282</v>
      </c>
      <c r="T80" s="17" t="s">
        <v>33</v>
      </c>
      <c r="U80" s="18" t="s">
        <v>34</v>
      </c>
      <c r="V80" s="3"/>
      <c r="W80" s="3"/>
      <c r="X80" s="3"/>
      <c r="Y80" s="3"/>
      <c r="Z80" s="3"/>
      <c r="AA80" s="3"/>
      <c r="AB80" s="3"/>
    </row>
    <row r="81" spans="1:28" ht="12.75" hidden="1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10">
        <f t="shared" si="0"/>
        <v>75</v>
      </c>
      <c r="L81" s="11" t="str">
        <f t="shared" si="1"/>
        <v>1999SVEUČILIŠTE U ZAGREBU - MUZIČKA AKADEMIJA</v>
      </c>
      <c r="M81" s="11">
        <v>1999</v>
      </c>
      <c r="N81" s="12" t="s">
        <v>283</v>
      </c>
      <c r="O81" s="13" t="s">
        <v>29</v>
      </c>
      <c r="P81" s="12" t="s">
        <v>284</v>
      </c>
      <c r="Q81" s="12" t="s">
        <v>24</v>
      </c>
      <c r="R81" s="15">
        <v>3205002</v>
      </c>
      <c r="S81" s="16" t="s">
        <v>285</v>
      </c>
      <c r="T81" s="17" t="s">
        <v>33</v>
      </c>
      <c r="U81" s="18" t="s">
        <v>34</v>
      </c>
      <c r="V81" s="3"/>
      <c r="W81" s="3"/>
      <c r="X81" s="3"/>
      <c r="Y81" s="3"/>
      <c r="Z81" s="3"/>
      <c r="AA81" s="3"/>
      <c r="AB81" s="3"/>
    </row>
    <row r="82" spans="1:28" ht="12.75" hidden="1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10">
        <f t="shared" si="0"/>
        <v>76</v>
      </c>
      <c r="L82" s="11" t="str">
        <f t="shared" si="1"/>
        <v>1915SVEUČILIŠTE U ZAGREBU - PRAVNI FAKULTET</v>
      </c>
      <c r="M82" s="46">
        <v>1915</v>
      </c>
      <c r="N82" s="12" t="s">
        <v>286</v>
      </c>
      <c r="O82" s="13" t="s">
        <v>29</v>
      </c>
      <c r="P82" s="12" t="s">
        <v>212</v>
      </c>
      <c r="Q82" s="12" t="s">
        <v>24</v>
      </c>
      <c r="R82" s="15">
        <v>3225909</v>
      </c>
      <c r="S82" s="16" t="s">
        <v>287</v>
      </c>
      <c r="T82" s="17" t="s">
        <v>33</v>
      </c>
      <c r="U82" s="18" t="s">
        <v>34</v>
      </c>
      <c r="V82" s="3"/>
      <c r="W82" s="3"/>
      <c r="X82" s="3"/>
      <c r="Y82" s="3"/>
      <c r="Z82" s="3"/>
      <c r="AA82" s="3"/>
      <c r="AB82" s="3"/>
    </row>
    <row r="83" spans="1:28" ht="12.75" hidden="1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10">
        <f t="shared" si="0"/>
        <v>77</v>
      </c>
      <c r="L83" s="11" t="str">
        <f t="shared" si="1"/>
        <v>1845SVEUČILIŠTE U ZAGREBU - PREHRAMBENO BIOTEHNOLOŠKI FAKULTET</v>
      </c>
      <c r="M83" s="11">
        <v>1845</v>
      </c>
      <c r="N83" s="12" t="s">
        <v>288</v>
      </c>
      <c r="O83" s="13" t="s">
        <v>29</v>
      </c>
      <c r="P83" s="12" t="s">
        <v>289</v>
      </c>
      <c r="Q83" s="12" t="s">
        <v>24</v>
      </c>
      <c r="R83" s="15">
        <v>3207102</v>
      </c>
      <c r="S83" s="16" t="s">
        <v>290</v>
      </c>
      <c r="T83" s="17" t="s">
        <v>33</v>
      </c>
      <c r="U83" s="18" t="s">
        <v>34</v>
      </c>
      <c r="V83" s="3"/>
      <c r="W83" s="3"/>
      <c r="X83" s="3"/>
      <c r="Y83" s="3"/>
      <c r="Z83" s="3"/>
      <c r="AA83" s="3"/>
      <c r="AB83" s="3"/>
    </row>
    <row r="84" spans="1:28" ht="12.75" hidden="1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10">
        <f t="shared" si="0"/>
        <v>78</v>
      </c>
      <c r="L84" s="11" t="str">
        <f t="shared" si="1"/>
        <v>1781SVEUČILIŠTE U ZAGREBU - PRIRODOSLOVNO-MATEMATIČKI FAKULTET</v>
      </c>
      <c r="M84" s="11">
        <v>1781</v>
      </c>
      <c r="N84" s="12" t="s">
        <v>291</v>
      </c>
      <c r="O84" s="13" t="s">
        <v>29</v>
      </c>
      <c r="P84" s="12" t="s">
        <v>292</v>
      </c>
      <c r="Q84" s="12" t="s">
        <v>24</v>
      </c>
      <c r="R84" s="15">
        <v>3270149</v>
      </c>
      <c r="S84" s="16" t="s">
        <v>293</v>
      </c>
      <c r="T84" s="17" t="s">
        <v>33</v>
      </c>
      <c r="U84" s="18" t="s">
        <v>34</v>
      </c>
      <c r="V84" s="3"/>
      <c r="W84" s="3"/>
      <c r="X84" s="3"/>
      <c r="Y84" s="3"/>
      <c r="Z84" s="3"/>
      <c r="AA84" s="3"/>
      <c r="AB84" s="3"/>
    </row>
    <row r="85" spans="1:28" ht="12.75" hidden="1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10">
        <f t="shared" si="0"/>
        <v>79</v>
      </c>
      <c r="L85" s="11" t="str">
        <f t="shared" si="1"/>
        <v>2047SVEUČILIŠTE U ZAGREBU - RUDARSKO-GEOLOŠKO-NAFTNI FAKULTET</v>
      </c>
      <c r="M85" s="11">
        <v>2047</v>
      </c>
      <c r="N85" s="12" t="s">
        <v>294</v>
      </c>
      <c r="O85" s="13" t="s">
        <v>29</v>
      </c>
      <c r="P85" s="14" t="s">
        <v>289</v>
      </c>
      <c r="Q85" s="14" t="s">
        <v>24</v>
      </c>
      <c r="R85" s="15">
        <v>3207005</v>
      </c>
      <c r="S85" s="16" t="s">
        <v>295</v>
      </c>
      <c r="T85" s="17" t="s">
        <v>33</v>
      </c>
      <c r="U85" s="18" t="s">
        <v>34</v>
      </c>
      <c r="V85" s="3"/>
      <c r="W85" s="3"/>
      <c r="X85" s="3"/>
      <c r="Y85" s="3"/>
      <c r="Z85" s="3"/>
      <c r="AA85" s="3"/>
      <c r="AB85" s="3"/>
    </row>
    <row r="86" spans="1:28" ht="12.75" hidden="1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10">
        <f t="shared" si="0"/>
        <v>80</v>
      </c>
      <c r="L86" s="11" t="str">
        <f t="shared" si="1"/>
        <v>1870SVEUČILIŠTE U ZAGREBU - STOMATOLOŠKI FAKULTET</v>
      </c>
      <c r="M86" s="11">
        <v>1870</v>
      </c>
      <c r="N86" s="12" t="s">
        <v>296</v>
      </c>
      <c r="O86" s="13" t="s">
        <v>29</v>
      </c>
      <c r="P86" s="12" t="s">
        <v>297</v>
      </c>
      <c r="Q86" s="12" t="s">
        <v>24</v>
      </c>
      <c r="R86" s="15">
        <v>3204995</v>
      </c>
      <c r="S86" s="16" t="s">
        <v>298</v>
      </c>
      <c r="T86" s="17" t="s">
        <v>33</v>
      </c>
      <c r="U86" s="18" t="s">
        <v>34</v>
      </c>
      <c r="V86" s="3"/>
      <c r="W86" s="3"/>
      <c r="X86" s="3"/>
      <c r="Y86" s="3"/>
      <c r="Z86" s="3"/>
      <c r="AA86" s="3"/>
      <c r="AB86" s="3"/>
    </row>
    <row r="87" spans="1:28" ht="12.75" hidden="1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10">
        <f t="shared" si="0"/>
        <v>81</v>
      </c>
      <c r="L87" s="11" t="str">
        <f t="shared" si="1"/>
        <v>1896SVEUČILIŠTE U ZAGREBU - FAKULTET ŠUMARSTVA I DRVNE TEHNOLOGIJE</v>
      </c>
      <c r="M87" s="11">
        <v>1896</v>
      </c>
      <c r="N87" s="12" t="s">
        <v>299</v>
      </c>
      <c r="O87" s="13" t="s">
        <v>29</v>
      </c>
      <c r="P87" s="12" t="s">
        <v>215</v>
      </c>
      <c r="Q87" s="12" t="s">
        <v>24</v>
      </c>
      <c r="R87" s="15">
        <v>3281485</v>
      </c>
      <c r="S87" s="16" t="s">
        <v>300</v>
      </c>
      <c r="T87" s="17" t="s">
        <v>33</v>
      </c>
      <c r="U87" s="18" t="s">
        <v>34</v>
      </c>
      <c r="V87" s="3"/>
      <c r="W87" s="3"/>
      <c r="X87" s="3"/>
      <c r="Y87" s="3"/>
      <c r="Z87" s="3"/>
      <c r="AA87" s="3"/>
      <c r="AB87" s="3"/>
    </row>
    <row r="88" spans="1:28" ht="12.75" hidden="1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10">
        <f t="shared" si="0"/>
        <v>82</v>
      </c>
      <c r="L88" s="11" t="str">
        <f t="shared" si="1"/>
        <v>1804SVEUČILIŠTE U ZAGREBU - TEKSTILNO TEHNOLOŠKI FAKULTET</v>
      </c>
      <c r="M88" s="11">
        <v>1804</v>
      </c>
      <c r="N88" s="12" t="s">
        <v>301</v>
      </c>
      <c r="O88" s="13" t="s">
        <v>29</v>
      </c>
      <c r="P88" s="12" t="s">
        <v>302</v>
      </c>
      <c r="Q88" s="12" t="s">
        <v>24</v>
      </c>
      <c r="R88" s="15">
        <v>3207064</v>
      </c>
      <c r="S88" s="16" t="s">
        <v>303</v>
      </c>
      <c r="T88" s="17" t="s">
        <v>33</v>
      </c>
      <c r="U88" s="18" t="s">
        <v>34</v>
      </c>
      <c r="V88" s="3"/>
      <c r="W88" s="3"/>
      <c r="X88" s="3"/>
      <c r="Y88" s="3"/>
      <c r="Z88" s="3"/>
      <c r="AA88" s="3"/>
      <c r="AB88" s="3"/>
    </row>
    <row r="89" spans="1:28" ht="12.75" hidden="1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10">
        <f t="shared" si="0"/>
        <v>83</v>
      </c>
      <c r="L89" s="11" t="str">
        <f t="shared" si="1"/>
        <v>1940SVEUČILIŠTE U ZAGREBU - UČITELJSKI FAKULTET</v>
      </c>
      <c r="M89" s="11">
        <v>1940</v>
      </c>
      <c r="N89" s="12" t="s">
        <v>304</v>
      </c>
      <c r="O89" s="13" t="s">
        <v>29</v>
      </c>
      <c r="P89" s="12" t="s">
        <v>305</v>
      </c>
      <c r="Q89" s="12" t="s">
        <v>24</v>
      </c>
      <c r="R89" s="15">
        <v>1422545</v>
      </c>
      <c r="S89" s="16" t="s">
        <v>306</v>
      </c>
      <c r="T89" s="17" t="s">
        <v>33</v>
      </c>
      <c r="U89" s="18" t="s">
        <v>34</v>
      </c>
      <c r="V89" s="3"/>
      <c r="W89" s="3"/>
      <c r="X89" s="3"/>
      <c r="Y89" s="3"/>
      <c r="Z89" s="3"/>
      <c r="AA89" s="3"/>
      <c r="AB89" s="3"/>
    </row>
    <row r="90" spans="1:28" ht="12.75" hidden="1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10">
        <f t="shared" si="0"/>
        <v>84</v>
      </c>
      <c r="L90" s="11" t="str">
        <f t="shared" si="1"/>
        <v>2022SVEUČILIŠTE U ZAGREBU - VETERINARSKI FAKULTET</v>
      </c>
      <c r="M90" s="11">
        <v>2022</v>
      </c>
      <c r="N90" s="12" t="s">
        <v>307</v>
      </c>
      <c r="O90" s="13" t="s">
        <v>29</v>
      </c>
      <c r="P90" s="12" t="s">
        <v>308</v>
      </c>
      <c r="Q90" s="12" t="s">
        <v>24</v>
      </c>
      <c r="R90" s="15">
        <v>3225755</v>
      </c>
      <c r="S90" s="16" t="s">
        <v>309</v>
      </c>
      <c r="T90" s="17" t="s">
        <v>33</v>
      </c>
      <c r="U90" s="18" t="s">
        <v>34</v>
      </c>
      <c r="V90" s="3"/>
      <c r="W90" s="3"/>
      <c r="X90" s="3"/>
      <c r="Y90" s="3"/>
      <c r="Z90" s="3"/>
      <c r="AA90" s="3"/>
      <c r="AB90" s="3"/>
    </row>
    <row r="91" spans="1:28" ht="12.75" hidden="1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10">
        <f t="shared" si="0"/>
        <v>85</v>
      </c>
      <c r="L91" s="11" t="str">
        <f t="shared" si="1"/>
        <v>22427TEHNIČKO VELEUČILIŠTE U ZAGREBU</v>
      </c>
      <c r="M91" s="11">
        <v>22427</v>
      </c>
      <c r="N91" s="12" t="s">
        <v>310</v>
      </c>
      <c r="O91" s="13" t="s">
        <v>37</v>
      </c>
      <c r="P91" s="12" t="s">
        <v>311</v>
      </c>
      <c r="Q91" s="12" t="s">
        <v>24</v>
      </c>
      <c r="R91" s="15">
        <v>1398270</v>
      </c>
      <c r="S91" s="16" t="s">
        <v>312</v>
      </c>
      <c r="T91" s="17" t="s">
        <v>33</v>
      </c>
      <c r="U91" s="18" t="s">
        <v>34</v>
      </c>
      <c r="V91" s="3"/>
      <c r="W91" s="3"/>
      <c r="X91" s="3"/>
      <c r="Y91" s="3"/>
      <c r="Z91" s="3"/>
      <c r="AA91" s="3"/>
      <c r="AB91" s="3"/>
    </row>
    <row r="92" spans="1:28" ht="12.75" hidden="1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10">
        <f t="shared" si="0"/>
        <v>86</v>
      </c>
      <c r="L92" s="11" t="str">
        <f t="shared" si="1"/>
        <v>50848VELEUČILIŠTE HRVATSKO ZAGORJE KRAPINA</v>
      </c>
      <c r="M92" s="11">
        <v>50848</v>
      </c>
      <c r="N92" s="12" t="s">
        <v>313</v>
      </c>
      <c r="O92" s="13" t="s">
        <v>37</v>
      </c>
      <c r="P92" s="12" t="s">
        <v>314</v>
      </c>
      <c r="Q92" s="12" t="s">
        <v>315</v>
      </c>
      <c r="R92" s="15">
        <v>2271354</v>
      </c>
      <c r="S92" s="16" t="s">
        <v>316</v>
      </c>
      <c r="T92" s="17" t="s">
        <v>33</v>
      </c>
      <c r="U92" s="18" t="s">
        <v>34</v>
      </c>
      <c r="V92" s="3"/>
      <c r="W92" s="3"/>
      <c r="X92" s="3"/>
      <c r="Y92" s="3"/>
      <c r="Z92" s="3"/>
      <c r="AA92" s="3"/>
      <c r="AB92" s="3"/>
    </row>
    <row r="93" spans="1:28" ht="12.75" hidden="1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10">
        <f t="shared" si="0"/>
        <v>87</v>
      </c>
      <c r="L93" s="11" t="str">
        <f t="shared" si="1"/>
        <v>38446VELEUČILIŠTE LAVOSLAV RUŽIČKA U VUKOVARU</v>
      </c>
      <c r="M93" s="11">
        <v>38446</v>
      </c>
      <c r="N93" s="12" t="s">
        <v>317</v>
      </c>
      <c r="O93" s="13" t="s">
        <v>37</v>
      </c>
      <c r="P93" s="12" t="s">
        <v>318</v>
      </c>
      <c r="Q93" s="12" t="s">
        <v>319</v>
      </c>
      <c r="R93" s="15">
        <v>1970828</v>
      </c>
      <c r="S93" s="16" t="s">
        <v>320</v>
      </c>
      <c r="T93" s="17" t="s">
        <v>33</v>
      </c>
      <c r="U93" s="18" t="s">
        <v>34</v>
      </c>
      <c r="V93" s="3"/>
      <c r="W93" s="3"/>
      <c r="X93" s="3"/>
      <c r="Y93" s="3"/>
      <c r="Z93" s="3"/>
      <c r="AA93" s="3"/>
      <c r="AB93" s="3"/>
    </row>
    <row r="94" spans="1:28" ht="12.75" hidden="1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10">
        <f t="shared" si="0"/>
        <v>88</v>
      </c>
      <c r="L94" s="11" t="str">
        <f t="shared" si="1"/>
        <v>38438VELEUČILIŠTE MARKO MARULIĆ U KNINU</v>
      </c>
      <c r="M94" s="11">
        <v>38438</v>
      </c>
      <c r="N94" s="12" t="s">
        <v>321</v>
      </c>
      <c r="O94" s="13" t="s">
        <v>37</v>
      </c>
      <c r="P94" s="12" t="s">
        <v>322</v>
      </c>
      <c r="Q94" s="12" t="s">
        <v>323</v>
      </c>
      <c r="R94" s="15">
        <v>1963813</v>
      </c>
      <c r="S94" s="16" t="s">
        <v>324</v>
      </c>
      <c r="T94" s="17" t="s">
        <v>33</v>
      </c>
      <c r="U94" s="18" t="s">
        <v>34</v>
      </c>
      <c r="V94" s="3"/>
      <c r="W94" s="3"/>
      <c r="X94" s="3"/>
      <c r="Y94" s="3"/>
      <c r="Z94" s="3"/>
      <c r="AA94" s="3"/>
      <c r="AB94" s="3"/>
    </row>
    <row r="95" spans="1:28" ht="12.75" hidden="1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10">
        <f t="shared" si="0"/>
        <v>89</v>
      </c>
      <c r="L95" s="11" t="str">
        <f t="shared" si="1"/>
        <v>41185VELEUČILIŠTE NIKOLA TESLA U GOSPIĆU</v>
      </c>
      <c r="M95" s="11">
        <v>41185</v>
      </c>
      <c r="N95" s="12" t="s">
        <v>325</v>
      </c>
      <c r="O95" s="13" t="s">
        <v>37</v>
      </c>
      <c r="P95" s="12" t="s">
        <v>326</v>
      </c>
      <c r="Q95" s="12" t="s">
        <v>327</v>
      </c>
      <c r="R95" s="15">
        <v>2103133</v>
      </c>
      <c r="S95" s="16" t="s">
        <v>328</v>
      </c>
      <c r="T95" s="17" t="s">
        <v>33</v>
      </c>
      <c r="U95" s="18" t="s">
        <v>34</v>
      </c>
      <c r="V95" s="3"/>
      <c r="W95" s="3"/>
      <c r="X95" s="3"/>
      <c r="Y95" s="3"/>
      <c r="Z95" s="3"/>
      <c r="AA95" s="3"/>
      <c r="AB95" s="3"/>
    </row>
    <row r="96" spans="1:28" ht="12.75" hidden="1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10">
        <f t="shared" si="0"/>
        <v>90</v>
      </c>
      <c r="L96" s="11" t="str">
        <f t="shared" si="1"/>
        <v>21053VELEUČILIŠTE U KARLOVCU</v>
      </c>
      <c r="M96" s="11">
        <v>21053</v>
      </c>
      <c r="N96" s="12" t="s">
        <v>329</v>
      </c>
      <c r="O96" s="13" t="s">
        <v>37</v>
      </c>
      <c r="P96" s="12" t="s">
        <v>330</v>
      </c>
      <c r="Q96" s="12" t="s">
        <v>331</v>
      </c>
      <c r="R96" s="15">
        <v>1286030</v>
      </c>
      <c r="S96" s="16" t="s">
        <v>332</v>
      </c>
      <c r="T96" s="17" t="s">
        <v>33</v>
      </c>
      <c r="U96" s="18" t="s">
        <v>34</v>
      </c>
      <c r="V96" s="3"/>
      <c r="W96" s="3"/>
      <c r="X96" s="3"/>
      <c r="Y96" s="3"/>
      <c r="Z96" s="3"/>
      <c r="AA96" s="3"/>
      <c r="AB96" s="3"/>
    </row>
    <row r="97" spans="1:28" ht="12.75" hidden="1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10">
        <f t="shared" si="0"/>
        <v>91</v>
      </c>
      <c r="L97" s="11" t="str">
        <f t="shared" si="1"/>
        <v>22398VELEUČILIŠTE U POŽEGI</v>
      </c>
      <c r="M97" s="11">
        <v>22398</v>
      </c>
      <c r="N97" s="12" t="s">
        <v>333</v>
      </c>
      <c r="O97" s="13" t="s">
        <v>37</v>
      </c>
      <c r="P97" s="12" t="s">
        <v>334</v>
      </c>
      <c r="Q97" s="12" t="s">
        <v>335</v>
      </c>
      <c r="R97" s="15">
        <v>1395521</v>
      </c>
      <c r="S97" s="16" t="s">
        <v>336</v>
      </c>
      <c r="T97" s="17" t="s">
        <v>33</v>
      </c>
      <c r="U97" s="18" t="s">
        <v>34</v>
      </c>
      <c r="V97" s="3"/>
      <c r="W97" s="3"/>
      <c r="X97" s="3"/>
      <c r="Y97" s="3"/>
      <c r="Z97" s="3"/>
      <c r="AA97" s="3"/>
      <c r="AB97" s="3"/>
    </row>
    <row r="98" spans="1:28" ht="12.75" hidden="1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10">
        <f t="shared" si="0"/>
        <v>92</v>
      </c>
      <c r="L98" s="11" t="str">
        <f t="shared" si="1"/>
        <v>22494VELEUČILIŠTE U RIJECI</v>
      </c>
      <c r="M98" s="11">
        <v>22494</v>
      </c>
      <c r="N98" s="12" t="s">
        <v>337</v>
      </c>
      <c r="O98" s="13" t="s">
        <v>37</v>
      </c>
      <c r="P98" s="12" t="s">
        <v>338</v>
      </c>
      <c r="Q98" s="12" t="s">
        <v>121</v>
      </c>
      <c r="R98" s="15">
        <v>1387332</v>
      </c>
      <c r="S98" s="16" t="s">
        <v>339</v>
      </c>
      <c r="T98" s="17" t="s">
        <v>33</v>
      </c>
      <c r="U98" s="18" t="s">
        <v>34</v>
      </c>
      <c r="V98" s="3"/>
      <c r="W98" s="3"/>
      <c r="X98" s="3"/>
      <c r="Y98" s="3"/>
      <c r="Z98" s="3"/>
      <c r="AA98" s="3"/>
      <c r="AB98" s="3"/>
    </row>
    <row r="99" spans="1:28" ht="12.75" hidden="1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10">
        <f t="shared" si="0"/>
        <v>93</v>
      </c>
      <c r="L99" s="11" t="str">
        <f t="shared" si="1"/>
        <v>22824VELEUČILIŠTE U ŠIBENIKU</v>
      </c>
      <c r="M99" s="11">
        <v>22824</v>
      </c>
      <c r="N99" s="12" t="s">
        <v>340</v>
      </c>
      <c r="O99" s="13" t="s">
        <v>37</v>
      </c>
      <c r="P99" s="12" t="s">
        <v>341</v>
      </c>
      <c r="Q99" s="12" t="s">
        <v>342</v>
      </c>
      <c r="R99" s="15">
        <v>2100673</v>
      </c>
      <c r="S99" s="16" t="s">
        <v>343</v>
      </c>
      <c r="T99" s="17" t="s">
        <v>33</v>
      </c>
      <c r="U99" s="18" t="s">
        <v>34</v>
      </c>
      <c r="V99" s="3"/>
      <c r="W99" s="3"/>
      <c r="X99" s="3"/>
      <c r="Y99" s="3"/>
      <c r="Z99" s="3"/>
      <c r="AA99" s="3"/>
      <c r="AB99" s="3"/>
    </row>
    <row r="100" spans="1:28" ht="12.75" hidden="1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10">
        <f t="shared" si="0"/>
        <v>94</v>
      </c>
      <c r="L100" s="11" t="str">
        <f t="shared" si="1"/>
        <v>42993VELEUČILIŠTE U VIROVITICI</v>
      </c>
      <c r="M100" s="11">
        <v>42993</v>
      </c>
      <c r="N100" s="12" t="s">
        <v>344</v>
      </c>
      <c r="O100" s="13" t="s">
        <v>37</v>
      </c>
      <c r="P100" s="12" t="s">
        <v>345</v>
      </c>
      <c r="Q100" s="12" t="s">
        <v>346</v>
      </c>
      <c r="R100" s="15">
        <v>2282208</v>
      </c>
      <c r="S100" s="16" t="s">
        <v>347</v>
      </c>
      <c r="T100" s="17" t="s">
        <v>33</v>
      </c>
      <c r="U100" s="18" t="s">
        <v>34</v>
      </c>
      <c r="V100" s="3"/>
      <c r="W100" s="3"/>
      <c r="X100" s="3"/>
      <c r="Y100" s="3"/>
      <c r="Z100" s="3"/>
      <c r="AA100" s="3"/>
      <c r="AB100" s="3"/>
    </row>
    <row r="101" spans="1:28" ht="12.75" hidden="1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10">
        <f t="shared" si="0"/>
        <v>95</v>
      </c>
      <c r="L101" s="11" t="str">
        <f t="shared" si="1"/>
        <v>22371VISOKO GOSPODARSKO UČILIŠTE U KRIŽEVCIMA</v>
      </c>
      <c r="M101" s="11">
        <v>22371</v>
      </c>
      <c r="N101" s="12" t="s">
        <v>348</v>
      </c>
      <c r="O101" s="13" t="s">
        <v>37</v>
      </c>
      <c r="P101" s="12" t="s">
        <v>349</v>
      </c>
      <c r="Q101" s="12" t="s">
        <v>350</v>
      </c>
      <c r="R101" s="15">
        <v>1411942</v>
      </c>
      <c r="S101" s="16" t="s">
        <v>351</v>
      </c>
      <c r="T101" s="17" t="s">
        <v>33</v>
      </c>
      <c r="U101" s="18" t="s">
        <v>34</v>
      </c>
      <c r="V101" s="3"/>
      <c r="W101" s="3"/>
      <c r="X101" s="3"/>
      <c r="Y101" s="3"/>
      <c r="Z101" s="3"/>
      <c r="AA101" s="3"/>
      <c r="AB101" s="3"/>
    </row>
    <row r="102" spans="1:28" ht="12.75" hidden="1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10">
        <f t="shared" si="0"/>
        <v>96</v>
      </c>
      <c r="L102" s="11" t="str">
        <f t="shared" si="1"/>
        <v>22832ZDRAVSTVENO VELEUČILIŠTE</v>
      </c>
      <c r="M102" s="11">
        <v>22832</v>
      </c>
      <c r="N102" s="12" t="s">
        <v>352</v>
      </c>
      <c r="O102" s="13" t="s">
        <v>37</v>
      </c>
      <c r="P102" s="12" t="s">
        <v>353</v>
      </c>
      <c r="Q102" s="12" t="s">
        <v>24</v>
      </c>
      <c r="R102" s="15">
        <v>1274597</v>
      </c>
      <c r="S102" s="16" t="s">
        <v>354</v>
      </c>
      <c r="T102" s="17" t="s">
        <v>33</v>
      </c>
      <c r="U102" s="18" t="s">
        <v>34</v>
      </c>
      <c r="V102" s="3"/>
      <c r="W102" s="3"/>
      <c r="X102" s="3"/>
      <c r="Y102" s="3"/>
      <c r="Z102" s="3"/>
      <c r="AA102" s="3"/>
      <c r="AB102" s="3"/>
    </row>
    <row r="103" spans="1:28" ht="12.75" hidden="1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10">
        <f t="shared" si="0"/>
        <v>97</v>
      </c>
      <c r="L103" s="11" t="str">
        <f t="shared" si="1"/>
        <v>2918EKONOMSKI INSTITUT ZAGREB</v>
      </c>
      <c r="M103" s="11">
        <v>2918</v>
      </c>
      <c r="N103" s="12" t="s">
        <v>355</v>
      </c>
      <c r="O103" s="13" t="s">
        <v>37</v>
      </c>
      <c r="P103" s="12" t="s">
        <v>356</v>
      </c>
      <c r="Q103" s="12" t="s">
        <v>24</v>
      </c>
      <c r="R103" s="15">
        <v>3219925</v>
      </c>
      <c r="S103" s="16" t="s">
        <v>357</v>
      </c>
      <c r="T103" s="17" t="s">
        <v>358</v>
      </c>
      <c r="U103" s="18" t="s">
        <v>359</v>
      </c>
      <c r="V103" s="3"/>
      <c r="W103" s="3"/>
      <c r="X103" s="3"/>
      <c r="Y103" s="3"/>
      <c r="Z103" s="3"/>
      <c r="AA103" s="3"/>
      <c r="AB103" s="3"/>
    </row>
    <row r="104" spans="1:28" ht="12.75" hidden="1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10">
        <f t="shared" si="0"/>
        <v>98</v>
      </c>
      <c r="L104" s="11" t="str">
        <f t="shared" si="1"/>
        <v xml:space="preserve">22525HRVATSKI GEOLOŠKI INSTITUT </v>
      </c>
      <c r="M104" s="11">
        <v>22525</v>
      </c>
      <c r="N104" s="12" t="s">
        <v>360</v>
      </c>
      <c r="O104" s="13" t="s">
        <v>37</v>
      </c>
      <c r="P104" s="12" t="s">
        <v>361</v>
      </c>
      <c r="Q104" s="12" t="s">
        <v>24</v>
      </c>
      <c r="R104" s="15">
        <v>3219518</v>
      </c>
      <c r="S104" s="16" t="s">
        <v>362</v>
      </c>
      <c r="T104" s="17" t="s">
        <v>358</v>
      </c>
      <c r="U104" s="18" t="s">
        <v>359</v>
      </c>
      <c r="V104" s="3"/>
      <c r="W104" s="3"/>
      <c r="X104" s="3"/>
      <c r="Y104" s="3"/>
      <c r="Z104" s="3"/>
      <c r="AA104" s="3"/>
      <c r="AB104" s="3"/>
    </row>
    <row r="105" spans="1:28" ht="12.75" hidden="1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10">
        <f t="shared" si="0"/>
        <v>99</v>
      </c>
      <c r="L105" s="11" t="str">
        <f t="shared" si="1"/>
        <v>2934HRVATSKI INSTITUT ZA POVIJEST</v>
      </c>
      <c r="M105" s="11">
        <v>2934</v>
      </c>
      <c r="N105" s="12" t="s">
        <v>363</v>
      </c>
      <c r="O105" s="13" t="s">
        <v>37</v>
      </c>
      <c r="P105" s="12" t="s">
        <v>364</v>
      </c>
      <c r="Q105" s="12" t="s">
        <v>24</v>
      </c>
      <c r="R105" s="15">
        <v>3207153</v>
      </c>
      <c r="S105" s="16" t="s">
        <v>365</v>
      </c>
      <c r="T105" s="17" t="s">
        <v>358</v>
      </c>
      <c r="U105" s="18" t="s">
        <v>359</v>
      </c>
      <c r="V105" s="3"/>
      <c r="W105" s="3"/>
      <c r="X105" s="3"/>
      <c r="Y105" s="3"/>
      <c r="Z105" s="3"/>
      <c r="AA105" s="3"/>
      <c r="AB105" s="3"/>
    </row>
    <row r="106" spans="1:28" ht="12.75" hidden="1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10">
        <f t="shared" si="0"/>
        <v>100</v>
      </c>
      <c r="L106" s="11" t="str">
        <f t="shared" si="1"/>
        <v>2967HRVATSKI ŠUMARSKI INSTITUT</v>
      </c>
      <c r="M106" s="11">
        <v>2967</v>
      </c>
      <c r="N106" s="12" t="s">
        <v>366</v>
      </c>
      <c r="O106" s="13" t="s">
        <v>37</v>
      </c>
      <c r="P106" s="12" t="s">
        <v>367</v>
      </c>
      <c r="Q106" s="12" t="s">
        <v>368</v>
      </c>
      <c r="R106" s="15">
        <v>3115879</v>
      </c>
      <c r="S106" s="16" t="s">
        <v>369</v>
      </c>
      <c r="T106" s="17" t="s">
        <v>358</v>
      </c>
      <c r="U106" s="18" t="s">
        <v>359</v>
      </c>
      <c r="V106" s="3"/>
      <c r="W106" s="3"/>
      <c r="X106" s="3"/>
      <c r="Y106" s="3"/>
      <c r="Z106" s="3"/>
      <c r="AA106" s="3"/>
      <c r="AB106" s="3"/>
    </row>
    <row r="107" spans="1:28" ht="12.75" hidden="1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10">
        <f t="shared" si="0"/>
        <v>101</v>
      </c>
      <c r="L107" s="11" t="str">
        <f t="shared" si="1"/>
        <v>2983HRVATSKI VETERINARSKI INSTITUT</v>
      </c>
      <c r="M107" s="11">
        <v>2983</v>
      </c>
      <c r="N107" s="12" t="s">
        <v>370</v>
      </c>
      <c r="O107" s="13" t="s">
        <v>37</v>
      </c>
      <c r="P107" s="12" t="s">
        <v>371</v>
      </c>
      <c r="Q107" s="12" t="s">
        <v>24</v>
      </c>
      <c r="R107" s="15">
        <v>3274098</v>
      </c>
      <c r="S107" s="16" t="s">
        <v>372</v>
      </c>
      <c r="T107" s="17" t="s">
        <v>358</v>
      </c>
      <c r="U107" s="18" t="s">
        <v>359</v>
      </c>
      <c r="V107" s="3"/>
      <c r="W107" s="3"/>
      <c r="X107" s="3"/>
      <c r="Y107" s="3"/>
      <c r="Z107" s="3"/>
      <c r="AA107" s="3"/>
      <c r="AB107" s="3"/>
    </row>
    <row r="108" spans="1:28" ht="12.75" hidden="1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10">
        <f t="shared" si="0"/>
        <v>102</v>
      </c>
      <c r="L108" s="11" t="str">
        <f t="shared" si="1"/>
        <v>3105INSTITUT DRUŠTVENIH ZNANOSTI IVO PILAR</v>
      </c>
      <c r="M108" s="11">
        <v>3105</v>
      </c>
      <c r="N108" s="12" t="s">
        <v>373</v>
      </c>
      <c r="O108" s="13" t="s">
        <v>37</v>
      </c>
      <c r="P108" s="12" t="s">
        <v>374</v>
      </c>
      <c r="Q108" s="12" t="s">
        <v>24</v>
      </c>
      <c r="R108" s="15">
        <v>3793028</v>
      </c>
      <c r="S108" s="16" t="s">
        <v>375</v>
      </c>
      <c r="T108" s="17" t="s">
        <v>358</v>
      </c>
      <c r="U108" s="18" t="s">
        <v>359</v>
      </c>
      <c r="V108" s="3"/>
      <c r="W108" s="3"/>
      <c r="X108" s="3"/>
      <c r="Y108" s="3"/>
      <c r="Z108" s="3"/>
      <c r="AA108" s="3"/>
      <c r="AB108" s="3"/>
    </row>
    <row r="109" spans="1:28" ht="12.75" hidden="1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10">
        <f t="shared" si="0"/>
        <v>103</v>
      </c>
      <c r="L109" s="11" t="str">
        <f t="shared" si="1"/>
        <v>3041INSTITUT RUĐER BOŠKOVIĆ</v>
      </c>
      <c r="M109" s="11">
        <v>3041</v>
      </c>
      <c r="N109" s="12" t="s">
        <v>376</v>
      </c>
      <c r="O109" s="13" t="s">
        <v>37</v>
      </c>
      <c r="P109" s="12" t="s">
        <v>377</v>
      </c>
      <c r="Q109" s="12" t="s">
        <v>24</v>
      </c>
      <c r="R109" s="15">
        <v>3270289</v>
      </c>
      <c r="S109" s="16" t="s">
        <v>378</v>
      </c>
      <c r="T109" s="17" t="s">
        <v>358</v>
      </c>
      <c r="U109" s="18" t="s">
        <v>359</v>
      </c>
      <c r="V109" s="3"/>
      <c r="W109" s="3"/>
      <c r="X109" s="3"/>
      <c r="Y109" s="3"/>
      <c r="Z109" s="3"/>
      <c r="AA109" s="3"/>
      <c r="AB109" s="3"/>
    </row>
    <row r="110" spans="1:28" ht="12.75" hidden="1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10">
        <f t="shared" si="0"/>
        <v>104</v>
      </c>
      <c r="L110" s="11" t="str">
        <f t="shared" si="1"/>
        <v>3113INSTITUT ZA ANTROPOLOGIJU</v>
      </c>
      <c r="M110" s="11">
        <v>3113</v>
      </c>
      <c r="N110" s="12" t="s">
        <v>379</v>
      </c>
      <c r="O110" s="13" t="s">
        <v>37</v>
      </c>
      <c r="P110" s="12" t="s">
        <v>380</v>
      </c>
      <c r="Q110" s="12" t="s">
        <v>24</v>
      </c>
      <c r="R110" s="15">
        <v>3817121</v>
      </c>
      <c r="S110" s="16" t="s">
        <v>381</v>
      </c>
      <c r="T110" s="17" t="s">
        <v>358</v>
      </c>
      <c r="U110" s="18" t="s">
        <v>359</v>
      </c>
      <c r="V110" s="3"/>
      <c r="W110" s="3"/>
      <c r="X110" s="3"/>
      <c r="Y110" s="3"/>
      <c r="Z110" s="3"/>
      <c r="AA110" s="3"/>
      <c r="AB110" s="3"/>
    </row>
    <row r="111" spans="1:28" ht="12.75" hidden="1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10">
        <f t="shared" si="0"/>
        <v>105</v>
      </c>
      <c r="L111" s="11" t="str">
        <f t="shared" si="1"/>
        <v>3121INSTITUT ZA ARHEOLOGIJU</v>
      </c>
      <c r="M111" s="11">
        <v>3121</v>
      </c>
      <c r="N111" s="12" t="s">
        <v>382</v>
      </c>
      <c r="O111" s="13" t="s">
        <v>37</v>
      </c>
      <c r="P111" s="12" t="s">
        <v>380</v>
      </c>
      <c r="Q111" s="12" t="s">
        <v>24</v>
      </c>
      <c r="R111" s="15">
        <v>3937658</v>
      </c>
      <c r="S111" s="16" t="s">
        <v>383</v>
      </c>
      <c r="T111" s="17" t="s">
        <v>358</v>
      </c>
      <c r="U111" s="18" t="s">
        <v>359</v>
      </c>
      <c r="V111" s="3"/>
      <c r="W111" s="3"/>
      <c r="X111" s="3"/>
      <c r="Y111" s="3"/>
      <c r="Z111" s="3"/>
      <c r="AA111" s="3"/>
      <c r="AB111" s="3"/>
    </row>
    <row r="112" spans="1:28" ht="12.75" hidden="1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10">
        <f t="shared" si="0"/>
        <v>106</v>
      </c>
      <c r="L112" s="11" t="str">
        <f t="shared" si="1"/>
        <v>3050INSTITUT ZA DRUŠTVENA ISTRAŽIVANJA</v>
      </c>
      <c r="M112" s="11">
        <v>3050</v>
      </c>
      <c r="N112" s="12" t="s">
        <v>384</v>
      </c>
      <c r="O112" s="13" t="s">
        <v>37</v>
      </c>
      <c r="P112" s="12" t="s">
        <v>385</v>
      </c>
      <c r="Q112" s="12" t="s">
        <v>24</v>
      </c>
      <c r="R112" s="15">
        <v>3205118</v>
      </c>
      <c r="S112" s="16" t="s">
        <v>386</v>
      </c>
      <c r="T112" s="17" t="s">
        <v>358</v>
      </c>
      <c r="U112" s="18" t="s">
        <v>359</v>
      </c>
      <c r="V112" s="3"/>
      <c r="W112" s="3"/>
      <c r="X112" s="3"/>
      <c r="Y112" s="3"/>
      <c r="Z112" s="3"/>
      <c r="AA112" s="3"/>
      <c r="AB112" s="3"/>
    </row>
    <row r="113" spans="1:28" ht="12.75" hidden="1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10">
        <f t="shared" si="0"/>
        <v>107</v>
      </c>
      <c r="L113" s="11" t="str">
        <f t="shared" si="1"/>
        <v>3084INSTITUT ZA ETNOLOGIJU I FOLKLORISTIKU</v>
      </c>
      <c r="M113" s="11">
        <v>3084</v>
      </c>
      <c r="N113" s="12" t="s">
        <v>387</v>
      </c>
      <c r="O113" s="13" t="s">
        <v>37</v>
      </c>
      <c r="P113" s="12" t="s">
        <v>388</v>
      </c>
      <c r="Q113" s="12" t="s">
        <v>24</v>
      </c>
      <c r="R113" s="15">
        <v>3724042</v>
      </c>
      <c r="S113" s="16" t="s">
        <v>389</v>
      </c>
      <c r="T113" s="17" t="s">
        <v>358</v>
      </c>
      <c r="U113" s="18" t="s">
        <v>359</v>
      </c>
      <c r="V113" s="3"/>
      <c r="W113" s="3"/>
      <c r="X113" s="3"/>
      <c r="Y113" s="3"/>
      <c r="Z113" s="3"/>
      <c r="AA113" s="3"/>
      <c r="AB113" s="3"/>
    </row>
    <row r="114" spans="1:28" ht="12.75" hidden="1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10">
        <f t="shared" si="0"/>
        <v>108</v>
      </c>
      <c r="L114" s="11" t="str">
        <f t="shared" si="1"/>
        <v>3092INSTITUT ZA FILOZOFIJU</v>
      </c>
      <c r="M114" s="11">
        <v>3092</v>
      </c>
      <c r="N114" s="12" t="s">
        <v>390</v>
      </c>
      <c r="O114" s="13" t="s">
        <v>37</v>
      </c>
      <c r="P114" s="12" t="s">
        <v>391</v>
      </c>
      <c r="Q114" s="12" t="s">
        <v>24</v>
      </c>
      <c r="R114" s="15">
        <v>3772047</v>
      </c>
      <c r="S114" s="16" t="s">
        <v>392</v>
      </c>
      <c r="T114" s="17" t="s">
        <v>358</v>
      </c>
      <c r="U114" s="18" t="s">
        <v>359</v>
      </c>
      <c r="V114" s="3"/>
      <c r="W114" s="3"/>
      <c r="X114" s="3"/>
      <c r="Y114" s="3"/>
      <c r="Z114" s="3"/>
      <c r="AA114" s="3"/>
      <c r="AB114" s="3"/>
    </row>
    <row r="115" spans="1:28" ht="12.75" hidden="1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10">
        <f t="shared" si="0"/>
        <v>109</v>
      </c>
      <c r="L115" s="11" t="str">
        <f t="shared" si="1"/>
        <v>2975INSTITUT ZA FIZIKU</v>
      </c>
      <c r="M115" s="11">
        <v>2975</v>
      </c>
      <c r="N115" s="12" t="s">
        <v>393</v>
      </c>
      <c r="O115" s="13" t="s">
        <v>37</v>
      </c>
      <c r="P115" s="12" t="s">
        <v>377</v>
      </c>
      <c r="Q115" s="12" t="s">
        <v>24</v>
      </c>
      <c r="R115" s="15">
        <v>3270424</v>
      </c>
      <c r="S115" s="16" t="s">
        <v>394</v>
      </c>
      <c r="T115" s="17" t="s">
        <v>358</v>
      </c>
      <c r="U115" s="18" t="s">
        <v>359</v>
      </c>
      <c r="V115" s="3"/>
      <c r="W115" s="3"/>
      <c r="X115" s="3"/>
      <c r="Y115" s="3"/>
      <c r="Z115" s="3"/>
      <c r="AA115" s="3"/>
      <c r="AB115" s="3"/>
    </row>
    <row r="116" spans="1:28" ht="12.75" hidden="1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10">
        <f t="shared" si="0"/>
        <v>110</v>
      </c>
      <c r="L116" s="11" t="str">
        <f t="shared" si="1"/>
        <v>21061INSTITUT ZA HRVATSKI JEZIK I JEZIKOSLOVLJE</v>
      </c>
      <c r="M116" s="11">
        <v>21061</v>
      </c>
      <c r="N116" s="12" t="s">
        <v>395</v>
      </c>
      <c r="O116" s="13" t="s">
        <v>37</v>
      </c>
      <c r="P116" s="12" t="s">
        <v>396</v>
      </c>
      <c r="Q116" s="12" t="s">
        <v>24</v>
      </c>
      <c r="R116" s="15">
        <v>1259571</v>
      </c>
      <c r="S116" s="16" t="s">
        <v>397</v>
      </c>
      <c r="T116" s="17" t="s">
        <v>358</v>
      </c>
      <c r="U116" s="18" t="s">
        <v>359</v>
      </c>
      <c r="V116" s="3"/>
      <c r="W116" s="3"/>
      <c r="X116" s="3"/>
      <c r="Y116" s="3"/>
      <c r="Z116" s="3"/>
      <c r="AA116" s="3"/>
      <c r="AB116" s="3"/>
    </row>
    <row r="117" spans="1:28" ht="12.75" hidden="1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10">
        <f t="shared" si="0"/>
        <v>111</v>
      </c>
      <c r="L117" s="11" t="str">
        <f t="shared" si="1"/>
        <v>3025INSTITUT ZA JADRANSKE KULTURE I MELIORACIJU KRŠA</v>
      </c>
      <c r="M117" s="11">
        <v>3025</v>
      </c>
      <c r="N117" s="12" t="s">
        <v>398</v>
      </c>
      <c r="O117" s="13" t="s">
        <v>37</v>
      </c>
      <c r="P117" s="12" t="s">
        <v>399</v>
      </c>
      <c r="Q117" s="12" t="s">
        <v>169</v>
      </c>
      <c r="R117" s="15">
        <v>3140792</v>
      </c>
      <c r="S117" s="16" t="s">
        <v>400</v>
      </c>
      <c r="T117" s="17" t="s">
        <v>358</v>
      </c>
      <c r="U117" s="18" t="s">
        <v>359</v>
      </c>
      <c r="V117" s="3"/>
      <c r="W117" s="3"/>
      <c r="X117" s="3"/>
      <c r="Y117" s="3"/>
      <c r="Z117" s="3"/>
      <c r="AA117" s="3"/>
      <c r="AB117" s="3"/>
    </row>
    <row r="118" spans="1:28" ht="12.75" hidden="1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10">
        <f t="shared" si="0"/>
        <v>112</v>
      </c>
      <c r="L118" s="11" t="str">
        <f t="shared" si="1"/>
        <v>23286INSTITUT ZA JAVNE FINANCIJE</v>
      </c>
      <c r="M118" s="11">
        <v>23286</v>
      </c>
      <c r="N118" s="12" t="s">
        <v>401</v>
      </c>
      <c r="O118" s="13" t="s">
        <v>37</v>
      </c>
      <c r="P118" s="12" t="s">
        <v>402</v>
      </c>
      <c r="Q118" s="12" t="s">
        <v>24</v>
      </c>
      <c r="R118" s="15">
        <v>3226344</v>
      </c>
      <c r="S118" s="16" t="s">
        <v>403</v>
      </c>
      <c r="T118" s="17" t="s">
        <v>358</v>
      </c>
      <c r="U118" s="18" t="s">
        <v>359</v>
      </c>
      <c r="V118" s="3"/>
      <c r="W118" s="3"/>
      <c r="X118" s="3"/>
      <c r="Y118" s="3"/>
      <c r="Z118" s="3"/>
      <c r="AA118" s="3"/>
      <c r="AB118" s="3"/>
    </row>
    <row r="119" spans="1:28" ht="12.75" hidden="1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10">
        <f t="shared" si="0"/>
        <v>113</v>
      </c>
      <c r="L119" s="11" t="str">
        <f t="shared" si="1"/>
        <v>2959INSTITUT ZA MEDICINSKA ISTRAŽIVANJA I MEDICINU RADA</v>
      </c>
      <c r="M119" s="11">
        <v>2959</v>
      </c>
      <c r="N119" s="12" t="s">
        <v>404</v>
      </c>
      <c r="O119" s="13" t="s">
        <v>37</v>
      </c>
      <c r="P119" s="12" t="s">
        <v>405</v>
      </c>
      <c r="Q119" s="12" t="s">
        <v>24</v>
      </c>
      <c r="R119" s="15">
        <v>3270475</v>
      </c>
      <c r="S119" s="16" t="s">
        <v>406</v>
      </c>
      <c r="T119" s="17" t="s">
        <v>358</v>
      </c>
      <c r="U119" s="18" t="s">
        <v>359</v>
      </c>
      <c r="V119" s="3"/>
      <c r="W119" s="3"/>
      <c r="X119" s="3"/>
      <c r="Y119" s="3"/>
      <c r="Z119" s="3"/>
      <c r="AA119" s="3"/>
      <c r="AB119" s="3"/>
    </row>
    <row r="120" spans="1:28" ht="12.75" hidden="1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10">
        <f t="shared" si="0"/>
        <v>114</v>
      </c>
      <c r="L120" s="11" t="str">
        <f t="shared" si="1"/>
        <v>3009INSTITUT ZA MIGRACIJE I NARODNOSTI</v>
      </c>
      <c r="M120" s="11">
        <v>3009</v>
      </c>
      <c r="N120" s="12" t="s">
        <v>407</v>
      </c>
      <c r="O120" s="13" t="s">
        <v>37</v>
      </c>
      <c r="P120" s="12" t="s">
        <v>408</v>
      </c>
      <c r="Q120" s="12" t="s">
        <v>24</v>
      </c>
      <c r="R120" s="15">
        <v>3287572</v>
      </c>
      <c r="S120" s="16" t="s">
        <v>409</v>
      </c>
      <c r="T120" s="17" t="s">
        <v>358</v>
      </c>
      <c r="U120" s="18" t="s">
        <v>359</v>
      </c>
      <c r="V120" s="3"/>
      <c r="W120" s="3"/>
      <c r="X120" s="3"/>
      <c r="Y120" s="3"/>
      <c r="Z120" s="3"/>
      <c r="AA120" s="3"/>
      <c r="AB120" s="3"/>
    </row>
    <row r="121" spans="1:28" ht="12.75" hidden="1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10">
        <f t="shared" si="0"/>
        <v>115</v>
      </c>
      <c r="L121" s="11" t="str">
        <f t="shared" si="1"/>
        <v>2900INSTITUT ZA OCEANOGRAFIJU I RIBARSTVO</v>
      </c>
      <c r="M121" s="11">
        <v>2900</v>
      </c>
      <c r="N121" s="12" t="s">
        <v>410</v>
      </c>
      <c r="O121" s="13" t="s">
        <v>37</v>
      </c>
      <c r="P121" s="12" t="s">
        <v>411</v>
      </c>
      <c r="Q121" s="12" t="s">
        <v>169</v>
      </c>
      <c r="R121" s="15">
        <v>3118355</v>
      </c>
      <c r="S121" s="16" t="s">
        <v>412</v>
      </c>
      <c r="T121" s="17" t="s">
        <v>358</v>
      </c>
      <c r="U121" s="18" t="s">
        <v>359</v>
      </c>
      <c r="V121" s="3"/>
      <c r="W121" s="3"/>
      <c r="X121" s="3"/>
      <c r="Y121" s="3"/>
      <c r="Z121" s="3"/>
      <c r="AA121" s="3"/>
      <c r="AB121" s="3"/>
    </row>
    <row r="122" spans="1:28" ht="12.75" hidden="1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10">
        <f t="shared" si="0"/>
        <v>116</v>
      </c>
      <c r="L122" s="11" t="str">
        <f t="shared" si="1"/>
        <v>3076INSTITUT ZA POLJOPRIVREDU I TURIZAM</v>
      </c>
      <c r="M122" s="11">
        <v>3076</v>
      </c>
      <c r="N122" s="12" t="s">
        <v>413</v>
      </c>
      <c r="O122" s="13" t="s">
        <v>37</v>
      </c>
      <c r="P122" s="12" t="s">
        <v>414</v>
      </c>
      <c r="Q122" s="12" t="s">
        <v>415</v>
      </c>
      <c r="R122" s="15">
        <v>3421031</v>
      </c>
      <c r="S122" s="16" t="s">
        <v>416</v>
      </c>
      <c r="T122" s="17" t="s">
        <v>358</v>
      </c>
      <c r="U122" s="18" t="s">
        <v>359</v>
      </c>
      <c r="V122" s="3"/>
      <c r="W122" s="3"/>
      <c r="X122" s="3"/>
      <c r="Y122" s="3"/>
      <c r="Z122" s="3"/>
      <c r="AA122" s="3"/>
      <c r="AB122" s="3"/>
    </row>
    <row r="123" spans="1:28" ht="12.75" hidden="1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10">
        <f t="shared" si="0"/>
        <v>117</v>
      </c>
      <c r="L123" s="11" t="str">
        <f t="shared" si="1"/>
        <v>2942INSTITUT ZA POVIJEST UMJETNOSTI</v>
      </c>
      <c r="M123" s="11">
        <v>2942</v>
      </c>
      <c r="N123" s="12" t="s">
        <v>417</v>
      </c>
      <c r="O123" s="13" t="s">
        <v>37</v>
      </c>
      <c r="P123" s="12" t="s">
        <v>418</v>
      </c>
      <c r="Q123" s="12" t="s">
        <v>24</v>
      </c>
      <c r="R123" s="15">
        <v>1339958</v>
      </c>
      <c r="S123" s="16" t="s">
        <v>419</v>
      </c>
      <c r="T123" s="17" t="s">
        <v>358</v>
      </c>
      <c r="U123" s="18" t="s">
        <v>359</v>
      </c>
      <c r="V123" s="3"/>
      <c r="W123" s="3"/>
      <c r="X123" s="3"/>
      <c r="Y123" s="3"/>
      <c r="Z123" s="3"/>
      <c r="AA123" s="3"/>
      <c r="AB123" s="3"/>
    </row>
    <row r="124" spans="1:28" ht="12.75" hidden="1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10">
        <f t="shared" si="0"/>
        <v>118</v>
      </c>
      <c r="L124" s="11" t="str">
        <f t="shared" si="1"/>
        <v>22621INSTITUT ZA RAZVOJ I MEĐUNARODNE ODNOSE</v>
      </c>
      <c r="M124" s="11">
        <v>22621</v>
      </c>
      <c r="N124" s="12" t="s">
        <v>420</v>
      </c>
      <c r="O124" s="13" t="s">
        <v>37</v>
      </c>
      <c r="P124" s="12" t="s">
        <v>421</v>
      </c>
      <c r="Q124" s="12" t="s">
        <v>24</v>
      </c>
      <c r="R124" s="15">
        <v>3205177</v>
      </c>
      <c r="S124" s="16" t="s">
        <v>422</v>
      </c>
      <c r="T124" s="17" t="s">
        <v>358</v>
      </c>
      <c r="U124" s="18" t="s">
        <v>359</v>
      </c>
      <c r="V124" s="3"/>
      <c r="W124" s="3"/>
      <c r="X124" s="3"/>
      <c r="Y124" s="3"/>
      <c r="Z124" s="3"/>
      <c r="AA124" s="3"/>
      <c r="AB124" s="3"/>
    </row>
    <row r="125" spans="1:28" ht="12.75" hidden="1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10">
        <f t="shared" si="0"/>
        <v>119</v>
      </c>
      <c r="L125" s="11" t="str">
        <f t="shared" si="1"/>
        <v>3068INSTITUT ZA TURIZAM</v>
      </c>
      <c r="M125" s="11">
        <v>3068</v>
      </c>
      <c r="N125" s="12" t="s">
        <v>423</v>
      </c>
      <c r="O125" s="13" t="s">
        <v>37</v>
      </c>
      <c r="P125" s="12" t="s">
        <v>424</v>
      </c>
      <c r="Q125" s="12" t="s">
        <v>24</v>
      </c>
      <c r="R125" s="15">
        <v>3208001</v>
      </c>
      <c r="S125" s="16" t="s">
        <v>425</v>
      </c>
      <c r="T125" s="17" t="s">
        <v>358</v>
      </c>
      <c r="U125" s="18" t="s">
        <v>359</v>
      </c>
      <c r="V125" s="3"/>
      <c r="W125" s="3"/>
      <c r="X125" s="3"/>
      <c r="Y125" s="3"/>
      <c r="Z125" s="3"/>
      <c r="AA125" s="3"/>
      <c r="AB125" s="3"/>
    </row>
    <row r="126" spans="1:28" ht="12.75" hidden="1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10">
        <f t="shared" si="0"/>
        <v>120</v>
      </c>
      <c r="L126" s="11" t="str">
        <f t="shared" si="1"/>
        <v>2991POLJOPRIVREDNI INSTITUT OSIJEK</v>
      </c>
      <c r="M126" s="11">
        <v>2991</v>
      </c>
      <c r="N126" s="12" t="s">
        <v>426</v>
      </c>
      <c r="O126" s="13" t="s">
        <v>37</v>
      </c>
      <c r="P126" s="12" t="s">
        <v>427</v>
      </c>
      <c r="Q126" s="12" t="s">
        <v>45</v>
      </c>
      <c r="R126" s="15">
        <v>3058239</v>
      </c>
      <c r="S126" s="16" t="s">
        <v>428</v>
      </c>
      <c r="T126" s="17" t="s">
        <v>358</v>
      </c>
      <c r="U126" s="18" t="s">
        <v>359</v>
      </c>
      <c r="V126" s="3"/>
      <c r="W126" s="3"/>
      <c r="X126" s="3"/>
      <c r="Y126" s="3"/>
      <c r="Z126" s="3"/>
      <c r="AA126" s="3"/>
      <c r="AB126" s="3"/>
    </row>
    <row r="127" spans="1:28" ht="12.75" hidden="1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10">
        <f t="shared" si="0"/>
        <v>121</v>
      </c>
      <c r="L127" s="11" t="str">
        <f t="shared" si="1"/>
        <v>21070STAROSLAVENSKI INSTITUT</v>
      </c>
      <c r="M127" s="11">
        <v>21070</v>
      </c>
      <c r="N127" s="12" t="s">
        <v>429</v>
      </c>
      <c r="O127" s="13" t="s">
        <v>37</v>
      </c>
      <c r="P127" s="12" t="s">
        <v>430</v>
      </c>
      <c r="Q127" s="12" t="s">
        <v>24</v>
      </c>
      <c r="R127" s="15">
        <v>1259563</v>
      </c>
      <c r="S127" s="16" t="s">
        <v>431</v>
      </c>
      <c r="T127" s="17" t="s">
        <v>358</v>
      </c>
      <c r="U127" s="18" t="s">
        <v>359</v>
      </c>
      <c r="V127" s="3"/>
      <c r="W127" s="3"/>
      <c r="X127" s="3"/>
      <c r="Y127" s="3"/>
      <c r="Z127" s="3"/>
      <c r="AA127" s="3"/>
      <c r="AB127" s="3"/>
    </row>
    <row r="128" spans="1:28" ht="12.75" hidden="1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10">
        <f t="shared" si="0"/>
        <v>122</v>
      </c>
      <c r="L128" s="11" t="str">
        <f t="shared" si="1"/>
        <v>6179DRŽAVNI ZAVOD ZA INTELEKTUALNO VLASNIŠTVO</v>
      </c>
      <c r="M128" s="11">
        <v>6179</v>
      </c>
      <c r="N128" s="12" t="s">
        <v>432</v>
      </c>
      <c r="O128" s="13" t="s">
        <v>37</v>
      </c>
      <c r="P128" s="14" t="s">
        <v>433</v>
      </c>
      <c r="Q128" s="12" t="s">
        <v>24</v>
      </c>
      <c r="R128" s="15">
        <v>3899772</v>
      </c>
      <c r="S128" s="16" t="s">
        <v>434</v>
      </c>
      <c r="T128" s="17" t="s">
        <v>435</v>
      </c>
      <c r="U128" s="18" t="s">
        <v>436</v>
      </c>
      <c r="V128" s="3"/>
      <c r="W128" s="3"/>
      <c r="X128" s="3"/>
      <c r="Y128" s="3"/>
      <c r="Z128" s="3"/>
      <c r="AA128" s="3"/>
      <c r="AB128" s="3"/>
    </row>
    <row r="129" spans="1:28" ht="12.75" hidden="1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10">
        <f t="shared" si="0"/>
        <v>123</v>
      </c>
      <c r="L129" s="11" t="str">
        <f t="shared" si="1"/>
        <v>43335AGENCIJA ZA MOBILNOST I PROGRAME EUROPSKE UNIJE</v>
      </c>
      <c r="M129" s="11">
        <v>43335</v>
      </c>
      <c r="N129" s="12" t="s">
        <v>437</v>
      </c>
      <c r="O129" s="13" t="s">
        <v>37</v>
      </c>
      <c r="P129" s="14" t="s">
        <v>438</v>
      </c>
      <c r="Q129" s="12" t="s">
        <v>24</v>
      </c>
      <c r="R129" s="15">
        <v>2298007</v>
      </c>
      <c r="S129" s="16" t="s">
        <v>439</v>
      </c>
      <c r="T129" s="17" t="s">
        <v>440</v>
      </c>
      <c r="U129" s="18" t="s">
        <v>441</v>
      </c>
      <c r="V129" s="3"/>
      <c r="W129" s="3"/>
      <c r="X129" s="3"/>
      <c r="Y129" s="3"/>
      <c r="Z129" s="3"/>
      <c r="AA129" s="3"/>
      <c r="AB129" s="3"/>
    </row>
    <row r="130" spans="1:28" ht="12.75" hidden="1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10">
        <f t="shared" si="0"/>
        <v>124</v>
      </c>
      <c r="L130" s="11" t="str">
        <f t="shared" si="1"/>
        <v>23962AGENCIJA ZA ODGOJ I OBRAZOVANJE</v>
      </c>
      <c r="M130" s="11">
        <v>23962</v>
      </c>
      <c r="N130" s="12" t="s">
        <v>442</v>
      </c>
      <c r="O130" s="13" t="s">
        <v>37</v>
      </c>
      <c r="P130" s="14" t="s">
        <v>23</v>
      </c>
      <c r="Q130" s="12" t="s">
        <v>24</v>
      </c>
      <c r="R130" s="15">
        <v>1778129</v>
      </c>
      <c r="S130" s="16" t="s">
        <v>443</v>
      </c>
      <c r="T130" s="17" t="s">
        <v>440</v>
      </c>
      <c r="U130" s="18" t="s">
        <v>441</v>
      </c>
      <c r="V130" s="3"/>
      <c r="W130" s="3"/>
      <c r="X130" s="3"/>
      <c r="Y130" s="3"/>
      <c r="Z130" s="3"/>
      <c r="AA130" s="3"/>
      <c r="AB130" s="3"/>
    </row>
    <row r="131" spans="1:28" ht="12.75" hidden="1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10">
        <f t="shared" si="0"/>
        <v>125</v>
      </c>
      <c r="L131" s="11" t="str">
        <f t="shared" si="1"/>
        <v>46173AGENCIJA ZA STRUKOVNO OBRAZOVANJE I OBRAZOVANJE ODRASLIH</v>
      </c>
      <c r="M131" s="11">
        <v>46173</v>
      </c>
      <c r="N131" s="12" t="s">
        <v>444</v>
      </c>
      <c r="O131" s="13" t="s">
        <v>37</v>
      </c>
      <c r="P131" s="14" t="s">
        <v>445</v>
      </c>
      <c r="Q131" s="12" t="s">
        <v>24</v>
      </c>
      <c r="R131" s="15">
        <v>2650029</v>
      </c>
      <c r="S131" s="16" t="s">
        <v>446</v>
      </c>
      <c r="T131" s="17" t="s">
        <v>440</v>
      </c>
      <c r="U131" s="18" t="s">
        <v>441</v>
      </c>
      <c r="V131" s="3"/>
      <c r="W131" s="3"/>
      <c r="X131" s="3"/>
      <c r="Y131" s="3"/>
      <c r="Z131" s="3"/>
      <c r="AA131" s="3"/>
      <c r="AB131" s="3"/>
    </row>
    <row r="132" spans="1:28" ht="12.75" hidden="1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10">
        <f t="shared" si="0"/>
        <v>126</v>
      </c>
      <c r="L132" s="11" t="str">
        <f t="shared" si="1"/>
        <v>38487AGENCIJA ZA ZNANOST I VISOKO OBRAZOVANJE</v>
      </c>
      <c r="M132" s="11">
        <v>38487</v>
      </c>
      <c r="N132" s="12" t="s">
        <v>447</v>
      </c>
      <c r="O132" s="13" t="s">
        <v>37</v>
      </c>
      <c r="P132" s="12" t="s">
        <v>448</v>
      </c>
      <c r="Q132" s="12" t="s">
        <v>24</v>
      </c>
      <c r="R132" s="15">
        <v>1922548</v>
      </c>
      <c r="S132" s="16" t="s">
        <v>449</v>
      </c>
      <c r="T132" s="17" t="s">
        <v>440</v>
      </c>
      <c r="U132" s="18" t="s">
        <v>441</v>
      </c>
      <c r="V132" s="3"/>
      <c r="W132" s="3"/>
      <c r="X132" s="3"/>
      <c r="Y132" s="3"/>
      <c r="Z132" s="3"/>
      <c r="AA132" s="3"/>
      <c r="AB132" s="3"/>
    </row>
    <row r="133" spans="1:28" ht="12.75" hidden="1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10">
        <f t="shared" si="0"/>
        <v>127</v>
      </c>
      <c r="L133" s="11" t="str">
        <f t="shared" si="1"/>
        <v>21852HRVATSKA AKADEMSKA I ISTRAŽIVAČKA MREŽA - CARNET</v>
      </c>
      <c r="M133" s="11">
        <v>21852</v>
      </c>
      <c r="N133" s="12" t="s">
        <v>450</v>
      </c>
      <c r="O133" s="13" t="s">
        <v>37</v>
      </c>
      <c r="P133" s="14" t="s">
        <v>451</v>
      </c>
      <c r="Q133" s="12" t="s">
        <v>24</v>
      </c>
      <c r="R133" s="15">
        <v>1147820</v>
      </c>
      <c r="S133" s="16" t="s">
        <v>452</v>
      </c>
      <c r="T133" s="17" t="s">
        <v>440</v>
      </c>
      <c r="U133" s="18" t="s">
        <v>441</v>
      </c>
      <c r="V133" s="3"/>
      <c r="W133" s="3"/>
      <c r="X133" s="3"/>
      <c r="Y133" s="3"/>
      <c r="Z133" s="3"/>
      <c r="AA133" s="3"/>
      <c r="AB133" s="3"/>
    </row>
    <row r="134" spans="1:28" ht="12.75" hidden="1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10">
        <f t="shared" si="0"/>
        <v>128</v>
      </c>
      <c r="L134" s="11" t="str">
        <f t="shared" si="1"/>
        <v>21869LEKSIKOGRAFSKI ZAVOD MIROSLAV KRLEŽA</v>
      </c>
      <c r="M134" s="11">
        <v>21869</v>
      </c>
      <c r="N134" s="12" t="s">
        <v>453</v>
      </c>
      <c r="O134" s="13" t="s">
        <v>37</v>
      </c>
      <c r="P134" s="14" t="s">
        <v>438</v>
      </c>
      <c r="Q134" s="12" t="s">
        <v>24</v>
      </c>
      <c r="R134" s="15">
        <v>3211622</v>
      </c>
      <c r="S134" s="16" t="s">
        <v>454</v>
      </c>
      <c r="T134" s="17" t="s">
        <v>440</v>
      </c>
      <c r="U134" s="18" t="s">
        <v>441</v>
      </c>
      <c r="V134" s="3"/>
      <c r="W134" s="3"/>
      <c r="X134" s="3"/>
      <c r="Y134" s="3"/>
      <c r="Z134" s="3"/>
      <c r="AA134" s="3"/>
      <c r="AB134" s="3"/>
    </row>
    <row r="135" spans="1:28" ht="12.75" hidden="1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10">
        <f t="shared" si="0"/>
        <v>129</v>
      </c>
      <c r="L135" s="11" t="str">
        <f t="shared" si="1"/>
        <v>21836NACIONALNA I SVEUČILIŠNA KNJIŽNICA U ZAGREBU</v>
      </c>
      <c r="M135" s="11">
        <v>21836</v>
      </c>
      <c r="N135" s="12" t="s">
        <v>455</v>
      </c>
      <c r="O135" s="13" t="s">
        <v>37</v>
      </c>
      <c r="P135" s="14" t="s">
        <v>456</v>
      </c>
      <c r="Q135" s="12" t="s">
        <v>24</v>
      </c>
      <c r="R135" s="15">
        <v>3205363</v>
      </c>
      <c r="S135" s="16" t="s">
        <v>457</v>
      </c>
      <c r="T135" s="17" t="s">
        <v>440</v>
      </c>
      <c r="U135" s="18" t="s">
        <v>441</v>
      </c>
      <c r="V135" s="3"/>
      <c r="W135" s="3"/>
      <c r="X135" s="3"/>
      <c r="Y135" s="3"/>
      <c r="Z135" s="3"/>
      <c r="AA135" s="3"/>
      <c r="AB135" s="3"/>
    </row>
    <row r="136" spans="1:28" ht="12.75" hidden="1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10">
        <f t="shared" si="0"/>
        <v>130</v>
      </c>
      <c r="L136" s="11" t="str">
        <f t="shared" si="1"/>
        <v>40883NACIONALNI CENTAR ZA VANJSKO VREDNOVANJE OBRAZOVANJA</v>
      </c>
      <c r="M136" s="11">
        <v>40883</v>
      </c>
      <c r="N136" s="12" t="s">
        <v>458</v>
      </c>
      <c r="O136" s="13" t="s">
        <v>37</v>
      </c>
      <c r="P136" s="14" t="s">
        <v>459</v>
      </c>
      <c r="Q136" s="12" t="s">
        <v>460</v>
      </c>
      <c r="R136" s="15">
        <v>1943430</v>
      </c>
      <c r="S136" s="16" t="s">
        <v>461</v>
      </c>
      <c r="T136" s="17" t="s">
        <v>440</v>
      </c>
      <c r="U136" s="18" t="s">
        <v>441</v>
      </c>
      <c r="V136" s="3"/>
      <c r="W136" s="3"/>
      <c r="X136" s="3"/>
      <c r="Y136" s="3"/>
      <c r="Z136" s="3"/>
      <c r="AA136" s="3"/>
      <c r="AB136" s="3"/>
    </row>
    <row r="137" spans="1:28" ht="12.75" hidden="1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10">
        <f t="shared" si="0"/>
        <v>131</v>
      </c>
      <c r="L137" s="11" t="str">
        <f t="shared" si="1"/>
        <v>23665SVEUČILIŠTE U ZAGREBU - SVEUČILIŠNI RAČUNSKI CENTAR - SRCE</v>
      </c>
      <c r="M137" s="11">
        <v>23665</v>
      </c>
      <c r="N137" s="12" t="s">
        <v>462</v>
      </c>
      <c r="O137" s="13" t="s">
        <v>37</v>
      </c>
      <c r="P137" s="14" t="s">
        <v>451</v>
      </c>
      <c r="Q137" s="12" t="s">
        <v>24</v>
      </c>
      <c r="R137" s="15">
        <v>3283020</v>
      </c>
      <c r="S137" s="16" t="s">
        <v>463</v>
      </c>
      <c r="T137" s="17" t="s">
        <v>440</v>
      </c>
      <c r="U137" s="18" t="s">
        <v>441</v>
      </c>
      <c r="V137" s="3"/>
      <c r="W137" s="3"/>
      <c r="X137" s="3"/>
      <c r="Y137" s="3"/>
      <c r="Z137" s="3"/>
      <c r="AA137" s="3"/>
      <c r="AB137" s="3"/>
    </row>
    <row r="138" spans="1:28" ht="12.75" hidden="1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</row>
    <row r="139" spans="1:28" ht="12.75" hidden="1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</row>
    <row r="140" spans="1:28" ht="12.75" hidden="1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</row>
    <row r="141" spans="1:28" ht="12.75" hidden="1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</row>
    <row r="142" spans="1:28" ht="12.75" hidden="1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</row>
    <row r="143" spans="1:28" ht="12.75" hidden="1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</row>
    <row r="144" spans="1:28" ht="12.75" hidden="1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</row>
    <row r="145" spans="1:28" ht="12.75" hidden="1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</row>
    <row r="146" spans="1:28" ht="12.75" hidden="1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</row>
    <row r="147" spans="1:28" ht="12.75" hidden="1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</row>
    <row r="148" spans="1:28" ht="12.75" hidden="1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</row>
    <row r="149" spans="1:28" ht="12.75" hidden="1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</row>
    <row r="150" spans="1:28" ht="12.75" hidden="1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</row>
    <row r="151" spans="1:28" ht="12.75" hidden="1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</row>
    <row r="152" spans="1:28" ht="12.75" hidden="1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</row>
    <row r="153" spans="1:28" ht="12.75" hidden="1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</row>
    <row r="154" spans="1:28" ht="12.75" hidden="1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</row>
    <row r="155" spans="1:28" ht="12.75" hidden="1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</row>
    <row r="156" spans="1:28" ht="12.75" hidden="1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</row>
    <row r="157" spans="1:28" ht="12.75" hidden="1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</row>
    <row r="158" spans="1:28" ht="12.75" hidden="1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</row>
    <row r="159" spans="1:28" ht="12.75" hidden="1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</row>
    <row r="160" spans="1:28" ht="12.75" hidden="1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</row>
    <row r="161" spans="1:28" ht="12.75" hidden="1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</row>
    <row r="162" spans="1:28" ht="12.75" hidden="1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</row>
    <row r="163" spans="1:28" ht="12.75" hidden="1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</row>
    <row r="164" spans="1:28" ht="12.75" hidden="1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</row>
    <row r="165" spans="1:28" ht="12.75" hidden="1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</row>
    <row r="166" spans="1:28" ht="12.75" hidden="1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</row>
    <row r="167" spans="1:28" ht="12.75" hidden="1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</row>
    <row r="168" spans="1:28" ht="12.75" hidden="1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</row>
    <row r="169" spans="1:28" ht="12.75" hidden="1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</row>
    <row r="170" spans="1:28" ht="12.75" hidden="1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</row>
    <row r="171" spans="1:28" ht="12.75" hidden="1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</row>
    <row r="172" spans="1:28" ht="12.75" hidden="1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</row>
    <row r="173" spans="1:28" ht="12.75" hidden="1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</row>
    <row r="174" spans="1:28" ht="12.75" hidden="1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</row>
    <row r="175" spans="1:28" ht="12.75" hidden="1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</row>
    <row r="176" spans="1:28" ht="12.75" hidden="1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</row>
    <row r="177" spans="1:28" ht="12.75" hidden="1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</row>
    <row r="178" spans="1:28" ht="12.75" hidden="1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</row>
    <row r="179" spans="1:28" ht="12.75" hidden="1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</row>
    <row r="180" spans="1:28" ht="12.75" hidden="1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</row>
    <row r="181" spans="1:28" ht="12.75" hidden="1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</row>
    <row r="182" spans="1:28" ht="12.75" hidden="1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</row>
    <row r="183" spans="1:28" ht="12.75" hidden="1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</row>
    <row r="184" spans="1:28" ht="12.75" hidden="1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</row>
    <row r="185" spans="1:28" ht="12.75" hidden="1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</row>
    <row r="186" spans="1:28" ht="12.75" hidden="1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</row>
    <row r="187" spans="1:28" ht="12.75" hidden="1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</row>
    <row r="188" spans="1:28" ht="12.75" hidden="1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</row>
    <row r="189" spans="1:28" ht="12.75" hidden="1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</row>
    <row r="190" spans="1:28" ht="12.75" hidden="1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</row>
    <row r="191" spans="1:28" ht="12.75" hidden="1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</row>
    <row r="192" spans="1:28" ht="12.75" hidden="1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</row>
    <row r="193" spans="1:28" ht="12.75" hidden="1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</row>
    <row r="194" spans="1:28" ht="12.75" hidden="1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</row>
    <row r="195" spans="1:28" ht="12.75" hidden="1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</row>
    <row r="196" spans="1:28" ht="12.75" hidden="1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</row>
    <row r="197" spans="1:28" ht="12.75" hidden="1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</row>
    <row r="198" spans="1:28" ht="12.75" hidden="1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</row>
    <row r="199" spans="1:28" ht="12.75" hidden="1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</row>
    <row r="200" spans="1:28" ht="12.75" hidden="1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</row>
    <row r="201" spans="1:28" ht="12.75" hidden="1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</row>
    <row r="202" spans="1:28" ht="12.75" hidden="1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</row>
    <row r="203" spans="1:28" ht="12.75" hidden="1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</row>
    <row r="204" spans="1:28" ht="12.75" hidden="1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</row>
    <row r="205" spans="1:28" ht="12.75" hidden="1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</row>
    <row r="206" spans="1:28" ht="12.75" hidden="1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</row>
    <row r="207" spans="1:28" ht="12.75" hidden="1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</row>
    <row r="208" spans="1:28" ht="12.75" hidden="1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</row>
    <row r="209" spans="1:28" ht="12.75" hidden="1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</row>
    <row r="210" spans="1:28" ht="12.75" hidden="1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</row>
    <row r="211" spans="1:28" ht="12.75" hidden="1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</row>
    <row r="212" spans="1:28" ht="12.75" hidden="1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</row>
    <row r="213" spans="1:28" ht="12.75" hidden="1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</row>
    <row r="214" spans="1:28" ht="12.75" hidden="1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</row>
    <row r="215" spans="1:28" ht="12.75" hidden="1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</row>
    <row r="216" spans="1:28" ht="12.75" hidden="1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</row>
    <row r="217" spans="1:28" ht="12.75" hidden="1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</row>
    <row r="218" spans="1:28" ht="12.75" hidden="1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</row>
    <row r="219" spans="1:28" ht="12.75" hidden="1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</row>
    <row r="220" spans="1:28" ht="12.75" hidden="1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</row>
    <row r="221" spans="1:28" ht="12.75" hidden="1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</row>
    <row r="222" spans="1:28" ht="12.75" hidden="1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</row>
    <row r="223" spans="1:28" ht="12.75" hidden="1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</row>
    <row r="224" spans="1:28" ht="12.75" hidden="1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</row>
    <row r="225" spans="1:28" ht="12.75" hidden="1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</row>
    <row r="226" spans="1:28" ht="12.75" hidden="1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</row>
    <row r="227" spans="1:28" ht="12.75" hidden="1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</row>
    <row r="228" spans="1:28" ht="12.75" hidden="1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</row>
    <row r="229" spans="1:28" ht="12.75" hidden="1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</row>
    <row r="230" spans="1:28" ht="12.75" hidden="1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</row>
    <row r="231" spans="1:28" ht="12.75" hidden="1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</row>
    <row r="232" spans="1:28" ht="12.75" hidden="1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</row>
    <row r="233" spans="1:28" ht="12.75" hidden="1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</row>
    <row r="234" spans="1:28" ht="12.75" hidden="1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</row>
    <row r="235" spans="1:28" ht="12.75" hidden="1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</row>
    <row r="236" spans="1:28" ht="12.75" hidden="1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</row>
    <row r="237" spans="1:28" ht="12.75" hidden="1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</row>
    <row r="238" spans="1:28" ht="12.75" hidden="1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</row>
    <row r="239" spans="1:28" ht="12.75" hidden="1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</row>
    <row r="240" spans="1:28" ht="12.75" hidden="1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</row>
    <row r="241" spans="1:28" ht="12.75" hidden="1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</row>
    <row r="242" spans="1:28" ht="12.75" hidden="1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</row>
    <row r="243" spans="1:28" ht="12.75" hidden="1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</row>
    <row r="244" spans="1:28" ht="12.75" hidden="1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</row>
    <row r="245" spans="1:28" ht="12.75" hidden="1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</row>
    <row r="246" spans="1:28" ht="12.75" hidden="1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</row>
    <row r="247" spans="1:28" ht="12.75" hidden="1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</row>
    <row r="248" spans="1:28" ht="12.75" hidden="1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</row>
    <row r="249" spans="1:28" ht="12.75" hidden="1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</row>
    <row r="250" spans="1:28" ht="12.75" hidden="1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</row>
    <row r="251" spans="1:28" ht="12.75" hidden="1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</row>
    <row r="252" spans="1:28" ht="12.75" hidden="1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</row>
    <row r="253" spans="1:28" ht="12.75" hidden="1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</row>
    <row r="254" spans="1:28" ht="12.75" hidden="1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</row>
    <row r="255" spans="1:28" ht="12.75" hidden="1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</row>
    <row r="256" spans="1:28" ht="12.75" hidden="1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</row>
    <row r="257" spans="1:28" ht="12.75" hidden="1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</row>
    <row r="258" spans="1:28" ht="12.75" hidden="1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</row>
    <row r="259" spans="1:28" ht="12.75" hidden="1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</row>
    <row r="260" spans="1:28" ht="12.75" hidden="1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</row>
    <row r="261" spans="1:28" ht="12.75" hidden="1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</row>
    <row r="262" spans="1:28" ht="12.75" hidden="1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</row>
    <row r="263" spans="1:28" ht="12.75" hidden="1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</row>
    <row r="264" spans="1:28" ht="12.75" hidden="1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</row>
    <row r="265" spans="1:28" ht="12.75" hidden="1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</row>
    <row r="266" spans="1:28" ht="12.75" hidden="1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</row>
    <row r="267" spans="1:28" ht="12.75" hidden="1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</row>
    <row r="268" spans="1:28" ht="12.75" hidden="1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</row>
    <row r="269" spans="1:28" ht="12.75" hidden="1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</row>
    <row r="270" spans="1:28" ht="12.75" hidden="1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</row>
    <row r="271" spans="1:28" ht="12.75" hidden="1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</row>
    <row r="272" spans="1:28" ht="12.75" hidden="1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</row>
    <row r="273" spans="1:28" ht="12.75" hidden="1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</row>
    <row r="274" spans="1:28" ht="12.75" hidden="1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</row>
    <row r="275" spans="1:28" ht="12.75" hidden="1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</row>
    <row r="276" spans="1:28" ht="12.75" hidden="1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</row>
    <row r="277" spans="1:28" ht="12.75" hidden="1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</row>
    <row r="278" spans="1:28" ht="12.75" hidden="1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</row>
    <row r="279" spans="1:28" ht="12.75" hidden="1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</row>
    <row r="280" spans="1:28" ht="12.75" hidden="1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</row>
    <row r="281" spans="1:28" ht="12.75" hidden="1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</row>
    <row r="282" spans="1:28" ht="12.75" hidden="1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</row>
    <row r="283" spans="1:28" ht="12.75" hidden="1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</row>
    <row r="284" spans="1:28" ht="12.75" hidden="1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</row>
    <row r="285" spans="1:28" ht="12.75" hidden="1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</row>
    <row r="286" spans="1:28" ht="12.75" hidden="1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</row>
    <row r="287" spans="1:28" ht="12.75" hidden="1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</row>
    <row r="288" spans="1:28" ht="12.75" hidden="1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</row>
    <row r="289" spans="1:28" ht="12.75" hidden="1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</row>
    <row r="290" spans="1:28" ht="12.75" hidden="1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</row>
    <row r="291" spans="1:28" ht="12.75" hidden="1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</row>
    <row r="292" spans="1:28" ht="12.75" hidden="1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</row>
    <row r="293" spans="1:28" ht="12.75" hidden="1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</row>
    <row r="294" spans="1:28" ht="12.75" hidden="1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</row>
    <row r="295" spans="1:28" ht="12.75" hidden="1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</row>
    <row r="296" spans="1:28" ht="12.75" hidden="1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</row>
    <row r="297" spans="1:28" ht="12.75" hidden="1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</row>
    <row r="298" spans="1:28" ht="12.75" hidden="1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</row>
    <row r="299" spans="1:28" ht="12.75" hidden="1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</row>
    <row r="300" spans="1:28" ht="12.75" hidden="1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</row>
    <row r="301" spans="1:28" ht="12.75" hidden="1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</row>
    <row r="302" spans="1:28" ht="12.75" hidden="1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</row>
    <row r="303" spans="1:28" ht="12.75" hidden="1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</row>
    <row r="304" spans="1:28" ht="12.75" hidden="1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</row>
    <row r="305" spans="1:28" ht="12.75" hidden="1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</row>
    <row r="306" spans="1:28" ht="12.75" hidden="1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</row>
    <row r="307" spans="1:28" ht="12.75" hidden="1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</row>
    <row r="308" spans="1:28" ht="12.75" hidden="1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</row>
    <row r="309" spans="1:28" ht="12.75" hidden="1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</row>
    <row r="310" spans="1:28" ht="12.75" hidden="1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</row>
    <row r="311" spans="1:28" ht="12.75" hidden="1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</row>
    <row r="312" spans="1:28" ht="12.75" hidden="1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</row>
    <row r="313" spans="1:28" ht="12.75" hidden="1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</row>
    <row r="314" spans="1:28" ht="12.75" hidden="1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</row>
    <row r="315" spans="1:28" ht="12.75" hidden="1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</row>
    <row r="316" spans="1:28" ht="12.75" hidden="1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</row>
    <row r="317" spans="1:28" ht="12.75" hidden="1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</row>
    <row r="318" spans="1:28" ht="12.75" hidden="1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</row>
    <row r="319" spans="1:28" ht="12.75" hidden="1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</row>
    <row r="320" spans="1:28" ht="12.75" hidden="1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</row>
    <row r="321" spans="1:28" ht="12.75" hidden="1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</row>
    <row r="322" spans="1:28" ht="12.75" hidden="1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</row>
    <row r="323" spans="1:28" ht="12.75" hidden="1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</row>
    <row r="324" spans="1:28" ht="12.75" hidden="1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</row>
    <row r="325" spans="1:28" ht="12.75" hidden="1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</row>
    <row r="326" spans="1:28" ht="12.75" hidden="1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</row>
    <row r="327" spans="1:28" ht="12.75" hidden="1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</row>
    <row r="328" spans="1:28" ht="12.75" hidden="1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</row>
    <row r="329" spans="1:28" ht="12.75" hidden="1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</row>
    <row r="330" spans="1:28" ht="12.75" hidden="1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</row>
    <row r="331" spans="1:28" ht="12.75" hidden="1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</row>
    <row r="332" spans="1:28" ht="12.75" hidden="1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</row>
    <row r="333" spans="1:28" ht="12.75" hidden="1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</row>
    <row r="334" spans="1:28" ht="12.75" hidden="1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</row>
    <row r="335" spans="1:28" ht="12.75" hidden="1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</row>
    <row r="336" spans="1:28" ht="12.75" hidden="1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</row>
    <row r="337" spans="1:28" ht="12.75" hidden="1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</row>
    <row r="338" spans="1:28" ht="12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</row>
    <row r="339" spans="1:28" ht="12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</row>
    <row r="340" spans="1:28" ht="12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</row>
    <row r="341" spans="1:28" ht="12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</row>
    <row r="342" spans="1:28" ht="12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</row>
    <row r="343" spans="1:28" ht="12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</row>
    <row r="344" spans="1:28" ht="12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</row>
    <row r="345" spans="1:28" ht="12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</row>
    <row r="346" spans="1:28" ht="12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</row>
    <row r="347" spans="1:28" ht="12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</row>
    <row r="348" spans="1:28" ht="12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</row>
    <row r="349" spans="1:28" ht="12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</row>
    <row r="350" spans="1:28" ht="12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</row>
    <row r="351" spans="1:28" ht="12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</row>
    <row r="352" spans="1:28" ht="12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</row>
    <row r="353" spans="1:28" ht="12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</row>
    <row r="354" spans="1:28" ht="12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</row>
    <row r="355" spans="1:28" ht="12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</row>
    <row r="356" spans="1:28" ht="12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</row>
    <row r="357" spans="1:28" ht="12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</row>
    <row r="358" spans="1:28" ht="12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</row>
    <row r="359" spans="1:28" ht="12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</row>
    <row r="360" spans="1:28" ht="12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</row>
    <row r="361" spans="1:28" ht="12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</row>
    <row r="362" spans="1:28" ht="12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</row>
    <row r="363" spans="1:28" ht="12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</row>
    <row r="364" spans="1:28" ht="12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</row>
    <row r="365" spans="1:28" ht="12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</row>
    <row r="366" spans="1:28" ht="12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</row>
    <row r="367" spans="1:28" ht="12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</row>
    <row r="368" spans="1:28" ht="12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</row>
    <row r="369" spans="1:28" ht="12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</row>
    <row r="370" spans="1:28" ht="12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</row>
    <row r="371" spans="1:28" ht="12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</row>
    <row r="372" spans="1:28" ht="12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</row>
    <row r="373" spans="1:28" ht="12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</row>
    <row r="374" spans="1:28" ht="12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</row>
    <row r="375" spans="1:28" ht="12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</row>
    <row r="376" spans="1:28" ht="12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</row>
    <row r="377" spans="1:28" ht="12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</row>
    <row r="378" spans="1:28" ht="12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</row>
    <row r="379" spans="1:28" ht="12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</row>
    <row r="380" spans="1:28" ht="12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</row>
    <row r="381" spans="1:28" ht="12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</row>
    <row r="382" spans="1:28" ht="12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</row>
    <row r="383" spans="1:28" ht="12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</row>
    <row r="384" spans="1:28" ht="12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</row>
    <row r="385" spans="1:28" ht="12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</row>
    <row r="386" spans="1:28" ht="12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</row>
    <row r="387" spans="1:28" ht="12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</row>
    <row r="388" spans="1:28" ht="12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</row>
    <row r="389" spans="1:28" ht="12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</row>
    <row r="390" spans="1:28" ht="12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</row>
    <row r="391" spans="1:28" ht="12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</row>
    <row r="392" spans="1:28" ht="12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</row>
    <row r="393" spans="1:28" ht="12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</row>
    <row r="394" spans="1:28" ht="12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</row>
    <row r="395" spans="1:28" ht="12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</row>
    <row r="396" spans="1:28" ht="12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</row>
    <row r="397" spans="1:28" ht="12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</row>
    <row r="398" spans="1:28" ht="12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</row>
    <row r="399" spans="1:28" ht="12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</row>
    <row r="400" spans="1:28" ht="12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</row>
    <row r="401" spans="1:28" ht="12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</row>
    <row r="402" spans="1:28" ht="12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</row>
    <row r="403" spans="1:28" ht="12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</row>
    <row r="404" spans="1:28" ht="12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</row>
    <row r="405" spans="1:28" ht="12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</row>
    <row r="406" spans="1:28" ht="12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</row>
    <row r="407" spans="1:28" ht="12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</row>
    <row r="408" spans="1:28" ht="12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</row>
    <row r="409" spans="1:28" ht="12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</row>
    <row r="410" spans="1:28" ht="12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</row>
    <row r="411" spans="1:28" ht="12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</row>
    <row r="412" spans="1:28" ht="12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</row>
    <row r="413" spans="1:28" ht="12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</row>
    <row r="414" spans="1:28" ht="12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</row>
    <row r="415" spans="1:28" ht="12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</row>
    <row r="416" spans="1:28" ht="12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</row>
    <row r="417" spans="1:28" ht="12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</row>
    <row r="418" spans="1:28" ht="12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</row>
    <row r="419" spans="1:28" ht="12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</row>
    <row r="420" spans="1:28" ht="12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</row>
    <row r="421" spans="1:28" ht="12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</row>
    <row r="422" spans="1:28" ht="12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</row>
    <row r="423" spans="1:28" ht="12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</row>
    <row r="424" spans="1:28" ht="12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</row>
    <row r="425" spans="1:28" ht="12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</row>
    <row r="426" spans="1:28" ht="12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</row>
    <row r="427" spans="1:28" ht="12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</row>
    <row r="428" spans="1:28" ht="12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</row>
    <row r="429" spans="1:28" ht="12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</row>
    <row r="430" spans="1:28" ht="12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</row>
    <row r="431" spans="1:28" ht="12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</row>
    <row r="432" spans="1:28" ht="12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</row>
    <row r="433" spans="1:28" ht="12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</row>
    <row r="434" spans="1:28" ht="12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</row>
    <row r="435" spans="1:28" ht="12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</row>
    <row r="436" spans="1:28" ht="12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</row>
    <row r="437" spans="1:28" ht="12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</row>
    <row r="438" spans="1:28" ht="12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</row>
    <row r="439" spans="1:28" ht="12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</row>
    <row r="440" spans="1:28" ht="12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</row>
    <row r="441" spans="1:28" ht="12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</row>
    <row r="442" spans="1:28" ht="12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</row>
    <row r="443" spans="1:28" ht="12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</row>
    <row r="444" spans="1:28" ht="12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</row>
    <row r="445" spans="1:28" ht="12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</row>
    <row r="446" spans="1:28" ht="12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</row>
    <row r="447" spans="1:28" ht="12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</row>
    <row r="448" spans="1:28" ht="12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</row>
    <row r="449" spans="1:28" ht="12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</row>
    <row r="450" spans="1:28" ht="12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</row>
    <row r="451" spans="1:28" ht="12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</row>
    <row r="452" spans="1:28" ht="12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</row>
    <row r="453" spans="1:28" ht="12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</row>
    <row r="454" spans="1:28" ht="12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</row>
    <row r="455" spans="1:28" ht="12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</row>
    <row r="456" spans="1:28" ht="12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</row>
    <row r="457" spans="1:28" ht="12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</row>
    <row r="458" spans="1:28" ht="12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</row>
    <row r="459" spans="1:28" ht="12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</row>
    <row r="460" spans="1:28" ht="12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</row>
    <row r="461" spans="1:28" ht="12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</row>
    <row r="462" spans="1:28" ht="12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</row>
    <row r="463" spans="1:28" ht="12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</row>
    <row r="464" spans="1:28" ht="12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</row>
    <row r="465" spans="1:28" ht="12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</row>
    <row r="466" spans="1:28" ht="12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</row>
    <row r="467" spans="1:28" ht="12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</row>
    <row r="468" spans="1:28" ht="12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</row>
    <row r="469" spans="1:28" ht="12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</row>
    <row r="470" spans="1:28" ht="12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</row>
    <row r="471" spans="1:28" ht="12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</row>
    <row r="472" spans="1:28" ht="12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</row>
    <row r="473" spans="1:28" ht="12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</row>
    <row r="474" spans="1:28" ht="12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</row>
    <row r="475" spans="1:28" ht="12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</row>
    <row r="476" spans="1:28" ht="12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</row>
    <row r="477" spans="1:28" ht="12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</row>
    <row r="478" spans="1:28" ht="12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</row>
    <row r="479" spans="1:28" ht="12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</row>
    <row r="480" spans="1:28" ht="12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</row>
    <row r="481" spans="1:28" ht="12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</row>
    <row r="482" spans="1:28" ht="12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</row>
    <row r="483" spans="1:28" ht="12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</row>
    <row r="484" spans="1:28" ht="12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</row>
    <row r="485" spans="1:28" ht="12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</row>
    <row r="486" spans="1:28" ht="12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</row>
    <row r="487" spans="1:28" ht="12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</row>
    <row r="488" spans="1:28" ht="12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</row>
    <row r="489" spans="1:28" ht="12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</row>
    <row r="490" spans="1:28" ht="12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</row>
    <row r="491" spans="1:28" ht="12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</row>
    <row r="492" spans="1:28" ht="12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</row>
    <row r="493" spans="1:28" ht="12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</row>
    <row r="494" spans="1:28" ht="12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</row>
    <row r="495" spans="1:28" ht="12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</row>
    <row r="496" spans="1:28" ht="12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</row>
    <row r="497" spans="1:28" ht="12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</row>
    <row r="498" spans="1:28" ht="12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</row>
    <row r="499" spans="1:28" ht="12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</row>
    <row r="500" spans="1:28" ht="12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</row>
    <row r="501" spans="1:28" ht="12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</row>
    <row r="502" spans="1:28" ht="12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</row>
    <row r="503" spans="1:28" ht="12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</row>
    <row r="504" spans="1:28" ht="12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</row>
    <row r="505" spans="1:28" ht="12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</row>
    <row r="506" spans="1:28" ht="12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</row>
    <row r="507" spans="1:28" ht="12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</row>
    <row r="508" spans="1:28" ht="12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</row>
    <row r="509" spans="1:28" ht="12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</row>
    <row r="510" spans="1:28" ht="12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</row>
    <row r="511" spans="1:28" ht="12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</row>
    <row r="512" spans="1:28" ht="12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</row>
    <row r="513" spans="1:28" ht="12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</row>
    <row r="514" spans="1:28" ht="12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</row>
    <row r="515" spans="1:28" ht="12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</row>
    <row r="516" spans="1:28" ht="12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</row>
    <row r="517" spans="1:28" ht="12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</row>
    <row r="518" spans="1:28" ht="12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</row>
    <row r="519" spans="1:28" ht="12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</row>
    <row r="520" spans="1:28" ht="12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</row>
    <row r="521" spans="1:28" ht="12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</row>
    <row r="522" spans="1:28" ht="12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</row>
    <row r="523" spans="1:28" ht="12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</row>
    <row r="524" spans="1:28" ht="12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</row>
    <row r="525" spans="1:28" ht="12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</row>
    <row r="526" spans="1:28" ht="12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</row>
    <row r="527" spans="1:28" ht="12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</row>
    <row r="528" spans="1:28" ht="12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</row>
    <row r="529" spans="1:28" ht="12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</row>
    <row r="530" spans="1:28" ht="12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</row>
    <row r="531" spans="1:28" ht="12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</row>
    <row r="532" spans="1:28" ht="12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</row>
    <row r="533" spans="1:28" ht="12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</row>
    <row r="534" spans="1:28" ht="12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</row>
    <row r="535" spans="1:28" ht="12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</row>
    <row r="536" spans="1:28" ht="12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</row>
    <row r="537" spans="1:28" ht="12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</row>
    <row r="538" spans="1:28" ht="12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</row>
    <row r="539" spans="1:28" ht="12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</row>
    <row r="540" spans="1:28" ht="12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</row>
    <row r="541" spans="1:28" ht="12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</row>
    <row r="542" spans="1:28" ht="12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</row>
    <row r="543" spans="1:28" ht="12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</row>
    <row r="544" spans="1:28" ht="12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</row>
    <row r="545" spans="1:28" ht="12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</row>
    <row r="546" spans="1:28" ht="12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</row>
    <row r="547" spans="1:28" ht="12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</row>
    <row r="548" spans="1:28" ht="12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</row>
    <row r="549" spans="1:28" ht="12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</row>
    <row r="550" spans="1:28" ht="12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</row>
    <row r="551" spans="1:28" ht="12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</row>
    <row r="552" spans="1:28" ht="12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</row>
    <row r="553" spans="1:28" ht="12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</row>
    <row r="554" spans="1:28" ht="12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</row>
    <row r="555" spans="1:28" ht="12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</row>
    <row r="556" spans="1:28" ht="12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</row>
    <row r="557" spans="1:28" ht="12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</row>
    <row r="558" spans="1:28" ht="12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</row>
    <row r="559" spans="1:28" ht="12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</row>
    <row r="560" spans="1:28" ht="12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</row>
    <row r="561" spans="1:28" ht="12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</row>
    <row r="562" spans="1:28" ht="12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</row>
    <row r="563" spans="1:28" ht="12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</row>
    <row r="564" spans="1:28" ht="12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</row>
    <row r="565" spans="1:28" ht="12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</row>
    <row r="566" spans="1:28" ht="12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</row>
    <row r="567" spans="1:28" ht="12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</row>
    <row r="568" spans="1:28" ht="12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</row>
    <row r="569" spans="1:28" ht="12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</row>
    <row r="570" spans="1:28" ht="12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</row>
    <row r="571" spans="1:28" ht="12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</row>
    <row r="572" spans="1:28" ht="12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</row>
    <row r="573" spans="1:28" ht="12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</row>
    <row r="574" spans="1:28" ht="12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</row>
    <row r="575" spans="1:28" ht="12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</row>
    <row r="576" spans="1:28" ht="12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</row>
    <row r="577" spans="1:28" ht="12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</row>
    <row r="578" spans="1:28" ht="12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</row>
    <row r="579" spans="1:28" ht="12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</row>
    <row r="580" spans="1:28" ht="12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</row>
    <row r="581" spans="1:28" ht="12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</row>
    <row r="582" spans="1:28" ht="12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</row>
    <row r="583" spans="1:28" ht="12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</row>
    <row r="584" spans="1:28" ht="12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</row>
    <row r="585" spans="1:28" ht="12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</row>
    <row r="586" spans="1:28" ht="12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</row>
    <row r="587" spans="1:28" ht="12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</row>
    <row r="588" spans="1:28" ht="12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</row>
    <row r="589" spans="1:28" ht="12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</row>
    <row r="590" spans="1:28" ht="12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</row>
    <row r="591" spans="1:28" ht="12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</row>
    <row r="592" spans="1:28" ht="12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</row>
    <row r="593" spans="1:28" ht="12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</row>
    <row r="594" spans="1:28" ht="12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</row>
    <row r="595" spans="1:28" ht="12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</row>
    <row r="596" spans="1:28" ht="12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</row>
    <row r="597" spans="1:28" ht="12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</row>
    <row r="598" spans="1:28" ht="12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</row>
    <row r="599" spans="1:28" ht="12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</row>
    <row r="600" spans="1:28" ht="12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</row>
    <row r="601" spans="1:28" ht="12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</row>
    <row r="602" spans="1:28" ht="12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</row>
    <row r="603" spans="1:28" ht="12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</row>
    <row r="604" spans="1:28" ht="12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</row>
    <row r="605" spans="1:28" ht="12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</row>
    <row r="606" spans="1:28" ht="12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</row>
    <row r="607" spans="1:28" ht="12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</row>
    <row r="608" spans="1:28" ht="12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</row>
    <row r="609" spans="1:28" ht="12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</row>
    <row r="610" spans="1:28" ht="12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</row>
    <row r="611" spans="1:28" ht="12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</row>
    <row r="612" spans="1:28" ht="12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</row>
    <row r="613" spans="1:28" ht="12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</row>
    <row r="614" spans="1:28" ht="12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</row>
    <row r="615" spans="1:28" ht="12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</row>
    <row r="616" spans="1:28" ht="12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</row>
    <row r="617" spans="1:28" ht="12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</row>
    <row r="618" spans="1:28" ht="12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</row>
    <row r="619" spans="1:28" ht="12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</row>
    <row r="620" spans="1:28" ht="12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</row>
    <row r="621" spans="1:28" ht="12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</row>
    <row r="622" spans="1:28" ht="12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</row>
    <row r="623" spans="1:28" ht="12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</row>
    <row r="624" spans="1:28" ht="12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</row>
    <row r="625" spans="1:28" ht="12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</row>
    <row r="626" spans="1:28" ht="12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</row>
    <row r="627" spans="1:28" ht="12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</row>
    <row r="628" spans="1:28" ht="12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</row>
    <row r="629" spans="1:28" ht="12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</row>
    <row r="630" spans="1:28" ht="12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</row>
    <row r="631" spans="1:28" ht="12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</row>
    <row r="632" spans="1:28" ht="12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</row>
    <row r="633" spans="1:28" ht="12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</row>
    <row r="634" spans="1:28" ht="12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</row>
    <row r="635" spans="1:28" ht="12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</row>
    <row r="636" spans="1:28" ht="12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</row>
    <row r="637" spans="1:28" ht="12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</row>
    <row r="638" spans="1:28" ht="12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</row>
    <row r="639" spans="1:28" ht="12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</row>
    <row r="640" spans="1:28" ht="12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</row>
    <row r="641" spans="1:28" ht="12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</row>
    <row r="642" spans="1:28" ht="12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</row>
    <row r="643" spans="1:28" ht="12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</row>
    <row r="644" spans="1:28" ht="12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</row>
    <row r="645" spans="1:28" ht="12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</row>
    <row r="646" spans="1:28" ht="12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</row>
    <row r="647" spans="1:28" ht="12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</row>
    <row r="648" spans="1:28" ht="12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</row>
    <row r="649" spans="1:28" ht="12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</row>
    <row r="650" spans="1:28" ht="12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</row>
    <row r="651" spans="1:28" ht="12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</row>
    <row r="652" spans="1:28" ht="12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</row>
    <row r="653" spans="1:28" ht="12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</row>
    <row r="654" spans="1:28" ht="12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</row>
    <row r="655" spans="1:28" ht="12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</row>
    <row r="656" spans="1:28" ht="12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</row>
    <row r="657" spans="1:28" ht="12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</row>
    <row r="658" spans="1:28" ht="12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</row>
    <row r="659" spans="1:28" ht="12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</row>
    <row r="660" spans="1:28" ht="12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</row>
    <row r="661" spans="1:28" ht="12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</row>
    <row r="662" spans="1:28" ht="12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</row>
    <row r="663" spans="1:28" ht="12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</row>
    <row r="664" spans="1:28" ht="12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</row>
    <row r="665" spans="1:28" ht="12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</row>
    <row r="666" spans="1:28" ht="12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</row>
    <row r="667" spans="1:28" ht="12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</row>
    <row r="668" spans="1:28" ht="12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</row>
    <row r="669" spans="1:28" ht="12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</row>
    <row r="670" spans="1:28" ht="12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</row>
    <row r="671" spans="1:28" ht="12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</row>
    <row r="672" spans="1:28" ht="12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</row>
    <row r="673" spans="1:28" ht="12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</row>
    <row r="674" spans="1:28" ht="12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</row>
    <row r="675" spans="1:28" ht="12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</row>
    <row r="676" spans="1:28" ht="12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</row>
    <row r="677" spans="1:28" ht="12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</row>
    <row r="678" spans="1:28" ht="12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</row>
    <row r="679" spans="1:28" ht="12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</row>
    <row r="680" spans="1:28" ht="12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</row>
    <row r="681" spans="1:28" ht="12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</row>
    <row r="682" spans="1:28" ht="12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</row>
    <row r="683" spans="1:28" ht="12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</row>
    <row r="684" spans="1:28" ht="12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</row>
    <row r="685" spans="1:28" ht="12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</row>
    <row r="686" spans="1:28" ht="12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</row>
    <row r="687" spans="1:28" ht="12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</row>
    <row r="688" spans="1:28" ht="12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</row>
    <row r="689" spans="1:28" ht="12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</row>
    <row r="690" spans="1:28" ht="12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</row>
    <row r="691" spans="1:28" ht="12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</row>
    <row r="692" spans="1:28" ht="12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</row>
    <row r="693" spans="1:28" ht="12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</row>
    <row r="694" spans="1:28" ht="12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</row>
    <row r="695" spans="1:28" ht="12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</row>
    <row r="696" spans="1:28" ht="12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</row>
    <row r="697" spans="1:28" ht="12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</row>
    <row r="698" spans="1:28" ht="12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</row>
    <row r="699" spans="1:28" ht="12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</row>
    <row r="700" spans="1:28" ht="12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</row>
    <row r="701" spans="1:28" ht="12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</row>
    <row r="702" spans="1:28" ht="12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</row>
    <row r="703" spans="1:28" ht="12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</row>
    <row r="704" spans="1:28" ht="12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</row>
    <row r="705" spans="1:28" ht="12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</row>
    <row r="706" spans="1:28" ht="12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</row>
    <row r="707" spans="1:28" ht="12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</row>
    <row r="708" spans="1:28" ht="12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</row>
    <row r="709" spans="1:28" ht="12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</row>
    <row r="710" spans="1:28" ht="12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</row>
    <row r="711" spans="1:28" ht="12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</row>
    <row r="712" spans="1:28" ht="12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</row>
    <row r="713" spans="1:28" ht="12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</row>
    <row r="714" spans="1:28" ht="12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</row>
    <row r="715" spans="1:28" ht="12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</row>
    <row r="716" spans="1:28" ht="12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</row>
    <row r="717" spans="1:28" ht="12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</row>
    <row r="718" spans="1:28" ht="12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</row>
    <row r="719" spans="1:28" ht="12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</row>
    <row r="720" spans="1:28" ht="12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</row>
    <row r="721" spans="1:28" ht="12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</row>
    <row r="722" spans="1:28" ht="12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</row>
    <row r="723" spans="1:28" ht="12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</row>
    <row r="724" spans="1:28" ht="12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</row>
    <row r="725" spans="1:28" ht="12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</row>
    <row r="726" spans="1:28" ht="12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</row>
    <row r="727" spans="1:28" ht="12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</row>
    <row r="728" spans="1:28" ht="12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</row>
    <row r="729" spans="1:28" ht="12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</row>
    <row r="730" spans="1:28" ht="12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</row>
    <row r="731" spans="1:28" ht="12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</row>
    <row r="732" spans="1:28" ht="12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</row>
    <row r="733" spans="1:28" ht="12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</row>
    <row r="734" spans="1:28" ht="12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</row>
    <row r="735" spans="1:28" ht="12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</row>
    <row r="736" spans="1:28" ht="12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</row>
    <row r="737" spans="1:28" ht="12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</row>
    <row r="738" spans="1:28" ht="12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</row>
    <row r="739" spans="1:28" ht="12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</row>
    <row r="740" spans="1:28" ht="12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</row>
    <row r="741" spans="1:28" ht="12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</row>
    <row r="742" spans="1:28" ht="12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</row>
    <row r="743" spans="1:28" ht="12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</row>
    <row r="744" spans="1:28" ht="12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</row>
    <row r="745" spans="1:28" ht="12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</row>
    <row r="746" spans="1:28" ht="12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</row>
    <row r="747" spans="1:28" ht="12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</row>
    <row r="748" spans="1:28" ht="12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</row>
    <row r="749" spans="1:28" ht="12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</row>
    <row r="750" spans="1:28" ht="12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</row>
    <row r="751" spans="1:28" ht="12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</row>
    <row r="752" spans="1:28" ht="12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</row>
    <row r="753" spans="1:28" ht="12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</row>
    <row r="754" spans="1:28" ht="12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</row>
    <row r="755" spans="1:28" ht="12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</row>
    <row r="756" spans="1:28" ht="12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</row>
    <row r="757" spans="1:28" ht="12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</row>
    <row r="758" spans="1:28" ht="12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</row>
    <row r="759" spans="1:28" ht="12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</row>
    <row r="760" spans="1:28" ht="12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</row>
    <row r="761" spans="1:28" ht="12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</row>
    <row r="762" spans="1:28" ht="12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</row>
    <row r="763" spans="1:28" ht="12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</row>
    <row r="764" spans="1:28" ht="12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</row>
    <row r="765" spans="1:28" ht="12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</row>
    <row r="766" spans="1:28" ht="12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</row>
    <row r="767" spans="1:28" ht="12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</row>
    <row r="768" spans="1:28" ht="12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</row>
    <row r="769" spans="1:28" ht="12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</row>
    <row r="770" spans="1:28" ht="12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</row>
    <row r="771" spans="1:28" ht="12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</row>
    <row r="772" spans="1:28" ht="12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</row>
    <row r="773" spans="1:28" ht="12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</row>
    <row r="774" spans="1:28" ht="12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</row>
    <row r="775" spans="1:28" ht="12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</row>
    <row r="776" spans="1:28" ht="12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</row>
    <row r="777" spans="1:28" ht="12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</row>
    <row r="778" spans="1:28" ht="12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</row>
    <row r="779" spans="1:28" ht="12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</row>
    <row r="780" spans="1:28" ht="12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</row>
    <row r="781" spans="1:28" ht="12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</row>
    <row r="782" spans="1:28" ht="12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</row>
    <row r="783" spans="1:28" ht="12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</row>
    <row r="784" spans="1:28" ht="12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</row>
    <row r="785" spans="1:28" ht="12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</row>
    <row r="786" spans="1:28" ht="12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</row>
    <row r="787" spans="1:28" ht="12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</row>
    <row r="788" spans="1:28" ht="12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</row>
    <row r="789" spans="1:28" ht="12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</row>
    <row r="790" spans="1:28" ht="12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</row>
    <row r="791" spans="1:28" ht="12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</row>
    <row r="792" spans="1:28" ht="12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</row>
    <row r="793" spans="1:28" ht="12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</row>
    <row r="794" spans="1:28" ht="12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</row>
    <row r="795" spans="1:28" ht="12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</row>
    <row r="796" spans="1:28" ht="12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</row>
    <row r="797" spans="1:28" ht="12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</row>
    <row r="798" spans="1:28" ht="12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</row>
    <row r="799" spans="1:28" ht="12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</row>
    <row r="800" spans="1:28" ht="12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</row>
    <row r="801" spans="1:28" ht="12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</row>
    <row r="802" spans="1:28" ht="12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</row>
    <row r="803" spans="1:28" ht="12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</row>
    <row r="804" spans="1:28" ht="12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</row>
    <row r="805" spans="1:28" ht="12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</row>
    <row r="806" spans="1:28" ht="12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</row>
    <row r="807" spans="1:28" ht="12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</row>
    <row r="808" spans="1:28" ht="12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</row>
    <row r="809" spans="1:28" ht="12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</row>
    <row r="810" spans="1:28" ht="12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</row>
    <row r="811" spans="1:28" ht="12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</row>
    <row r="812" spans="1:28" ht="12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</row>
    <row r="813" spans="1:28" ht="12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</row>
    <row r="814" spans="1:28" ht="12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</row>
    <row r="815" spans="1:28" ht="12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</row>
    <row r="816" spans="1:28" ht="12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</row>
    <row r="817" spans="1:28" ht="12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</row>
    <row r="818" spans="1:28" ht="12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</row>
    <row r="819" spans="1:28" ht="12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</row>
    <row r="820" spans="1:28" ht="12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</row>
    <row r="821" spans="1:28" ht="12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</row>
    <row r="822" spans="1:28" ht="12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</row>
    <row r="823" spans="1:28" ht="12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</row>
    <row r="824" spans="1:28" ht="12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</row>
    <row r="825" spans="1:28" ht="12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</row>
    <row r="826" spans="1:28" ht="12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</row>
    <row r="827" spans="1:28" ht="12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</row>
    <row r="828" spans="1:28" ht="12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</row>
    <row r="829" spans="1:28" ht="12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</row>
    <row r="830" spans="1:28" ht="12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</row>
    <row r="831" spans="1:28" ht="12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</row>
    <row r="832" spans="1:28" ht="12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</row>
    <row r="833" spans="1:28" ht="12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</row>
    <row r="834" spans="1:28" ht="12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</row>
    <row r="835" spans="1:28" ht="12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</row>
    <row r="836" spans="1:28" ht="12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</row>
    <row r="837" spans="1:28" ht="12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</row>
    <row r="838" spans="1:28" ht="12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</row>
    <row r="839" spans="1:28" ht="12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</row>
    <row r="840" spans="1:28" ht="12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</row>
    <row r="841" spans="1:28" ht="12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</row>
    <row r="842" spans="1:28" ht="12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</row>
    <row r="843" spans="1:28" ht="12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</row>
    <row r="844" spans="1:28" ht="12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</row>
    <row r="845" spans="1:28" ht="12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</row>
    <row r="846" spans="1:28" ht="12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</row>
    <row r="847" spans="1:28" ht="12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</row>
    <row r="848" spans="1:28" ht="12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</row>
    <row r="849" spans="1:28" ht="12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</row>
    <row r="850" spans="1:28" ht="12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</row>
    <row r="851" spans="1:28" ht="12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</row>
    <row r="852" spans="1:28" ht="12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</row>
    <row r="853" spans="1:28" ht="12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</row>
    <row r="854" spans="1:28" ht="12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</row>
    <row r="855" spans="1:28" ht="12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</row>
    <row r="856" spans="1:28" ht="12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</row>
    <row r="857" spans="1:28" ht="12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</row>
    <row r="858" spans="1:28" ht="12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</row>
    <row r="859" spans="1:28" ht="12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</row>
    <row r="860" spans="1:28" ht="12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</row>
    <row r="861" spans="1:28" ht="12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</row>
    <row r="862" spans="1:28" ht="12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</row>
    <row r="863" spans="1:28" ht="12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</row>
    <row r="864" spans="1:28" ht="12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</row>
    <row r="865" spans="1:28" ht="12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</row>
    <row r="866" spans="1:28" ht="12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</row>
    <row r="867" spans="1:28" ht="12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</row>
    <row r="868" spans="1:28" ht="12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</row>
    <row r="869" spans="1:28" ht="12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</row>
    <row r="870" spans="1:28" ht="12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</row>
    <row r="871" spans="1:28" ht="12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</row>
    <row r="872" spans="1:28" ht="12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</row>
    <row r="873" spans="1:28" ht="12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</row>
    <row r="874" spans="1:28" ht="12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</row>
    <row r="875" spans="1:28" ht="12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</row>
    <row r="876" spans="1:28" ht="12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</row>
    <row r="877" spans="1:28" ht="12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</row>
    <row r="878" spans="1:28" ht="12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</row>
    <row r="879" spans="1:28" ht="12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</row>
    <row r="880" spans="1:28" ht="12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</row>
    <row r="881" spans="1:28" ht="12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</row>
    <row r="882" spans="1:28" ht="12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</row>
    <row r="883" spans="1:28" ht="12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</row>
    <row r="884" spans="1:28" ht="12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</row>
    <row r="885" spans="1:28" ht="12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</row>
    <row r="886" spans="1:28" ht="12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</row>
    <row r="887" spans="1:28" ht="12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</row>
    <row r="888" spans="1:28" ht="12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</row>
    <row r="889" spans="1:28" ht="12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</row>
    <row r="890" spans="1:28" ht="12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</row>
    <row r="891" spans="1:28" ht="12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</row>
    <row r="892" spans="1:28" ht="12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</row>
    <row r="893" spans="1:28" ht="12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</row>
    <row r="894" spans="1:28" ht="12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</row>
    <row r="895" spans="1:28" ht="12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</row>
    <row r="896" spans="1:28" ht="12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</row>
    <row r="897" spans="1:28" ht="12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</row>
    <row r="898" spans="1:28" ht="12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</row>
    <row r="899" spans="1:28" ht="12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</row>
    <row r="900" spans="1:28" ht="12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</row>
    <row r="901" spans="1:28" ht="12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</row>
    <row r="902" spans="1:28" ht="12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</row>
    <row r="903" spans="1:28" ht="12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</row>
    <row r="904" spans="1:28" ht="12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</row>
    <row r="905" spans="1:28" ht="12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</row>
    <row r="906" spans="1:28" ht="12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</row>
    <row r="907" spans="1:28" ht="12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</row>
    <row r="908" spans="1:28" ht="12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</row>
    <row r="909" spans="1:28" ht="12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</row>
    <row r="910" spans="1:28" ht="12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</row>
    <row r="911" spans="1:28" ht="12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</row>
    <row r="912" spans="1:28" ht="12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</row>
    <row r="913" spans="1:28" ht="12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</row>
    <row r="914" spans="1:28" ht="12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</row>
    <row r="915" spans="1:28" ht="12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</row>
    <row r="916" spans="1:28" ht="12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</row>
    <row r="917" spans="1:28" ht="12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</row>
    <row r="918" spans="1:28" ht="12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</row>
    <row r="919" spans="1:28" ht="12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</row>
    <row r="920" spans="1:28" ht="12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</row>
    <row r="921" spans="1:28" ht="12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</row>
    <row r="922" spans="1:28" ht="12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</row>
    <row r="923" spans="1:28" ht="12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</row>
    <row r="924" spans="1:28" ht="12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</row>
    <row r="925" spans="1:28" ht="12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</row>
    <row r="926" spans="1:28" ht="12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</row>
    <row r="927" spans="1:28" ht="12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</row>
    <row r="928" spans="1:28" ht="12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</row>
    <row r="929" spans="1:28" ht="12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</row>
    <row r="930" spans="1:28" ht="12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</row>
    <row r="931" spans="1:28" ht="12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</row>
    <row r="932" spans="1:28" ht="12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</row>
    <row r="933" spans="1:28" ht="12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</row>
    <row r="934" spans="1:28" ht="12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</row>
    <row r="935" spans="1:28" ht="12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</row>
    <row r="936" spans="1:28" ht="12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</row>
    <row r="937" spans="1:28" ht="12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</row>
    <row r="938" spans="1:28" ht="12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</row>
    <row r="939" spans="1:28" ht="12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</row>
    <row r="940" spans="1:28" ht="12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</row>
    <row r="941" spans="1:28" ht="12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</row>
    <row r="942" spans="1:28" ht="12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</row>
    <row r="943" spans="1:28" ht="12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</row>
    <row r="944" spans="1:28" ht="12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</row>
    <row r="945" spans="1:28" ht="12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</row>
    <row r="946" spans="1:28" ht="12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</row>
    <row r="947" spans="1:28" ht="12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</row>
    <row r="948" spans="1:28" ht="12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</row>
    <row r="949" spans="1:28" ht="12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</row>
    <row r="950" spans="1:28" ht="12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</row>
    <row r="951" spans="1:28" ht="12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</row>
    <row r="952" spans="1:28" ht="12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</row>
    <row r="953" spans="1:28" ht="12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</row>
    <row r="954" spans="1:28" ht="12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</row>
    <row r="955" spans="1:28" ht="12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</row>
    <row r="956" spans="1:28" ht="12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</row>
    <row r="957" spans="1:28" ht="12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</row>
    <row r="958" spans="1:28" ht="12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</row>
    <row r="959" spans="1:28" ht="12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</row>
    <row r="960" spans="1:28" ht="12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</row>
    <row r="961" spans="1:28" ht="12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</row>
    <row r="962" spans="1:28" ht="12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</row>
    <row r="963" spans="1:28" ht="12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</row>
    <row r="964" spans="1:28" ht="12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</row>
    <row r="965" spans="1:28" ht="12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</row>
    <row r="966" spans="1:28" ht="12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</row>
    <row r="967" spans="1:28" ht="12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</row>
    <row r="968" spans="1:28" ht="12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</row>
    <row r="969" spans="1:28" ht="12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</row>
    <row r="970" spans="1:28" ht="12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</row>
    <row r="971" spans="1:28" ht="12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</row>
    <row r="972" spans="1:28" ht="12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</row>
    <row r="973" spans="1:28" ht="12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</row>
    <row r="974" spans="1:28" ht="12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</row>
    <row r="975" spans="1:28" ht="12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</row>
    <row r="976" spans="1:28" ht="12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</row>
    <row r="977" spans="1:28" ht="12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</row>
    <row r="978" spans="1:28" ht="12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</row>
    <row r="979" spans="1:28" ht="12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</row>
    <row r="980" spans="1:28" ht="12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</row>
    <row r="981" spans="1:28" ht="12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</row>
    <row r="982" spans="1:28" ht="12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</row>
    <row r="983" spans="1:28" ht="12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</row>
    <row r="984" spans="1:28" ht="12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</row>
    <row r="985" spans="1:28" ht="12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</row>
    <row r="986" spans="1:28" ht="12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</row>
    <row r="987" spans="1:28" ht="12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</row>
    <row r="988" spans="1:28" ht="12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</row>
    <row r="989" spans="1:28" ht="12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</row>
    <row r="990" spans="1:28" ht="12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</row>
    <row r="991" spans="1:28" ht="12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</row>
    <row r="992" spans="1:28" ht="12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</row>
    <row r="993" spans="1:28" ht="12.7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</row>
    <row r="994" spans="1:28" ht="12.7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</row>
    <row r="995" spans="1:28" ht="12.7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</row>
    <row r="996" spans="1:28" ht="12.7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</row>
    <row r="997" spans="1:28" ht="12.7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</row>
    <row r="998" spans="1:28" ht="12.7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</row>
    <row r="999" spans="1:28" ht="12.7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</row>
    <row r="1000" spans="1:28" ht="12.7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</row>
  </sheetData>
  <sheetProtection algorithmName="SHA-512" hashValue="ls6Qc6Y8hrDQ8Avd/UA0QkGgCElTyEaxKJQUNhjGy0Uufu4Xhx5lo3tK1IMwcXtdhkThh4e22evlAFgJ1yPOtQ==" saltValue="Tv/VQrqJ53F3a2kBsRQUdQ==" spinCount="100000" sheet="1" objects="1" scenarios="1" formatCells="0"/>
  <mergeCells count="11">
    <mergeCell ref="B11:E11"/>
    <mergeCell ref="B21:E21"/>
    <mergeCell ref="B25:E25"/>
    <mergeCell ref="B30:E30"/>
    <mergeCell ref="C3:E3"/>
    <mergeCell ref="C4:E4"/>
    <mergeCell ref="C5:E5"/>
    <mergeCell ref="C6:E6"/>
    <mergeCell ref="C7:E7"/>
    <mergeCell ref="B9:E9"/>
    <mergeCell ref="B10:E10"/>
  </mergeCells>
  <dataValidations count="1">
    <dataValidation type="list" allowBlank="1" showInputMessage="1" showErrorMessage="1" prompt="Molimo odabrati proračunskog korisnika iz padajućeg izbornika!" sqref="C3">
      <formula1>$L$6:$L$137</formula1>
    </dataValidation>
  </dataValidations>
  <pageMargins left="0.7" right="0.7" top="0.75" bottom="0.75" header="0" footer="0"/>
  <pageSetup paperSize="9" scale="7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999"/>
  <sheetViews>
    <sheetView showGridLines="0" workbookViewId="0">
      <pane ySplit="2" topLeftCell="A3" activePane="bottomLeft" state="frozen"/>
      <selection pane="bottomLeft" activeCell="E10" sqref="E10 Q6:T104"/>
    </sheetView>
  </sheetViews>
  <sheetFormatPr defaultColWidth="12.625" defaultRowHeight="15" customHeight="1"/>
  <cols>
    <col min="1" max="1" width="6.875" customWidth="1"/>
    <col min="2" max="2" width="29.5" customWidth="1"/>
    <col min="3" max="3" width="6.125" customWidth="1"/>
    <col min="4" max="4" width="16.625" customWidth="1"/>
    <col min="5" max="5" width="11.5" customWidth="1"/>
    <col min="6" max="6" width="40.25" customWidth="1"/>
    <col min="7" max="7" width="14.375" customWidth="1"/>
    <col min="8" max="8" width="14.875" customWidth="1"/>
    <col min="9" max="9" width="14.375" customWidth="1"/>
    <col min="10" max="10" width="8" customWidth="1"/>
    <col min="11" max="13" width="8" hidden="1" customWidth="1"/>
    <col min="14" max="14" width="23.125" hidden="1" customWidth="1"/>
    <col min="15" max="16" width="8" hidden="1" customWidth="1"/>
    <col min="17" max="17" width="10.75" hidden="1" customWidth="1"/>
    <col min="18" max="18" width="20.75" hidden="1" customWidth="1"/>
    <col min="19" max="19" width="8" hidden="1" customWidth="1"/>
    <col min="20" max="20" width="12.5" hidden="1" customWidth="1"/>
    <col min="21" max="21" width="8" hidden="1" customWidth="1"/>
    <col min="22" max="26" width="7.625" customWidth="1"/>
  </cols>
  <sheetData>
    <row r="1" spans="1:21" ht="37.5" customHeight="1">
      <c r="A1" s="244" t="s">
        <v>464</v>
      </c>
      <c r="B1" s="245"/>
      <c r="C1" s="245"/>
      <c r="D1" s="245"/>
      <c r="E1" s="47" t="str">
        <f>IF('Opći dio'!C3="odaberite -","Molimo odaberite proračunskog korisnika na radnom listu Opći podaci!","")</f>
        <v/>
      </c>
      <c r="G1" s="48"/>
      <c r="H1" s="48"/>
      <c r="I1" s="48"/>
    </row>
    <row r="2" spans="1:21" ht="36" customHeight="1">
      <c r="A2" s="49" t="s">
        <v>465</v>
      </c>
      <c r="B2" s="49" t="s">
        <v>466</v>
      </c>
      <c r="C2" s="49" t="s">
        <v>467</v>
      </c>
      <c r="D2" s="49" t="s">
        <v>468</v>
      </c>
      <c r="E2" s="50" t="s">
        <v>469</v>
      </c>
      <c r="F2" s="49" t="s">
        <v>470</v>
      </c>
      <c r="G2" s="51" t="s">
        <v>471</v>
      </c>
      <c r="H2" s="51" t="s">
        <v>472</v>
      </c>
      <c r="I2" s="51" t="s">
        <v>55</v>
      </c>
      <c r="K2" s="52" t="s">
        <v>473</v>
      </c>
      <c r="L2" s="52" t="s">
        <v>474</v>
      </c>
      <c r="Q2" s="53" t="s">
        <v>475</v>
      </c>
    </row>
    <row r="3" spans="1:21">
      <c r="A3" s="54" t="str">
        <f>IF(E3="","",VLOOKUP('Opći dio'!$C$3,'Opći dio'!$L$6:$U$137,10,FALSE))</f>
        <v>08006</v>
      </c>
      <c r="B3" s="54" t="str">
        <f>IF(E3="","",VLOOKUP('Opći dio'!$C$3,'Opći dio'!$L$6:$U$137,9,FALSE))</f>
        <v>Sveučilišta i veleučilišta u Republici Hrvatskoj</v>
      </c>
      <c r="C3" s="55">
        <f t="shared" ref="C3:C66" si="0">IFERROR(VLOOKUP(E3,$Q$6:$T$104,3,FALSE),"")</f>
        <v>11</v>
      </c>
      <c r="D3" s="56" t="str">
        <f t="shared" ref="D3:D66" si="1">IFERROR(VLOOKUP(E3,$Q$6:$T$104,4,FALSE),"")</f>
        <v>Opći prihodi i primici</v>
      </c>
      <c r="E3" s="57" t="s">
        <v>475</v>
      </c>
      <c r="F3" s="58" t="str">
        <f t="shared" ref="F3:F66" si="2">IFERROR(VLOOKUP(E3,$Q$6:$T$104,2,FALSE),"")</f>
        <v>Prihodi iz nadležnog proračuna za financiranje redovne djelatnosti proračunskih korisnika</v>
      </c>
      <c r="G3" s="59">
        <v>127964724</v>
      </c>
      <c r="H3" s="59">
        <v>127964724</v>
      </c>
      <c r="I3" s="59">
        <v>127964724</v>
      </c>
      <c r="K3" s="44" t="str">
        <f t="shared" ref="K3:K500" si="3">LEFT(E3,3)</f>
        <v>671</v>
      </c>
      <c r="L3" s="44" t="str">
        <f t="shared" ref="L3:L500" si="4">LEFT(E3,2)</f>
        <v>67</v>
      </c>
      <c r="M3" s="60" t="s">
        <v>476</v>
      </c>
      <c r="Q3" s="53" t="s">
        <v>477</v>
      </c>
    </row>
    <row r="4" spans="1:21">
      <c r="A4" s="54" t="str">
        <f>IF(E4="","",VLOOKUP('Opći dio'!$C$3,'Opći dio'!$L$6:$U$137,10,FALSE))</f>
        <v>08006</v>
      </c>
      <c r="B4" s="54" t="str">
        <f>IF(E4="","",VLOOKUP('Opći dio'!$C$3,'Opći dio'!$L$6:$U$137,9,FALSE))</f>
        <v>Sveučilišta i veleučilišta u Republici Hrvatskoj</v>
      </c>
      <c r="C4" s="55">
        <f t="shared" si="0"/>
        <v>11</v>
      </c>
      <c r="D4" s="56" t="str">
        <f t="shared" si="1"/>
        <v>Opći prihodi i primici</v>
      </c>
      <c r="E4" s="57" t="s">
        <v>475</v>
      </c>
      <c r="F4" s="58" t="str">
        <f t="shared" si="2"/>
        <v>Prihodi iz nadležnog proračuna za financiranje redovne djelatnosti proračunskih korisnika</v>
      </c>
      <c r="G4" s="59">
        <v>10547046</v>
      </c>
      <c r="H4" s="59">
        <v>11338074</v>
      </c>
      <c r="I4" s="59">
        <v>11338074</v>
      </c>
      <c r="K4" s="44" t="str">
        <f t="shared" si="3"/>
        <v>671</v>
      </c>
      <c r="L4" s="44" t="str">
        <f t="shared" si="4"/>
        <v>67</v>
      </c>
    </row>
    <row r="5" spans="1:21">
      <c r="A5" s="54" t="str">
        <f>IF(E5="","",VLOOKUP('Opći dio'!$C$3,'Opći dio'!$L$6:$U$137,10,FALSE))</f>
        <v>08006</v>
      </c>
      <c r="B5" s="54" t="str">
        <f>IF(E5="","",VLOOKUP('Opći dio'!$C$3,'Opći dio'!$L$6:$U$137,9,FALSE))</f>
        <v>Sveučilišta i veleučilišta u Republici Hrvatskoj</v>
      </c>
      <c r="C5" s="55">
        <f t="shared" si="0"/>
        <v>31</v>
      </c>
      <c r="D5" s="56" t="str">
        <f t="shared" si="1"/>
        <v>Vlastiti prihodi</v>
      </c>
      <c r="E5" s="61">
        <v>6615</v>
      </c>
      <c r="F5" s="58" t="str">
        <f t="shared" si="2"/>
        <v>Prihodi od pruženih usluga</v>
      </c>
      <c r="G5" s="59">
        <v>13343782</v>
      </c>
      <c r="H5" s="59">
        <v>15497220</v>
      </c>
      <c r="I5" s="59">
        <v>15652192</v>
      </c>
      <c r="K5" s="44" t="str">
        <f t="shared" si="3"/>
        <v>661</v>
      </c>
      <c r="L5" s="44" t="str">
        <f t="shared" si="4"/>
        <v>66</v>
      </c>
      <c r="M5" s="44" t="s">
        <v>467</v>
      </c>
      <c r="N5" s="44" t="s">
        <v>468</v>
      </c>
      <c r="Q5" s="62" t="s">
        <v>478</v>
      </c>
      <c r="R5" s="49" t="s">
        <v>479</v>
      </c>
      <c r="S5" s="49" t="s">
        <v>480</v>
      </c>
      <c r="T5" s="49" t="s">
        <v>468</v>
      </c>
      <c r="U5" s="63" t="s">
        <v>481</v>
      </c>
    </row>
    <row r="6" spans="1:21">
      <c r="A6" s="54" t="str">
        <f>IF(E6="","",VLOOKUP('Opći dio'!$C$3,'Opći dio'!$L$6:$U$137,10,FALSE))</f>
        <v>08006</v>
      </c>
      <c r="B6" s="54" t="str">
        <f>IF(E6="","",VLOOKUP('Opći dio'!$C$3,'Opći dio'!$L$6:$U$137,9,FALSE))</f>
        <v>Sveučilišta i veleučilišta u Republici Hrvatskoj</v>
      </c>
      <c r="C6" s="55">
        <f t="shared" si="0"/>
        <v>43</v>
      </c>
      <c r="D6" s="56" t="str">
        <f t="shared" si="1"/>
        <v>Ostali prihodi za posebne namjene</v>
      </c>
      <c r="E6" s="61">
        <v>65264</v>
      </c>
      <c r="F6" s="58" t="str">
        <f t="shared" si="2"/>
        <v>Sufinanciranje cijene usluge, participacije i slično</v>
      </c>
      <c r="G6" s="59">
        <v>23000000</v>
      </c>
      <c r="H6" s="59">
        <v>24500000</v>
      </c>
      <c r="I6" s="59">
        <v>25500000</v>
      </c>
      <c r="K6" s="44" t="str">
        <f t="shared" si="3"/>
        <v>652</v>
      </c>
      <c r="L6" s="44" t="str">
        <f t="shared" si="4"/>
        <v>65</v>
      </c>
      <c r="M6" s="44">
        <v>11</v>
      </c>
      <c r="N6" s="44" t="s">
        <v>482</v>
      </c>
      <c r="Q6" s="64" t="s">
        <v>475</v>
      </c>
      <c r="R6" s="64" t="s">
        <v>483</v>
      </c>
      <c r="S6" s="65">
        <v>11</v>
      </c>
      <c r="T6" s="64" t="s">
        <v>482</v>
      </c>
      <c r="U6" s="60">
        <v>671</v>
      </c>
    </row>
    <row r="7" spans="1:21">
      <c r="A7" s="54" t="str">
        <f>IF(E7="","",VLOOKUP('Opći dio'!$C$3,'Opći dio'!$L$6:$U$137,10,FALSE))</f>
        <v>08006</v>
      </c>
      <c r="B7" s="54" t="str">
        <f>IF(E7="","",VLOOKUP('Opći dio'!$C$3,'Opći dio'!$L$6:$U$137,9,FALSE))</f>
        <v>Sveučilišta i veleučilišta u Republici Hrvatskoj</v>
      </c>
      <c r="C7" s="55">
        <f t="shared" si="0"/>
        <v>51</v>
      </c>
      <c r="D7" s="56" t="str">
        <f t="shared" si="1"/>
        <v xml:space="preserve">Pomoći EU </v>
      </c>
      <c r="E7" s="61">
        <v>632311700</v>
      </c>
      <c r="F7" s="58" t="str">
        <f t="shared" si="2"/>
        <v>Tekuće pomoći od institucija i tijela EU - ostalo</v>
      </c>
      <c r="G7" s="59">
        <v>279390</v>
      </c>
      <c r="H7" s="59">
        <v>636469</v>
      </c>
      <c r="I7" s="59">
        <v>524469</v>
      </c>
      <c r="K7" s="44" t="str">
        <f t="shared" si="3"/>
        <v>632</v>
      </c>
      <c r="L7" s="44" t="str">
        <f t="shared" si="4"/>
        <v>63</v>
      </c>
      <c r="M7" s="44">
        <v>31</v>
      </c>
      <c r="N7" s="44" t="s">
        <v>485</v>
      </c>
      <c r="Q7" s="65">
        <v>614810041</v>
      </c>
      <c r="R7" s="64" t="s">
        <v>486</v>
      </c>
      <c r="S7" s="65">
        <v>41</v>
      </c>
      <c r="T7" s="64" t="s">
        <v>487</v>
      </c>
      <c r="U7" s="60">
        <v>614</v>
      </c>
    </row>
    <row r="8" spans="1:21" s="219" customFormat="1">
      <c r="A8" s="54" t="str">
        <f>IF(E8="","",VLOOKUP('Opći dio'!$C$3,'Opći dio'!$L$6:$U$137,10,FALSE))</f>
        <v>08006</v>
      </c>
      <c r="B8" s="54" t="str">
        <f>IF(E8="","",VLOOKUP('Opći dio'!$C$3,'Opći dio'!$L$6:$U$137,9,FALSE))</f>
        <v>Sveučilišta i veleučilišta u Republici Hrvatskoj</v>
      </c>
      <c r="C8" s="55">
        <f t="shared" si="0"/>
        <v>52</v>
      </c>
      <c r="D8" s="56" t="str">
        <f t="shared" si="1"/>
        <v xml:space="preserve">Ostale pomoći i darovnice </v>
      </c>
      <c r="E8" s="61">
        <v>6391</v>
      </c>
      <c r="F8" s="58" t="str">
        <f t="shared" si="2"/>
        <v>Tekući prijenosi između proračunskih korisnika istog proračuna</v>
      </c>
      <c r="G8" s="59">
        <v>9630376</v>
      </c>
      <c r="H8" s="59">
        <v>10645380</v>
      </c>
      <c r="I8" s="59">
        <v>9850000</v>
      </c>
      <c r="K8" s="44" t="str">
        <f t="shared" si="3"/>
        <v>639</v>
      </c>
      <c r="L8" s="44" t="str">
        <f t="shared" si="4"/>
        <v>63</v>
      </c>
      <c r="M8" s="44"/>
      <c r="N8" s="44"/>
      <c r="Q8" s="65"/>
      <c r="R8" s="64"/>
      <c r="S8" s="65"/>
      <c r="T8" s="64"/>
      <c r="U8" s="60"/>
    </row>
    <row r="9" spans="1:21">
      <c r="A9" s="54" t="str">
        <f>IF(E9="","",VLOOKUP('Opći dio'!$C$3,'Opći dio'!$L$6:$U$137,10,FALSE))</f>
        <v>08006</v>
      </c>
      <c r="B9" s="54" t="str">
        <f>IF(E9="","",VLOOKUP('Opći dio'!$C$3,'Opći dio'!$L$6:$U$137,9,FALSE))</f>
        <v>Sveučilišta i veleučilišta u Republici Hrvatskoj</v>
      </c>
      <c r="C9" s="55">
        <f t="shared" si="0"/>
        <v>52</v>
      </c>
      <c r="D9" s="56" t="str">
        <f t="shared" si="1"/>
        <v xml:space="preserve">Ostale pomoći i darovnice </v>
      </c>
      <c r="E9" s="61">
        <v>6393</v>
      </c>
      <c r="F9" s="58" t="str">
        <f t="shared" si="2"/>
        <v>Tekući prijenosi između proračunskih korisnika istog proračuna temeljem prijenosa EU sredstava</v>
      </c>
      <c r="G9" s="59">
        <v>1097909</v>
      </c>
      <c r="H9" s="59">
        <v>0</v>
      </c>
      <c r="I9" s="59">
        <v>0</v>
      </c>
      <c r="K9" s="44" t="str">
        <f t="shared" si="3"/>
        <v>639</v>
      </c>
      <c r="L9" s="44" t="str">
        <f t="shared" si="4"/>
        <v>63</v>
      </c>
      <c r="M9" s="60">
        <v>41</v>
      </c>
      <c r="N9" s="60" t="s">
        <v>487</v>
      </c>
      <c r="Q9" s="65">
        <v>614820041</v>
      </c>
      <c r="R9" s="64" t="s">
        <v>488</v>
      </c>
      <c r="S9" s="65">
        <v>41</v>
      </c>
      <c r="T9" s="64" t="s">
        <v>487</v>
      </c>
      <c r="U9" s="60">
        <v>614</v>
      </c>
    </row>
    <row r="10" spans="1:21">
      <c r="A10" s="54" t="str">
        <f>IF(E10="","",VLOOKUP('Opći dio'!$C$3,'Opći dio'!$L$6:$U$137,10,FALSE))</f>
        <v>08006</v>
      </c>
      <c r="B10" s="54" t="str">
        <f>IF(E10="","",VLOOKUP('Opći dio'!$C$3,'Opći dio'!$L$6:$U$137,9,FALSE))</f>
        <v>Sveučilišta i veleučilišta u Republici Hrvatskoj</v>
      </c>
      <c r="C10" s="55">
        <f t="shared" si="0"/>
        <v>563</v>
      </c>
      <c r="D10" s="56" t="str">
        <f t="shared" si="1"/>
        <v>Europski fond za regionalni razvoj (ERDF)</v>
      </c>
      <c r="E10" s="61">
        <v>632310563</v>
      </c>
      <c r="F10" s="58" t="str">
        <f t="shared" si="2"/>
        <v>Europski fond za regionalni razvoj (EFRR)</v>
      </c>
      <c r="G10" s="59">
        <v>14254983</v>
      </c>
      <c r="H10" s="59">
        <v>1033173</v>
      </c>
      <c r="I10" s="59">
        <v>0</v>
      </c>
      <c r="K10" s="44" t="str">
        <f t="shared" si="3"/>
        <v>632</v>
      </c>
      <c r="L10" s="44" t="str">
        <f t="shared" si="4"/>
        <v>63</v>
      </c>
      <c r="M10" s="44">
        <v>43</v>
      </c>
      <c r="N10" s="44" t="s">
        <v>489</v>
      </c>
      <c r="Q10" s="65">
        <v>614830041</v>
      </c>
      <c r="R10" s="64" t="s">
        <v>490</v>
      </c>
      <c r="S10" s="65">
        <v>41</v>
      </c>
      <c r="T10" s="64" t="s">
        <v>487</v>
      </c>
      <c r="U10" s="60">
        <v>614</v>
      </c>
    </row>
    <row r="11" spans="1:21">
      <c r="A11" s="54" t="str">
        <f>IF(E11="","",VLOOKUP('Opći dio'!$C$3,'Opći dio'!$L$6:$U$137,10,FALSE))</f>
        <v>08006</v>
      </c>
      <c r="B11" s="54" t="str">
        <f>IF(E11="","",VLOOKUP('Opći dio'!$C$3,'Opći dio'!$L$6:$U$137,9,FALSE))</f>
        <v>Sveučilišta i veleučilišta u Republici Hrvatskoj</v>
      </c>
      <c r="C11" s="55">
        <f t="shared" si="0"/>
        <v>563</v>
      </c>
      <c r="D11" s="56" t="str">
        <f t="shared" si="1"/>
        <v>Europski fond za regionalni razvoj (ERDF)</v>
      </c>
      <c r="E11" s="61">
        <v>632410563</v>
      </c>
      <c r="F11" s="58" t="str">
        <f t="shared" si="2"/>
        <v>Europski fond za regionalni razvoj (EFRR)</v>
      </c>
      <c r="G11" s="59">
        <v>7790400</v>
      </c>
      <c r="H11" s="59">
        <v>0</v>
      </c>
      <c r="I11" s="59">
        <v>0</v>
      </c>
      <c r="K11" s="44" t="str">
        <f t="shared" si="3"/>
        <v>632</v>
      </c>
      <c r="L11" s="44" t="str">
        <f t="shared" si="4"/>
        <v>63</v>
      </c>
      <c r="M11" s="44">
        <v>51</v>
      </c>
      <c r="N11" s="44" t="s">
        <v>491</v>
      </c>
      <c r="Q11" s="65">
        <v>614840041</v>
      </c>
      <c r="R11" s="64" t="s">
        <v>492</v>
      </c>
      <c r="S11" s="65">
        <v>41</v>
      </c>
      <c r="T11" s="64" t="s">
        <v>487</v>
      </c>
      <c r="U11" s="60">
        <v>614</v>
      </c>
    </row>
    <row r="12" spans="1:21">
      <c r="A12" s="54" t="str">
        <f>IF(E12="","",VLOOKUP('Opći dio'!$C$3,'Opći dio'!$L$6:$U$137,10,FALSE))</f>
        <v>08006</v>
      </c>
      <c r="B12" s="54" t="str">
        <f>IF(E12="","",VLOOKUP('Opći dio'!$C$3,'Opći dio'!$L$6:$U$137,9,FALSE))</f>
        <v>Sveučilišta i veleučilišta u Republici Hrvatskoj</v>
      </c>
      <c r="C12" s="55">
        <f t="shared" si="0"/>
        <v>576</v>
      </c>
      <c r="D12" s="56" t="str">
        <f t="shared" si="1"/>
        <v>Fond solidarnosti EU</v>
      </c>
      <c r="E12" s="61">
        <v>632415761</v>
      </c>
      <c r="F12" s="58" t="str">
        <f t="shared" si="2"/>
        <v>Kapitalne pomoći od institucija i tijela EU - Fond solidarnosti EU - potres ožujak 2020.</v>
      </c>
      <c r="G12" s="59">
        <v>175730498</v>
      </c>
      <c r="H12" s="59">
        <v>0</v>
      </c>
      <c r="I12" s="59">
        <v>0</v>
      </c>
      <c r="K12" s="44" t="str">
        <f t="shared" si="3"/>
        <v>632</v>
      </c>
      <c r="L12" s="44" t="str">
        <f t="shared" si="4"/>
        <v>63</v>
      </c>
      <c r="M12" s="60">
        <v>552</v>
      </c>
      <c r="N12" s="60" t="s">
        <v>496</v>
      </c>
      <c r="Q12" s="65">
        <v>631120000</v>
      </c>
      <c r="R12" s="64" t="s">
        <v>497</v>
      </c>
      <c r="S12" s="65">
        <v>52</v>
      </c>
      <c r="T12" s="64" t="s">
        <v>495</v>
      </c>
      <c r="U12" s="60">
        <v>631</v>
      </c>
    </row>
    <row r="13" spans="1:21">
      <c r="A13" s="54" t="str">
        <f>IF(E13="","",VLOOKUP('Opći dio'!$C$3,'Opći dio'!$L$6:$U$137,10,FALSE))</f>
        <v>08006</v>
      </c>
      <c r="B13" s="54" t="str">
        <f>IF(E13="","",VLOOKUP('Opći dio'!$C$3,'Opći dio'!$L$6:$U$137,9,FALSE))</f>
        <v>Sveučilišta i veleučilišta u Republici Hrvatskoj</v>
      </c>
      <c r="C13" s="55">
        <f t="shared" si="0"/>
        <v>581</v>
      </c>
      <c r="D13" s="56" t="str">
        <f t="shared" si="1"/>
        <v>Mehanizam za oporavak i otpornost</v>
      </c>
      <c r="E13" s="61">
        <v>632410581</v>
      </c>
      <c r="F13" s="58" t="str">
        <f t="shared" si="2"/>
        <v>Kapitalne pom.od instit. tijela EU - Mehanizam za oporavak i otpornost</v>
      </c>
      <c r="G13" s="59">
        <v>102093139</v>
      </c>
      <c r="H13" s="59"/>
      <c r="I13" s="59">
        <v>0</v>
      </c>
      <c r="K13" s="44" t="str">
        <f t="shared" si="3"/>
        <v>632</v>
      </c>
      <c r="L13" s="44" t="str">
        <f t="shared" si="4"/>
        <v>63</v>
      </c>
      <c r="M13" s="60">
        <v>559</v>
      </c>
      <c r="N13" s="60" t="s">
        <v>498</v>
      </c>
      <c r="Q13" s="65">
        <v>631210000</v>
      </c>
      <c r="R13" s="64" t="s">
        <v>499</v>
      </c>
      <c r="S13" s="65">
        <v>52</v>
      </c>
      <c r="T13" s="64" t="s">
        <v>495</v>
      </c>
      <c r="U13" s="60">
        <v>631</v>
      </c>
    </row>
    <row r="14" spans="1:21">
      <c r="A14" s="54" t="str">
        <f>IF(E14="","",VLOOKUP('Opći dio'!$C$3,'Opći dio'!$L$6:$U$137,10,FALSE))</f>
        <v>08006</v>
      </c>
      <c r="B14" s="54" t="str">
        <f>IF(E14="","",VLOOKUP('Opći dio'!$C$3,'Opći dio'!$L$6:$U$137,9,FALSE))</f>
        <v>Sveučilišta i veleučilišta u Republici Hrvatskoj</v>
      </c>
      <c r="C14" s="55">
        <f t="shared" si="0"/>
        <v>61</v>
      </c>
      <c r="D14" s="56" t="str">
        <f t="shared" si="1"/>
        <v xml:space="preserve">Donacije </v>
      </c>
      <c r="E14" s="61">
        <v>663110000</v>
      </c>
      <c r="F14" s="58" t="str">
        <f t="shared" si="2"/>
        <v>Tekuće donacije od fizičkih osoba</v>
      </c>
      <c r="G14" s="59">
        <v>5000</v>
      </c>
      <c r="H14" s="59">
        <v>0</v>
      </c>
      <c r="I14" s="59">
        <v>0</v>
      </c>
      <c r="K14" s="44" t="str">
        <f t="shared" si="3"/>
        <v>663</v>
      </c>
      <c r="L14" s="44" t="str">
        <f t="shared" si="4"/>
        <v>66</v>
      </c>
      <c r="M14" s="44">
        <v>561</v>
      </c>
      <c r="N14" s="44" t="s">
        <v>500</v>
      </c>
      <c r="Q14" s="65">
        <v>631220000</v>
      </c>
      <c r="R14" s="64" t="s">
        <v>501</v>
      </c>
      <c r="S14" s="65">
        <v>52</v>
      </c>
      <c r="T14" s="64" t="s">
        <v>495</v>
      </c>
      <c r="U14" s="60">
        <v>631</v>
      </c>
    </row>
    <row r="15" spans="1:21">
      <c r="A15" s="54" t="str">
        <f>IF(E15="","",VLOOKUP('Opći dio'!$C$3,'Opći dio'!$L$6:$U$137,10,FALSE))</f>
        <v>08006</v>
      </c>
      <c r="B15" s="54" t="str">
        <f>IF(E15="","",VLOOKUP('Opći dio'!$C$3,'Opći dio'!$L$6:$U$137,9,FALSE))</f>
        <v>Sveučilišta i veleučilišta u Republici Hrvatskoj</v>
      </c>
      <c r="C15" s="55">
        <f t="shared" si="0"/>
        <v>61</v>
      </c>
      <c r="D15" s="56" t="str">
        <f t="shared" si="1"/>
        <v xml:space="preserve">Donacije </v>
      </c>
      <c r="E15" s="61">
        <v>663130000</v>
      </c>
      <c r="F15" s="58" t="str">
        <f t="shared" si="2"/>
        <v>Tekuće donacije od trgovačkih društava</v>
      </c>
      <c r="G15" s="59">
        <v>500000</v>
      </c>
      <c r="H15" s="59">
        <v>680000</v>
      </c>
      <c r="I15" s="59">
        <v>100000</v>
      </c>
      <c r="K15" s="44" t="str">
        <f t="shared" si="3"/>
        <v>663</v>
      </c>
      <c r="L15" s="44" t="str">
        <f t="shared" si="4"/>
        <v>66</v>
      </c>
      <c r="M15" s="44">
        <v>563</v>
      </c>
      <c r="N15" s="44" t="s">
        <v>502</v>
      </c>
      <c r="Q15" s="65">
        <v>632112000</v>
      </c>
      <c r="R15" s="64" t="s">
        <v>503</v>
      </c>
      <c r="S15" s="65">
        <v>52</v>
      </c>
      <c r="T15" s="64" t="s">
        <v>495</v>
      </c>
      <c r="U15" s="60">
        <v>632</v>
      </c>
    </row>
    <row r="16" spans="1:21">
      <c r="A16" s="66" t="str">
        <f>IF(E16="","",VLOOKUP('Opći dio'!$C$3,'Opći dio'!$L$6:$U$137,10,FALSE))</f>
        <v/>
      </c>
      <c r="B16" s="66" t="str">
        <f>IF(E16="","",VLOOKUP('Opći dio'!$C$3,'Opći dio'!$L$6:$U$137,9,FALSE))</f>
        <v/>
      </c>
      <c r="C16" s="55" t="str">
        <f t="shared" si="0"/>
        <v/>
      </c>
      <c r="D16" s="56" t="str">
        <f t="shared" si="1"/>
        <v/>
      </c>
      <c r="E16" s="61"/>
      <c r="F16" s="58" t="str">
        <f t="shared" si="2"/>
        <v/>
      </c>
      <c r="G16" s="59"/>
      <c r="H16" s="59"/>
      <c r="I16" s="59"/>
      <c r="K16" s="44" t="str">
        <f t="shared" si="3"/>
        <v/>
      </c>
      <c r="L16" s="44" t="str">
        <f t="shared" si="4"/>
        <v/>
      </c>
      <c r="M16" s="44">
        <v>573</v>
      </c>
      <c r="N16" s="60" t="s">
        <v>504</v>
      </c>
      <c r="Q16" s="65">
        <v>632212000</v>
      </c>
      <c r="R16" s="64" t="s">
        <v>505</v>
      </c>
      <c r="S16" s="65">
        <v>52</v>
      </c>
      <c r="T16" s="64" t="s">
        <v>495</v>
      </c>
      <c r="U16" s="60">
        <v>632</v>
      </c>
    </row>
    <row r="17" spans="1:21">
      <c r="A17" s="66" t="str">
        <f>IF(E17="","",VLOOKUP('Opći dio'!$C$3,'Opći dio'!$L$6:$U$137,10,FALSE))</f>
        <v/>
      </c>
      <c r="B17" s="66" t="str">
        <f>IF(E17="","",VLOOKUP('Opći dio'!$C$3,'Opći dio'!$L$6:$U$137,9,FALSE))</f>
        <v/>
      </c>
      <c r="C17" s="55" t="str">
        <f t="shared" si="0"/>
        <v/>
      </c>
      <c r="D17" s="56" t="str">
        <f t="shared" si="1"/>
        <v/>
      </c>
      <c r="E17" s="61"/>
      <c r="F17" s="58" t="str">
        <f t="shared" si="2"/>
        <v/>
      </c>
      <c r="G17" s="59"/>
      <c r="H17" s="59"/>
      <c r="I17" s="59"/>
      <c r="K17" s="44" t="str">
        <f t="shared" si="3"/>
        <v/>
      </c>
      <c r="L17" s="44" t="str">
        <f t="shared" si="4"/>
        <v/>
      </c>
      <c r="M17" s="60">
        <v>575</v>
      </c>
      <c r="N17" s="60" t="s">
        <v>506</v>
      </c>
      <c r="Q17" s="65">
        <v>632310552</v>
      </c>
      <c r="R17" s="64" t="s">
        <v>507</v>
      </c>
      <c r="S17" s="65">
        <v>552</v>
      </c>
      <c r="T17" s="64" t="s">
        <v>496</v>
      </c>
      <c r="U17" s="60">
        <v>632</v>
      </c>
    </row>
    <row r="18" spans="1:21">
      <c r="A18" s="66" t="str">
        <f>IF(E18="","",VLOOKUP('Opći dio'!$C$3,'Opći dio'!$L$6:$U$137,10,FALSE))</f>
        <v/>
      </c>
      <c r="B18" s="66" t="str">
        <f>IF(E18="","",VLOOKUP('Opći dio'!$C$3,'Opći dio'!$L$6:$U$137,9,FALSE))</f>
        <v/>
      </c>
      <c r="C18" s="55" t="str">
        <f t="shared" si="0"/>
        <v/>
      </c>
      <c r="D18" s="56" t="str">
        <f t="shared" si="1"/>
        <v/>
      </c>
      <c r="E18" s="61"/>
      <c r="F18" s="58" t="str">
        <f t="shared" si="2"/>
        <v/>
      </c>
      <c r="G18" s="59"/>
      <c r="H18" s="59"/>
      <c r="I18" s="59"/>
      <c r="K18" s="44" t="str">
        <f t="shared" si="3"/>
        <v/>
      </c>
      <c r="L18" s="44" t="str">
        <f t="shared" si="4"/>
        <v/>
      </c>
      <c r="M18" s="44">
        <v>576</v>
      </c>
      <c r="N18" s="67" t="s">
        <v>508</v>
      </c>
      <c r="Q18" s="65">
        <v>632310559</v>
      </c>
      <c r="R18" s="64" t="s">
        <v>509</v>
      </c>
      <c r="S18" s="65">
        <v>559</v>
      </c>
      <c r="T18" s="64" t="s">
        <v>498</v>
      </c>
      <c r="U18" s="60">
        <v>632</v>
      </c>
    </row>
    <row r="19" spans="1:21">
      <c r="A19" s="66" t="str">
        <f>IF(E19="","",VLOOKUP('Opći dio'!$C$3,'Opći dio'!$L$6:$U$137,10,FALSE))</f>
        <v/>
      </c>
      <c r="B19" s="66" t="str">
        <f>IF(E19="","",VLOOKUP('Opći dio'!$C$3,'Opći dio'!$L$6:$U$137,9,FALSE))</f>
        <v/>
      </c>
      <c r="C19" s="55" t="str">
        <f t="shared" si="0"/>
        <v/>
      </c>
      <c r="D19" s="56" t="str">
        <f t="shared" si="1"/>
        <v/>
      </c>
      <c r="E19" s="61"/>
      <c r="F19" s="58" t="str">
        <f t="shared" si="2"/>
        <v/>
      </c>
      <c r="G19" s="59"/>
      <c r="H19" s="59"/>
      <c r="I19" s="59"/>
      <c r="K19" s="44" t="str">
        <f t="shared" si="3"/>
        <v/>
      </c>
      <c r="L19" s="44" t="str">
        <f t="shared" si="4"/>
        <v/>
      </c>
      <c r="M19" s="68">
        <v>581</v>
      </c>
      <c r="N19" s="69" t="s">
        <v>510</v>
      </c>
      <c r="Q19" s="65">
        <v>632310561</v>
      </c>
      <c r="R19" s="64" t="s">
        <v>500</v>
      </c>
      <c r="S19" s="65">
        <v>561</v>
      </c>
      <c r="T19" s="64" t="s">
        <v>500</v>
      </c>
      <c r="U19" s="60">
        <v>632</v>
      </c>
    </row>
    <row r="20" spans="1:21" ht="15.75" customHeight="1">
      <c r="A20" s="66" t="str">
        <f>IF(E20="","",VLOOKUP('Opći dio'!$C$3,'Opći dio'!$L$6:$U$137,10,FALSE))</f>
        <v/>
      </c>
      <c r="B20" s="66" t="str">
        <f>IF(E20="","",VLOOKUP('Opći dio'!$C$3,'Opći dio'!$L$6:$U$137,9,FALSE))</f>
        <v/>
      </c>
      <c r="C20" s="55" t="str">
        <f t="shared" si="0"/>
        <v/>
      </c>
      <c r="D20" s="56" t="str">
        <f t="shared" si="1"/>
        <v/>
      </c>
      <c r="E20" s="61"/>
      <c r="F20" s="58" t="str">
        <f t="shared" si="2"/>
        <v/>
      </c>
      <c r="G20" s="59"/>
      <c r="H20" s="59"/>
      <c r="I20" s="59"/>
      <c r="K20" s="44" t="str">
        <f t="shared" si="3"/>
        <v/>
      </c>
      <c r="L20" s="44" t="str">
        <f t="shared" si="4"/>
        <v/>
      </c>
      <c r="M20" s="44">
        <v>61</v>
      </c>
      <c r="N20" s="44" t="s">
        <v>511</v>
      </c>
      <c r="Q20" s="65">
        <v>632310563</v>
      </c>
      <c r="R20" s="64" t="s">
        <v>512</v>
      </c>
      <c r="S20" s="65">
        <v>563</v>
      </c>
      <c r="T20" s="64" t="s">
        <v>502</v>
      </c>
      <c r="U20" s="60">
        <v>632</v>
      </c>
    </row>
    <row r="21" spans="1:21" ht="15.75" customHeight="1">
      <c r="A21" s="66" t="str">
        <f>IF(E21="","",VLOOKUP('Opći dio'!$C$3,'Opći dio'!$L$6:$U$137,10,FALSE))</f>
        <v/>
      </c>
      <c r="B21" s="66" t="str">
        <f>IF(E21="","",VLOOKUP('Opći dio'!$C$3,'Opći dio'!$L$6:$U$137,9,FALSE))</f>
        <v/>
      </c>
      <c r="C21" s="55" t="str">
        <f t="shared" si="0"/>
        <v/>
      </c>
      <c r="D21" s="56" t="str">
        <f t="shared" si="1"/>
        <v/>
      </c>
      <c r="E21" s="61"/>
      <c r="F21" s="58" t="str">
        <f t="shared" si="2"/>
        <v/>
      </c>
      <c r="G21" s="59"/>
      <c r="H21" s="59"/>
      <c r="I21" s="59"/>
      <c r="K21" s="44" t="str">
        <f t="shared" si="3"/>
        <v/>
      </c>
      <c r="L21" s="44" t="str">
        <f t="shared" si="4"/>
        <v/>
      </c>
      <c r="M21" s="44">
        <v>71</v>
      </c>
      <c r="N21" s="44" t="s">
        <v>513</v>
      </c>
      <c r="Q21" s="65">
        <v>632310573</v>
      </c>
      <c r="R21" s="64" t="s">
        <v>514</v>
      </c>
      <c r="S21" s="65">
        <v>573</v>
      </c>
      <c r="T21" s="64" t="s">
        <v>504</v>
      </c>
      <c r="U21" s="60">
        <v>632</v>
      </c>
    </row>
    <row r="22" spans="1:21" ht="15.75" customHeight="1">
      <c r="A22" s="66" t="str">
        <f>IF(E22="","",VLOOKUP('Opći dio'!$C$3,'Opći dio'!$L$6:$U$137,10,FALSE))</f>
        <v/>
      </c>
      <c r="B22" s="66" t="str">
        <f>IF(E22="","",VLOOKUP('Opći dio'!$C$3,'Opći dio'!$L$6:$U$137,9,FALSE))</f>
        <v/>
      </c>
      <c r="C22" s="55" t="str">
        <f t="shared" si="0"/>
        <v/>
      </c>
      <c r="D22" s="56" t="str">
        <f t="shared" si="1"/>
        <v/>
      </c>
      <c r="E22" s="61"/>
      <c r="F22" s="58" t="str">
        <f t="shared" si="2"/>
        <v/>
      </c>
      <c r="G22" s="59"/>
      <c r="H22" s="59"/>
      <c r="I22" s="59"/>
      <c r="K22" s="44" t="str">
        <f t="shared" si="3"/>
        <v/>
      </c>
      <c r="L22" s="44" t="str">
        <f t="shared" si="4"/>
        <v/>
      </c>
      <c r="M22" s="44">
        <v>81</v>
      </c>
      <c r="N22" s="44" t="s">
        <v>515</v>
      </c>
      <c r="Q22" s="65">
        <v>632310575</v>
      </c>
      <c r="R22" s="64" t="s">
        <v>516</v>
      </c>
      <c r="S22" s="65">
        <v>575</v>
      </c>
      <c r="T22" s="64" t="s">
        <v>506</v>
      </c>
      <c r="U22" s="60">
        <v>632</v>
      </c>
    </row>
    <row r="23" spans="1:21" ht="15.75" customHeight="1">
      <c r="A23" s="66" t="str">
        <f>IF(E23="","",VLOOKUP('Opći dio'!$C$3,'Opći dio'!$L$6:$U$137,10,FALSE))</f>
        <v/>
      </c>
      <c r="B23" s="66" t="str">
        <f>IF(E23="","",VLOOKUP('Opći dio'!$C$3,'Opći dio'!$L$6:$U$137,9,FALSE))</f>
        <v/>
      </c>
      <c r="C23" s="55" t="str">
        <f t="shared" si="0"/>
        <v/>
      </c>
      <c r="D23" s="56" t="str">
        <f t="shared" si="1"/>
        <v/>
      </c>
      <c r="E23" s="61"/>
      <c r="F23" s="58" t="str">
        <f t="shared" si="2"/>
        <v/>
      </c>
      <c r="G23" s="59"/>
      <c r="H23" s="59"/>
      <c r="I23" s="59"/>
      <c r="K23" s="44" t="str">
        <f t="shared" si="3"/>
        <v/>
      </c>
      <c r="L23" s="44" t="str">
        <f t="shared" si="4"/>
        <v/>
      </c>
      <c r="M23" s="70">
        <v>83</v>
      </c>
      <c r="N23" s="70" t="s">
        <v>517</v>
      </c>
      <c r="Q23" s="65">
        <v>632315761</v>
      </c>
      <c r="R23" s="64" t="s">
        <v>518</v>
      </c>
      <c r="S23" s="65">
        <v>576</v>
      </c>
      <c r="T23" s="64" t="s">
        <v>519</v>
      </c>
      <c r="U23" s="60">
        <v>632</v>
      </c>
    </row>
    <row r="24" spans="1:21" ht="15.75" customHeight="1">
      <c r="A24" s="66" t="str">
        <f>IF(E24="","",VLOOKUP('Opći dio'!$C$3,'Opći dio'!$L$6:$U$137,10,FALSE))</f>
        <v/>
      </c>
      <c r="B24" s="66" t="str">
        <f>IF(E24="","",VLOOKUP('Opći dio'!$C$3,'Opći dio'!$L$6:$U$137,9,FALSE))</f>
        <v/>
      </c>
      <c r="C24" s="55" t="str">
        <f t="shared" si="0"/>
        <v/>
      </c>
      <c r="D24" s="56" t="str">
        <f t="shared" si="1"/>
        <v/>
      </c>
      <c r="E24" s="61"/>
      <c r="F24" s="58" t="str">
        <f t="shared" si="2"/>
        <v/>
      </c>
      <c r="G24" s="59"/>
      <c r="H24" s="59"/>
      <c r="I24" s="59"/>
      <c r="K24" s="44" t="str">
        <f t="shared" si="3"/>
        <v/>
      </c>
      <c r="L24" s="44" t="str">
        <f t="shared" si="4"/>
        <v/>
      </c>
      <c r="Q24" s="65">
        <v>632310581</v>
      </c>
      <c r="R24" s="64" t="s">
        <v>520</v>
      </c>
      <c r="S24" s="65">
        <v>581</v>
      </c>
      <c r="T24" s="64" t="s">
        <v>510</v>
      </c>
      <c r="U24" s="60">
        <v>632</v>
      </c>
    </row>
    <row r="25" spans="1:21" ht="15.75" customHeight="1">
      <c r="A25" s="66" t="str">
        <f>IF(E25="","",VLOOKUP('Opći dio'!$C$3,'Opći dio'!$L$6:$U$137,10,FALSE))</f>
        <v/>
      </c>
      <c r="B25" s="66" t="str">
        <f>IF(E25="","",VLOOKUP('Opći dio'!$C$3,'Opći dio'!$L$6:$U$137,9,FALSE))</f>
        <v/>
      </c>
      <c r="C25" s="55" t="str">
        <f t="shared" si="0"/>
        <v/>
      </c>
      <c r="D25" s="56" t="str">
        <f t="shared" si="1"/>
        <v/>
      </c>
      <c r="E25" s="61"/>
      <c r="F25" s="58" t="str">
        <f t="shared" si="2"/>
        <v/>
      </c>
      <c r="G25" s="59"/>
      <c r="H25" s="59"/>
      <c r="I25" s="59"/>
      <c r="K25" s="44" t="str">
        <f t="shared" si="3"/>
        <v/>
      </c>
      <c r="L25" s="44" t="str">
        <f t="shared" si="4"/>
        <v/>
      </c>
      <c r="Q25" s="65">
        <v>632311700</v>
      </c>
      <c r="R25" s="64" t="s">
        <v>521</v>
      </c>
      <c r="S25" s="65">
        <v>51</v>
      </c>
      <c r="T25" s="64" t="s">
        <v>522</v>
      </c>
      <c r="U25" s="60">
        <v>632</v>
      </c>
    </row>
    <row r="26" spans="1:21" ht="15.75" customHeight="1">
      <c r="A26" s="66" t="str">
        <f>IF(E26="","",VLOOKUP('Opći dio'!$C$3,'Opći dio'!$L$6:$U$137,10,FALSE))</f>
        <v/>
      </c>
      <c r="B26" s="66" t="str">
        <f>IF(E26="","",VLOOKUP('Opći dio'!$C$3,'Opći dio'!$L$6:$U$137,9,FALSE))</f>
        <v/>
      </c>
      <c r="C26" s="55" t="str">
        <f t="shared" si="0"/>
        <v/>
      </c>
      <c r="D26" s="56" t="str">
        <f t="shared" si="1"/>
        <v/>
      </c>
      <c r="E26" s="61"/>
      <c r="F26" s="58" t="str">
        <f t="shared" si="2"/>
        <v/>
      </c>
      <c r="G26" s="59"/>
      <c r="H26" s="59"/>
      <c r="I26" s="59"/>
      <c r="K26" s="44" t="str">
        <f t="shared" si="3"/>
        <v/>
      </c>
      <c r="L26" s="44" t="str">
        <f t="shared" si="4"/>
        <v/>
      </c>
      <c r="Q26" s="65">
        <v>632311800</v>
      </c>
      <c r="R26" s="64" t="s">
        <v>523</v>
      </c>
      <c r="S26" s="65">
        <v>51</v>
      </c>
      <c r="T26" s="64" t="s">
        <v>522</v>
      </c>
      <c r="U26" s="60">
        <v>632</v>
      </c>
    </row>
    <row r="27" spans="1:21" ht="15.75" customHeight="1">
      <c r="A27" s="66" t="str">
        <f>IF(E27="","",VLOOKUP('Opći dio'!$C$3,'Opći dio'!$L$6:$U$137,10,FALSE))</f>
        <v/>
      </c>
      <c r="B27" s="66" t="str">
        <f>IF(E27="","",VLOOKUP('Opći dio'!$C$3,'Opći dio'!$L$6:$U$137,9,FALSE))</f>
        <v/>
      </c>
      <c r="C27" s="55" t="str">
        <f t="shared" si="0"/>
        <v/>
      </c>
      <c r="D27" s="56" t="str">
        <f t="shared" si="1"/>
        <v/>
      </c>
      <c r="E27" s="61"/>
      <c r="F27" s="58" t="str">
        <f t="shared" si="2"/>
        <v/>
      </c>
      <c r="G27" s="59"/>
      <c r="H27" s="59"/>
      <c r="I27" s="59"/>
      <c r="K27" s="44" t="str">
        <f t="shared" si="3"/>
        <v/>
      </c>
      <c r="L27" s="44" t="str">
        <f t="shared" si="4"/>
        <v/>
      </c>
      <c r="Q27" s="65">
        <v>632410552</v>
      </c>
      <c r="R27" s="64" t="s">
        <v>524</v>
      </c>
      <c r="S27" s="65">
        <v>552</v>
      </c>
      <c r="T27" s="64" t="s">
        <v>496</v>
      </c>
      <c r="U27" s="60">
        <v>632</v>
      </c>
    </row>
    <row r="28" spans="1:21" ht="15.75" customHeight="1">
      <c r="A28" s="66" t="str">
        <f>IF(E28="","",VLOOKUP('Opći dio'!$C$3,'Opći dio'!$L$6:$U$137,10,FALSE))</f>
        <v/>
      </c>
      <c r="B28" s="66" t="str">
        <f>IF(E28="","",VLOOKUP('Opći dio'!$C$3,'Opći dio'!$L$6:$U$137,9,FALSE))</f>
        <v/>
      </c>
      <c r="C28" s="55" t="str">
        <f t="shared" si="0"/>
        <v/>
      </c>
      <c r="D28" s="56" t="str">
        <f t="shared" si="1"/>
        <v/>
      </c>
      <c r="E28" s="61"/>
      <c r="F28" s="58" t="str">
        <f t="shared" si="2"/>
        <v/>
      </c>
      <c r="G28" s="59"/>
      <c r="H28" s="59"/>
      <c r="I28" s="59"/>
      <c r="K28" s="44" t="str">
        <f t="shared" si="3"/>
        <v/>
      </c>
      <c r="L28" s="44" t="str">
        <f t="shared" si="4"/>
        <v/>
      </c>
      <c r="Q28" s="65">
        <v>632410559</v>
      </c>
      <c r="R28" s="64" t="s">
        <v>525</v>
      </c>
      <c r="S28" s="65">
        <v>559</v>
      </c>
      <c r="T28" s="64" t="s">
        <v>498</v>
      </c>
      <c r="U28" s="60">
        <v>632</v>
      </c>
    </row>
    <row r="29" spans="1:21" ht="15.75" customHeight="1">
      <c r="A29" s="66" t="str">
        <f>IF(E29="","",VLOOKUP('Opći dio'!$C$3,'Opći dio'!$L$6:$U$137,10,FALSE))</f>
        <v/>
      </c>
      <c r="B29" s="66" t="str">
        <f>IF(E29="","",VLOOKUP('Opći dio'!$C$3,'Opći dio'!$L$6:$U$137,9,FALSE))</f>
        <v/>
      </c>
      <c r="C29" s="55" t="str">
        <f t="shared" si="0"/>
        <v/>
      </c>
      <c r="D29" s="56" t="str">
        <f t="shared" si="1"/>
        <v/>
      </c>
      <c r="E29" s="61"/>
      <c r="F29" s="58" t="str">
        <f t="shared" si="2"/>
        <v/>
      </c>
      <c r="G29" s="59"/>
      <c r="H29" s="59"/>
      <c r="I29" s="59"/>
      <c r="K29" s="44" t="str">
        <f t="shared" si="3"/>
        <v/>
      </c>
      <c r="L29" s="44" t="str">
        <f t="shared" si="4"/>
        <v/>
      </c>
      <c r="Q29" s="65">
        <v>632410561</v>
      </c>
      <c r="R29" s="64" t="s">
        <v>500</v>
      </c>
      <c r="S29" s="65">
        <v>561</v>
      </c>
      <c r="T29" s="64" t="s">
        <v>500</v>
      </c>
      <c r="U29" s="60">
        <v>632</v>
      </c>
    </row>
    <row r="30" spans="1:21" ht="15.75" customHeight="1">
      <c r="A30" s="66" t="str">
        <f>IF(E30="","",VLOOKUP('Opći dio'!$C$3,'Opći dio'!$L$6:$U$137,10,FALSE))</f>
        <v/>
      </c>
      <c r="B30" s="66" t="str">
        <f>IF(E30="","",VLOOKUP('Opći dio'!$C$3,'Opći dio'!$L$6:$U$137,9,FALSE))</f>
        <v/>
      </c>
      <c r="C30" s="55" t="str">
        <f t="shared" si="0"/>
        <v/>
      </c>
      <c r="D30" s="56" t="str">
        <f t="shared" si="1"/>
        <v/>
      </c>
      <c r="E30" s="61"/>
      <c r="F30" s="58" t="str">
        <f t="shared" si="2"/>
        <v/>
      </c>
      <c r="G30" s="59"/>
      <c r="H30" s="59"/>
      <c r="I30" s="59"/>
      <c r="K30" s="44" t="str">
        <f t="shared" si="3"/>
        <v/>
      </c>
      <c r="L30" s="44" t="str">
        <f t="shared" si="4"/>
        <v/>
      </c>
      <c r="Q30" s="65">
        <v>632410563</v>
      </c>
      <c r="R30" s="64" t="s">
        <v>512</v>
      </c>
      <c r="S30" s="65">
        <v>563</v>
      </c>
      <c r="T30" s="64" t="s">
        <v>502</v>
      </c>
      <c r="U30" s="60">
        <v>632</v>
      </c>
    </row>
    <row r="31" spans="1:21" ht="15.75" customHeight="1">
      <c r="A31" s="66" t="str">
        <f>IF(E31="","",VLOOKUP('Opći dio'!$C$3,'Opći dio'!$L$6:$U$137,10,FALSE))</f>
        <v/>
      </c>
      <c r="B31" s="66" t="str">
        <f>IF(E31="","",VLOOKUP('Opći dio'!$C$3,'Opći dio'!$L$6:$U$137,9,FALSE))</f>
        <v/>
      </c>
      <c r="C31" s="55" t="str">
        <f t="shared" si="0"/>
        <v/>
      </c>
      <c r="D31" s="56" t="str">
        <f t="shared" si="1"/>
        <v/>
      </c>
      <c r="E31" s="61"/>
      <c r="F31" s="58" t="str">
        <f t="shared" si="2"/>
        <v/>
      </c>
      <c r="G31" s="59"/>
      <c r="H31" s="59"/>
      <c r="I31" s="59"/>
      <c r="K31" s="44" t="str">
        <f t="shared" si="3"/>
        <v/>
      </c>
      <c r="L31" s="44" t="str">
        <f t="shared" si="4"/>
        <v/>
      </c>
      <c r="Q31" s="65">
        <v>632410573</v>
      </c>
      <c r="R31" s="64" t="s">
        <v>526</v>
      </c>
      <c r="S31" s="65">
        <v>573</v>
      </c>
      <c r="T31" s="64" t="s">
        <v>504</v>
      </c>
      <c r="U31" s="60">
        <v>632</v>
      </c>
    </row>
    <row r="32" spans="1:21" ht="15.75" customHeight="1">
      <c r="A32" s="66" t="str">
        <f>IF(E32="","",VLOOKUP('Opći dio'!$C$3,'Opći dio'!$L$6:$U$137,10,FALSE))</f>
        <v/>
      </c>
      <c r="B32" s="66" t="str">
        <f>IF(E32="","",VLOOKUP('Opći dio'!$C$3,'Opći dio'!$L$6:$U$137,9,FALSE))</f>
        <v/>
      </c>
      <c r="C32" s="55" t="str">
        <f t="shared" si="0"/>
        <v/>
      </c>
      <c r="D32" s="56" t="str">
        <f t="shared" si="1"/>
        <v/>
      </c>
      <c r="E32" s="61"/>
      <c r="F32" s="58" t="str">
        <f t="shared" si="2"/>
        <v/>
      </c>
      <c r="G32" s="59"/>
      <c r="H32" s="59"/>
      <c r="I32" s="59"/>
      <c r="K32" s="44" t="str">
        <f t="shared" si="3"/>
        <v/>
      </c>
      <c r="L32" s="44" t="str">
        <f t="shared" si="4"/>
        <v/>
      </c>
      <c r="Q32" s="65">
        <v>632410575</v>
      </c>
      <c r="R32" s="64" t="s">
        <v>527</v>
      </c>
      <c r="S32" s="65">
        <v>575</v>
      </c>
      <c r="T32" s="64" t="s">
        <v>506</v>
      </c>
      <c r="U32" s="60">
        <v>632</v>
      </c>
    </row>
    <row r="33" spans="1:21" ht="15.75" customHeight="1">
      <c r="A33" s="66" t="str">
        <f>IF(E33="","",VLOOKUP('Opći dio'!$C$3,'Opći dio'!$L$6:$U$137,10,FALSE))</f>
        <v/>
      </c>
      <c r="B33" s="66" t="str">
        <f>IF(E33="","",VLOOKUP('Opći dio'!$C$3,'Opći dio'!$L$6:$U$137,9,FALSE))</f>
        <v/>
      </c>
      <c r="C33" s="55" t="str">
        <f t="shared" si="0"/>
        <v/>
      </c>
      <c r="D33" s="56" t="str">
        <f t="shared" si="1"/>
        <v/>
      </c>
      <c r="E33" s="61"/>
      <c r="F33" s="58" t="str">
        <f t="shared" si="2"/>
        <v/>
      </c>
      <c r="G33" s="59"/>
      <c r="H33" s="59"/>
      <c r="I33" s="59"/>
      <c r="K33" s="44" t="str">
        <f t="shared" si="3"/>
        <v/>
      </c>
      <c r="L33" s="44" t="str">
        <f t="shared" si="4"/>
        <v/>
      </c>
      <c r="Q33" s="65">
        <v>632415761</v>
      </c>
      <c r="R33" s="64" t="s">
        <v>528</v>
      </c>
      <c r="S33" s="65">
        <v>576</v>
      </c>
      <c r="T33" s="64" t="s">
        <v>519</v>
      </c>
      <c r="U33" s="60">
        <v>632</v>
      </c>
    </row>
    <row r="34" spans="1:21" ht="15.75" customHeight="1">
      <c r="A34" s="66" t="str">
        <f>IF(E34="","",VLOOKUP('Opći dio'!$C$3,'Opći dio'!$L$6:$U$137,10,FALSE))</f>
        <v/>
      </c>
      <c r="B34" s="66" t="str">
        <f>IF(E34="","",VLOOKUP('Opći dio'!$C$3,'Opći dio'!$L$6:$U$137,9,FALSE))</f>
        <v/>
      </c>
      <c r="C34" s="55" t="str">
        <f t="shared" si="0"/>
        <v/>
      </c>
      <c r="D34" s="56" t="str">
        <f t="shared" si="1"/>
        <v/>
      </c>
      <c r="E34" s="61"/>
      <c r="F34" s="58" t="str">
        <f t="shared" si="2"/>
        <v/>
      </c>
      <c r="G34" s="59"/>
      <c r="H34" s="59"/>
      <c r="I34" s="59"/>
      <c r="K34" s="44" t="str">
        <f t="shared" si="3"/>
        <v/>
      </c>
      <c r="L34" s="44" t="str">
        <f t="shared" si="4"/>
        <v/>
      </c>
      <c r="Q34" s="65">
        <v>632410581</v>
      </c>
      <c r="R34" s="64" t="s">
        <v>529</v>
      </c>
      <c r="S34" s="65">
        <v>581</v>
      </c>
      <c r="T34" s="64" t="s">
        <v>510</v>
      </c>
      <c r="U34" s="60">
        <v>632</v>
      </c>
    </row>
    <row r="35" spans="1:21" ht="15.75" customHeight="1">
      <c r="A35" s="66" t="str">
        <f>IF(E35="","",VLOOKUP('Opći dio'!$C$3,'Opći dio'!$L$6:$U$137,10,FALSE))</f>
        <v/>
      </c>
      <c r="B35" s="66" t="str">
        <f>IF(E35="","",VLOOKUP('Opći dio'!$C$3,'Opći dio'!$L$6:$U$137,9,FALSE))</f>
        <v/>
      </c>
      <c r="C35" s="55" t="str">
        <f t="shared" si="0"/>
        <v/>
      </c>
      <c r="D35" s="56" t="str">
        <f t="shared" si="1"/>
        <v/>
      </c>
      <c r="E35" s="61"/>
      <c r="F35" s="58" t="str">
        <f t="shared" si="2"/>
        <v/>
      </c>
      <c r="G35" s="59"/>
      <c r="H35" s="59"/>
      <c r="I35" s="59"/>
      <c r="K35" s="44" t="str">
        <f t="shared" si="3"/>
        <v/>
      </c>
      <c r="L35" s="44" t="str">
        <f t="shared" si="4"/>
        <v/>
      </c>
      <c r="Q35" s="65">
        <v>632411700</v>
      </c>
      <c r="R35" s="64" t="s">
        <v>530</v>
      </c>
      <c r="S35" s="65">
        <v>51</v>
      </c>
      <c r="T35" s="64" t="s">
        <v>522</v>
      </c>
      <c r="U35" s="60">
        <v>632</v>
      </c>
    </row>
    <row r="36" spans="1:21" ht="15.75" customHeight="1">
      <c r="A36" s="66" t="str">
        <f>IF(E36="","",VLOOKUP('Opći dio'!$C$3,'Opći dio'!$L$6:$U$137,10,FALSE))</f>
        <v/>
      </c>
      <c r="B36" s="66" t="str">
        <f>IF(E36="","",VLOOKUP('Opći dio'!$C$3,'Opći dio'!$L$6:$U$137,9,FALSE))</f>
        <v/>
      </c>
      <c r="C36" s="55" t="str">
        <f t="shared" si="0"/>
        <v/>
      </c>
      <c r="D36" s="56" t="str">
        <f t="shared" si="1"/>
        <v/>
      </c>
      <c r="E36" s="61"/>
      <c r="F36" s="58" t="str">
        <f t="shared" si="2"/>
        <v/>
      </c>
      <c r="G36" s="59"/>
      <c r="H36" s="59"/>
      <c r="I36" s="59"/>
      <c r="K36" s="44" t="str">
        <f t="shared" si="3"/>
        <v/>
      </c>
      <c r="L36" s="44" t="str">
        <f t="shared" si="4"/>
        <v/>
      </c>
      <c r="Q36" s="65">
        <v>6341</v>
      </c>
      <c r="R36" s="64" t="s">
        <v>531</v>
      </c>
      <c r="S36" s="65">
        <v>52</v>
      </c>
      <c r="T36" s="64" t="s">
        <v>495</v>
      </c>
      <c r="U36" s="60">
        <v>634</v>
      </c>
    </row>
    <row r="37" spans="1:21" ht="15.75" customHeight="1">
      <c r="A37" s="66" t="str">
        <f>IF(E37="","",VLOOKUP('Opći dio'!$C$3,'Opći dio'!$L$6:$U$137,10,FALSE))</f>
        <v/>
      </c>
      <c r="B37" s="66" t="str">
        <f>IF(E37="","",VLOOKUP('Opći dio'!$C$3,'Opći dio'!$L$6:$U$137,9,FALSE))</f>
        <v/>
      </c>
      <c r="C37" s="55" t="str">
        <f t="shared" si="0"/>
        <v/>
      </c>
      <c r="D37" s="56" t="str">
        <f t="shared" si="1"/>
        <v/>
      </c>
      <c r="E37" s="61"/>
      <c r="F37" s="58" t="str">
        <f t="shared" si="2"/>
        <v/>
      </c>
      <c r="G37" s="59"/>
      <c r="H37" s="59"/>
      <c r="I37" s="59"/>
      <c r="K37" s="44" t="str">
        <f t="shared" si="3"/>
        <v/>
      </c>
      <c r="L37" s="44" t="str">
        <f t="shared" si="4"/>
        <v/>
      </c>
      <c r="Q37" s="65">
        <v>6342</v>
      </c>
      <c r="R37" s="64" t="s">
        <v>532</v>
      </c>
      <c r="S37" s="65">
        <v>52</v>
      </c>
      <c r="T37" s="64" t="s">
        <v>495</v>
      </c>
      <c r="U37" s="60">
        <v>634</v>
      </c>
    </row>
    <row r="38" spans="1:21" ht="15.75" customHeight="1">
      <c r="A38" s="66" t="str">
        <f>IF(E38="","",VLOOKUP('Opći dio'!$C$3,'Opći dio'!$L$6:$U$137,10,FALSE))</f>
        <v/>
      </c>
      <c r="B38" s="66" t="str">
        <f>IF(E38="","",VLOOKUP('Opći dio'!$C$3,'Opći dio'!$L$6:$U$137,9,FALSE))</f>
        <v/>
      </c>
      <c r="C38" s="55" t="str">
        <f t="shared" si="0"/>
        <v/>
      </c>
      <c r="D38" s="56" t="str">
        <f t="shared" si="1"/>
        <v/>
      </c>
      <c r="E38" s="61"/>
      <c r="F38" s="58" t="str">
        <f t="shared" si="2"/>
        <v/>
      </c>
      <c r="G38" s="59"/>
      <c r="H38" s="59"/>
      <c r="I38" s="59"/>
      <c r="K38" s="44" t="str">
        <f t="shared" si="3"/>
        <v/>
      </c>
      <c r="L38" s="44" t="str">
        <f t="shared" si="4"/>
        <v/>
      </c>
      <c r="Q38" s="65">
        <v>6361</v>
      </c>
      <c r="R38" s="64" t="s">
        <v>533</v>
      </c>
      <c r="S38" s="65">
        <v>52</v>
      </c>
      <c r="T38" s="64" t="s">
        <v>495</v>
      </c>
      <c r="U38" s="60">
        <v>636</v>
      </c>
    </row>
    <row r="39" spans="1:21" ht="15.75" customHeight="1">
      <c r="A39" s="66" t="str">
        <f>IF(E39="","",VLOOKUP('Opći dio'!$C$3,'Opći dio'!$L$6:$U$137,10,FALSE))</f>
        <v/>
      </c>
      <c r="B39" s="66" t="str">
        <f>IF(E39="","",VLOOKUP('Opći dio'!$C$3,'Opći dio'!$L$6:$U$137,9,FALSE))</f>
        <v/>
      </c>
      <c r="C39" s="55" t="str">
        <f t="shared" si="0"/>
        <v/>
      </c>
      <c r="D39" s="56" t="str">
        <f t="shared" si="1"/>
        <v/>
      </c>
      <c r="E39" s="61"/>
      <c r="F39" s="58" t="str">
        <f t="shared" si="2"/>
        <v/>
      </c>
      <c r="G39" s="59"/>
      <c r="H39" s="59"/>
      <c r="I39" s="59"/>
      <c r="K39" s="44" t="str">
        <f t="shared" si="3"/>
        <v/>
      </c>
      <c r="L39" s="44" t="str">
        <f t="shared" si="4"/>
        <v/>
      </c>
      <c r="Q39" s="65">
        <v>6362</v>
      </c>
      <c r="R39" s="64" t="s">
        <v>534</v>
      </c>
      <c r="S39" s="65">
        <v>52</v>
      </c>
      <c r="T39" s="64" t="s">
        <v>495</v>
      </c>
      <c r="U39" s="60">
        <v>636</v>
      </c>
    </row>
    <row r="40" spans="1:21" ht="15.75" customHeight="1">
      <c r="A40" s="66" t="str">
        <f>IF(E40="","",VLOOKUP('Opći dio'!$C$3,'Opći dio'!$L$6:$U$137,10,FALSE))</f>
        <v/>
      </c>
      <c r="B40" s="66" t="str">
        <f>IF(E40="","",VLOOKUP('Opći dio'!$C$3,'Opći dio'!$L$6:$U$137,9,FALSE))</f>
        <v/>
      </c>
      <c r="C40" s="55" t="str">
        <f t="shared" si="0"/>
        <v/>
      </c>
      <c r="D40" s="56" t="str">
        <f t="shared" si="1"/>
        <v/>
      </c>
      <c r="E40" s="61"/>
      <c r="F40" s="58" t="str">
        <f t="shared" si="2"/>
        <v/>
      </c>
      <c r="G40" s="59"/>
      <c r="H40" s="59"/>
      <c r="I40" s="59"/>
      <c r="K40" s="44" t="str">
        <f t="shared" si="3"/>
        <v/>
      </c>
      <c r="L40" s="44" t="str">
        <f t="shared" si="4"/>
        <v/>
      </c>
      <c r="Q40" s="65">
        <v>6381</v>
      </c>
      <c r="R40" s="64" t="s">
        <v>535</v>
      </c>
      <c r="S40" s="65">
        <v>52</v>
      </c>
      <c r="T40" s="64" t="s">
        <v>495</v>
      </c>
      <c r="U40" s="60">
        <v>638</v>
      </c>
    </row>
    <row r="41" spans="1:21" ht="15.75" customHeight="1">
      <c r="A41" s="66" t="str">
        <f>IF(E41="","",VLOOKUP('Opći dio'!$C$3,'Opći dio'!$L$6:$U$137,10,FALSE))</f>
        <v/>
      </c>
      <c r="B41" s="66" t="str">
        <f>IF(E41="","",VLOOKUP('Opći dio'!$C$3,'Opći dio'!$L$6:$U$137,9,FALSE))</f>
        <v/>
      </c>
      <c r="C41" s="55" t="str">
        <f t="shared" si="0"/>
        <v/>
      </c>
      <c r="D41" s="56" t="str">
        <f t="shared" si="1"/>
        <v/>
      </c>
      <c r="E41" s="61"/>
      <c r="F41" s="58" t="str">
        <f t="shared" si="2"/>
        <v/>
      </c>
      <c r="G41" s="59"/>
      <c r="H41" s="59"/>
      <c r="I41" s="59"/>
      <c r="K41" s="44" t="str">
        <f t="shared" si="3"/>
        <v/>
      </c>
      <c r="L41" s="44" t="str">
        <f t="shared" si="4"/>
        <v/>
      </c>
      <c r="Q41" s="65">
        <v>6382</v>
      </c>
      <c r="R41" s="64" t="s">
        <v>536</v>
      </c>
      <c r="S41" s="65">
        <v>52</v>
      </c>
      <c r="T41" s="64" t="s">
        <v>495</v>
      </c>
      <c r="U41" s="60">
        <v>638</v>
      </c>
    </row>
    <row r="42" spans="1:21" ht="15.75" customHeight="1">
      <c r="A42" s="66" t="str">
        <f>IF(E42="","",VLOOKUP('Opći dio'!$C$3,'Opći dio'!$L$6:$U$137,10,FALSE))</f>
        <v/>
      </c>
      <c r="B42" s="66" t="str">
        <f>IF(E42="","",VLOOKUP('Opći dio'!$C$3,'Opći dio'!$L$6:$U$137,9,FALSE))</f>
        <v/>
      </c>
      <c r="C42" s="55" t="str">
        <f t="shared" si="0"/>
        <v/>
      </c>
      <c r="D42" s="56" t="str">
        <f t="shared" si="1"/>
        <v/>
      </c>
      <c r="E42" s="61"/>
      <c r="F42" s="58" t="str">
        <f t="shared" si="2"/>
        <v/>
      </c>
      <c r="G42" s="59"/>
      <c r="H42" s="59"/>
      <c r="I42" s="59"/>
      <c r="K42" s="44" t="str">
        <f t="shared" si="3"/>
        <v/>
      </c>
      <c r="L42" s="44" t="str">
        <f t="shared" si="4"/>
        <v/>
      </c>
      <c r="Q42" s="65">
        <v>6391</v>
      </c>
      <c r="R42" s="64" t="s">
        <v>537</v>
      </c>
      <c r="S42" s="65">
        <v>52</v>
      </c>
      <c r="T42" s="64" t="s">
        <v>495</v>
      </c>
      <c r="U42" s="60">
        <v>639</v>
      </c>
    </row>
    <row r="43" spans="1:21" ht="15.75" customHeight="1">
      <c r="A43" s="66" t="str">
        <f>IF(E43="","",VLOOKUP('Opći dio'!$C$3,'Opći dio'!$L$6:$U$137,10,FALSE))</f>
        <v/>
      </c>
      <c r="B43" s="66" t="str">
        <f>IF(E43="","",VLOOKUP('Opći dio'!$C$3,'Opći dio'!$L$6:$U$137,9,FALSE))</f>
        <v/>
      </c>
      <c r="C43" s="55" t="str">
        <f t="shared" si="0"/>
        <v/>
      </c>
      <c r="D43" s="56" t="str">
        <f t="shared" si="1"/>
        <v/>
      </c>
      <c r="E43" s="61"/>
      <c r="F43" s="58" t="str">
        <f t="shared" si="2"/>
        <v/>
      </c>
      <c r="G43" s="59"/>
      <c r="H43" s="59"/>
      <c r="I43" s="59"/>
      <c r="K43" s="44" t="str">
        <f t="shared" si="3"/>
        <v/>
      </c>
      <c r="L43" s="44" t="str">
        <f t="shared" si="4"/>
        <v/>
      </c>
      <c r="Q43" s="65">
        <v>6392</v>
      </c>
      <c r="R43" s="64" t="s">
        <v>538</v>
      </c>
      <c r="S43" s="65">
        <v>52</v>
      </c>
      <c r="T43" s="64" t="s">
        <v>495</v>
      </c>
      <c r="U43" s="60">
        <v>639</v>
      </c>
    </row>
    <row r="44" spans="1:21" ht="15.75" customHeight="1">
      <c r="A44" s="66" t="str">
        <f>IF(E44="","",VLOOKUP('Opći dio'!$C$3,'Opći dio'!$L$6:$U$137,10,FALSE))</f>
        <v/>
      </c>
      <c r="B44" s="66" t="str">
        <f>IF(E44="","",VLOOKUP('Opći dio'!$C$3,'Opći dio'!$L$6:$U$137,9,FALSE))</f>
        <v/>
      </c>
      <c r="C44" s="55" t="str">
        <f t="shared" si="0"/>
        <v/>
      </c>
      <c r="D44" s="56" t="str">
        <f t="shared" si="1"/>
        <v/>
      </c>
      <c r="E44" s="61"/>
      <c r="F44" s="58" t="str">
        <f t="shared" si="2"/>
        <v/>
      </c>
      <c r="G44" s="59"/>
      <c r="H44" s="59"/>
      <c r="I44" s="59"/>
      <c r="K44" s="44" t="str">
        <f t="shared" si="3"/>
        <v/>
      </c>
      <c r="L44" s="44" t="str">
        <f t="shared" si="4"/>
        <v/>
      </c>
      <c r="Q44" s="65">
        <v>6393</v>
      </c>
      <c r="R44" s="64" t="s">
        <v>539</v>
      </c>
      <c r="S44" s="65">
        <v>52</v>
      </c>
      <c r="T44" s="64" t="s">
        <v>495</v>
      </c>
      <c r="U44" s="60">
        <v>639</v>
      </c>
    </row>
    <row r="45" spans="1:21" ht="15.75" customHeight="1">
      <c r="A45" s="66" t="str">
        <f>IF(E45="","",VLOOKUP('Opći dio'!$C$3,'Opći dio'!$L$6:$U$137,10,FALSE))</f>
        <v/>
      </c>
      <c r="B45" s="66" t="str">
        <f>IF(E45="","",VLOOKUP('Opći dio'!$C$3,'Opći dio'!$L$6:$U$137,9,FALSE))</f>
        <v/>
      </c>
      <c r="C45" s="55" t="str">
        <f t="shared" si="0"/>
        <v/>
      </c>
      <c r="D45" s="56" t="str">
        <f t="shared" si="1"/>
        <v/>
      </c>
      <c r="E45" s="61"/>
      <c r="F45" s="58" t="str">
        <f t="shared" si="2"/>
        <v/>
      </c>
      <c r="G45" s="59"/>
      <c r="H45" s="59"/>
      <c r="I45" s="59"/>
      <c r="K45" s="44" t="str">
        <f t="shared" si="3"/>
        <v/>
      </c>
      <c r="L45" s="44" t="str">
        <f t="shared" si="4"/>
        <v/>
      </c>
      <c r="Q45" s="65">
        <v>6394</v>
      </c>
      <c r="R45" s="64" t="s">
        <v>540</v>
      </c>
      <c r="S45" s="65">
        <v>52</v>
      </c>
      <c r="T45" s="64" t="s">
        <v>495</v>
      </c>
      <c r="U45" s="60">
        <v>639</v>
      </c>
    </row>
    <row r="46" spans="1:21" ht="15.75" customHeight="1">
      <c r="A46" s="66" t="str">
        <f>IF(E46="","",VLOOKUP('Opći dio'!$C$3,'Opći dio'!$L$6:$U$137,10,FALSE))</f>
        <v/>
      </c>
      <c r="B46" s="66" t="str">
        <f>IF(E46="","",VLOOKUP('Opći dio'!$C$3,'Opći dio'!$L$6:$U$137,9,FALSE))</f>
        <v/>
      </c>
      <c r="C46" s="55" t="str">
        <f t="shared" si="0"/>
        <v/>
      </c>
      <c r="D46" s="56" t="str">
        <f t="shared" si="1"/>
        <v/>
      </c>
      <c r="E46" s="61"/>
      <c r="F46" s="58" t="str">
        <f t="shared" si="2"/>
        <v/>
      </c>
      <c r="G46" s="59"/>
      <c r="H46" s="59"/>
      <c r="I46" s="59"/>
      <c r="K46" s="44" t="str">
        <f t="shared" si="3"/>
        <v/>
      </c>
      <c r="L46" s="44" t="str">
        <f t="shared" si="4"/>
        <v/>
      </c>
      <c r="Q46" s="65">
        <v>641290031</v>
      </c>
      <c r="R46" s="64" t="s">
        <v>541</v>
      </c>
      <c r="S46" s="65">
        <v>31</v>
      </c>
      <c r="T46" s="64" t="s">
        <v>485</v>
      </c>
      <c r="U46" s="60">
        <v>641</v>
      </c>
    </row>
    <row r="47" spans="1:21" ht="15.75" customHeight="1">
      <c r="A47" s="66" t="str">
        <f>IF(E47="","",VLOOKUP('Opći dio'!$C$3,'Opći dio'!$L$6:$U$137,10,FALSE))</f>
        <v/>
      </c>
      <c r="B47" s="66" t="str">
        <f>IF(E47="","",VLOOKUP('Opći dio'!$C$3,'Opći dio'!$L$6:$U$137,9,FALSE))</f>
        <v/>
      </c>
      <c r="C47" s="55" t="str">
        <f t="shared" si="0"/>
        <v/>
      </c>
      <c r="D47" s="56" t="str">
        <f t="shared" si="1"/>
        <v/>
      </c>
      <c r="E47" s="61"/>
      <c r="F47" s="58" t="str">
        <f t="shared" si="2"/>
        <v/>
      </c>
      <c r="G47" s="59"/>
      <c r="H47" s="59"/>
      <c r="I47" s="59"/>
      <c r="K47" s="44" t="str">
        <f t="shared" si="3"/>
        <v/>
      </c>
      <c r="L47" s="44" t="str">
        <f t="shared" si="4"/>
        <v/>
      </c>
      <c r="Q47" s="65">
        <v>641310031</v>
      </c>
      <c r="R47" s="64" t="s">
        <v>542</v>
      </c>
      <c r="S47" s="65">
        <v>31</v>
      </c>
      <c r="T47" s="64" t="s">
        <v>485</v>
      </c>
      <c r="U47" s="60">
        <v>641</v>
      </c>
    </row>
    <row r="48" spans="1:21" ht="15.75" customHeight="1">
      <c r="A48" s="66" t="str">
        <f>IF(E48="","",VLOOKUP('Opći dio'!$C$3,'Opći dio'!$L$6:$U$137,10,FALSE))</f>
        <v/>
      </c>
      <c r="B48" s="66" t="str">
        <f>IF(E48="","",VLOOKUP('Opći dio'!$C$3,'Opći dio'!$L$6:$U$137,9,FALSE))</f>
        <v/>
      </c>
      <c r="C48" s="55" t="str">
        <f t="shared" si="0"/>
        <v/>
      </c>
      <c r="D48" s="56" t="str">
        <f t="shared" si="1"/>
        <v/>
      </c>
      <c r="E48" s="61"/>
      <c r="F48" s="58" t="str">
        <f t="shared" si="2"/>
        <v/>
      </c>
      <c r="G48" s="59"/>
      <c r="H48" s="59"/>
      <c r="I48" s="59"/>
      <c r="K48" s="44" t="str">
        <f t="shared" si="3"/>
        <v/>
      </c>
      <c r="L48" s="44" t="str">
        <f t="shared" si="4"/>
        <v/>
      </c>
      <c r="Q48" s="65">
        <v>641320031</v>
      </c>
      <c r="R48" s="64" t="s">
        <v>543</v>
      </c>
      <c r="S48" s="65">
        <v>31</v>
      </c>
      <c r="T48" s="64" t="s">
        <v>485</v>
      </c>
      <c r="U48" s="60">
        <v>641</v>
      </c>
    </row>
    <row r="49" spans="1:21" ht="15.75" customHeight="1">
      <c r="A49" s="66" t="str">
        <f>IF(E49="","",VLOOKUP('Opći dio'!$C$3,'Opći dio'!$L$6:$U$137,10,FALSE))</f>
        <v/>
      </c>
      <c r="B49" s="66" t="str">
        <f>IF(E49="","",VLOOKUP('Opći dio'!$C$3,'Opći dio'!$L$6:$U$137,9,FALSE))</f>
        <v/>
      </c>
      <c r="C49" s="55" t="str">
        <f t="shared" si="0"/>
        <v/>
      </c>
      <c r="D49" s="56" t="str">
        <f t="shared" si="1"/>
        <v/>
      </c>
      <c r="E49" s="61"/>
      <c r="F49" s="58" t="str">
        <f t="shared" si="2"/>
        <v/>
      </c>
      <c r="G49" s="59"/>
      <c r="H49" s="59"/>
      <c r="I49" s="59"/>
      <c r="K49" s="44" t="str">
        <f t="shared" si="3"/>
        <v/>
      </c>
      <c r="L49" s="44" t="str">
        <f t="shared" si="4"/>
        <v/>
      </c>
      <c r="Q49" s="65">
        <v>641320043</v>
      </c>
      <c r="R49" s="64" t="s">
        <v>544</v>
      </c>
      <c r="S49" s="65">
        <v>43</v>
      </c>
      <c r="T49" s="64" t="s">
        <v>489</v>
      </c>
      <c r="U49" s="60">
        <v>641</v>
      </c>
    </row>
    <row r="50" spans="1:21" ht="15.75" customHeight="1">
      <c r="A50" s="66" t="str">
        <f>IF(E50="","",VLOOKUP('Opći dio'!$C$3,'Opći dio'!$L$6:$U$137,10,FALSE))</f>
        <v/>
      </c>
      <c r="B50" s="66" t="str">
        <f>IF(E50="","",VLOOKUP('Opći dio'!$C$3,'Opći dio'!$L$6:$U$137,9,FALSE))</f>
        <v/>
      </c>
      <c r="C50" s="55" t="str">
        <f t="shared" si="0"/>
        <v/>
      </c>
      <c r="D50" s="56" t="str">
        <f t="shared" si="1"/>
        <v/>
      </c>
      <c r="E50" s="61"/>
      <c r="F50" s="58" t="str">
        <f t="shared" si="2"/>
        <v/>
      </c>
      <c r="G50" s="59"/>
      <c r="H50" s="59"/>
      <c r="I50" s="59"/>
      <c r="K50" s="44" t="str">
        <f t="shared" si="3"/>
        <v/>
      </c>
      <c r="L50" s="44" t="str">
        <f t="shared" si="4"/>
        <v/>
      </c>
      <c r="Q50" s="65">
        <v>641510031</v>
      </c>
      <c r="R50" s="64" t="s">
        <v>545</v>
      </c>
      <c r="S50" s="65">
        <v>31</v>
      </c>
      <c r="T50" s="64" t="s">
        <v>485</v>
      </c>
      <c r="U50" s="60">
        <v>641</v>
      </c>
    </row>
    <row r="51" spans="1:21" ht="15.75" customHeight="1">
      <c r="A51" s="66" t="str">
        <f>IF(E51="","",VLOOKUP('Opći dio'!$C$3,'Opći dio'!$L$6:$U$137,10,FALSE))</f>
        <v/>
      </c>
      <c r="B51" s="66" t="str">
        <f>IF(E51="","",VLOOKUP('Opći dio'!$C$3,'Opći dio'!$L$6:$U$137,9,FALSE))</f>
        <v/>
      </c>
      <c r="C51" s="55" t="str">
        <f t="shared" si="0"/>
        <v/>
      </c>
      <c r="D51" s="56" t="str">
        <f t="shared" si="1"/>
        <v/>
      </c>
      <c r="E51" s="61"/>
      <c r="F51" s="58" t="str">
        <f t="shared" si="2"/>
        <v/>
      </c>
      <c r="G51" s="59"/>
      <c r="H51" s="59"/>
      <c r="I51" s="59"/>
      <c r="K51" s="44" t="str">
        <f t="shared" si="3"/>
        <v/>
      </c>
      <c r="L51" s="44" t="str">
        <f t="shared" si="4"/>
        <v/>
      </c>
      <c r="Q51" s="65">
        <v>641510043</v>
      </c>
      <c r="R51" s="64" t="s">
        <v>546</v>
      </c>
      <c r="S51" s="65">
        <v>43</v>
      </c>
      <c r="T51" s="64" t="s">
        <v>489</v>
      </c>
      <c r="U51" s="60">
        <v>641</v>
      </c>
    </row>
    <row r="52" spans="1:21" ht="15.75" customHeight="1">
      <c r="A52" s="66" t="str">
        <f>IF(E52="","",VLOOKUP('Opći dio'!$C$3,'Opći dio'!$L$6:$U$137,10,FALSE))</f>
        <v/>
      </c>
      <c r="B52" s="66" t="str">
        <f>IF(E52="","",VLOOKUP('Opći dio'!$C$3,'Opći dio'!$L$6:$U$137,9,FALSE))</f>
        <v/>
      </c>
      <c r="C52" s="55" t="str">
        <f t="shared" si="0"/>
        <v/>
      </c>
      <c r="D52" s="56" t="str">
        <f t="shared" si="1"/>
        <v/>
      </c>
      <c r="E52" s="61"/>
      <c r="F52" s="58" t="str">
        <f t="shared" si="2"/>
        <v/>
      </c>
      <c r="G52" s="59"/>
      <c r="H52" s="59"/>
      <c r="I52" s="59"/>
      <c r="K52" s="44" t="str">
        <f t="shared" si="3"/>
        <v/>
      </c>
      <c r="L52" s="44" t="str">
        <f t="shared" si="4"/>
        <v/>
      </c>
      <c r="Q52" s="65">
        <v>641630031</v>
      </c>
      <c r="R52" s="64" t="s">
        <v>547</v>
      </c>
      <c r="S52" s="65">
        <v>31</v>
      </c>
      <c r="T52" s="64" t="s">
        <v>485</v>
      </c>
      <c r="U52" s="60">
        <v>641</v>
      </c>
    </row>
    <row r="53" spans="1:21" ht="15.75" customHeight="1">
      <c r="A53" s="66" t="str">
        <f>IF(E53="","",VLOOKUP('Opći dio'!$C$3,'Opći dio'!$L$6:$U$137,10,FALSE))</f>
        <v/>
      </c>
      <c r="B53" s="66" t="str">
        <f>IF(E53="","",VLOOKUP('Opći dio'!$C$3,'Opći dio'!$L$6:$U$137,9,FALSE))</f>
        <v/>
      </c>
      <c r="C53" s="55" t="str">
        <f t="shared" si="0"/>
        <v/>
      </c>
      <c r="D53" s="56" t="str">
        <f t="shared" si="1"/>
        <v/>
      </c>
      <c r="E53" s="61"/>
      <c r="F53" s="58" t="str">
        <f t="shared" si="2"/>
        <v/>
      </c>
      <c r="G53" s="59"/>
      <c r="H53" s="59"/>
      <c r="I53" s="59"/>
      <c r="K53" s="44" t="str">
        <f t="shared" si="3"/>
        <v/>
      </c>
      <c r="L53" s="44" t="str">
        <f t="shared" si="4"/>
        <v/>
      </c>
      <c r="Q53" s="65">
        <v>641720043</v>
      </c>
      <c r="R53" s="64" t="s">
        <v>548</v>
      </c>
      <c r="S53" s="65">
        <v>43</v>
      </c>
      <c r="T53" s="64" t="s">
        <v>489</v>
      </c>
      <c r="U53" s="60">
        <v>641</v>
      </c>
    </row>
    <row r="54" spans="1:21" ht="15.75" customHeight="1">
      <c r="A54" s="66" t="str">
        <f>IF(E54="","",VLOOKUP('Opći dio'!$C$3,'Opći dio'!$L$6:$U$137,10,FALSE))</f>
        <v/>
      </c>
      <c r="B54" s="66" t="str">
        <f>IF(E54="","",VLOOKUP('Opći dio'!$C$3,'Opći dio'!$L$6:$U$137,9,FALSE))</f>
        <v/>
      </c>
      <c r="C54" s="55" t="str">
        <f t="shared" si="0"/>
        <v/>
      </c>
      <c r="D54" s="56" t="str">
        <f t="shared" si="1"/>
        <v/>
      </c>
      <c r="E54" s="61"/>
      <c r="F54" s="58" t="str">
        <f t="shared" si="2"/>
        <v/>
      </c>
      <c r="G54" s="59"/>
      <c r="H54" s="59"/>
      <c r="I54" s="59"/>
      <c r="K54" s="44" t="str">
        <f t="shared" si="3"/>
        <v/>
      </c>
      <c r="L54" s="44" t="str">
        <f t="shared" si="4"/>
        <v/>
      </c>
      <c r="Q54" s="65">
        <v>641770041</v>
      </c>
      <c r="R54" s="64" t="s">
        <v>549</v>
      </c>
      <c r="S54" s="65">
        <v>41</v>
      </c>
      <c r="T54" s="64" t="s">
        <v>487</v>
      </c>
      <c r="U54" s="60">
        <v>641</v>
      </c>
    </row>
    <row r="55" spans="1:21" ht="15.75" customHeight="1">
      <c r="A55" s="66" t="str">
        <f>IF(E55="","",VLOOKUP('Opći dio'!$C$3,'Opći dio'!$L$6:$U$137,10,FALSE))</f>
        <v/>
      </c>
      <c r="B55" s="66" t="str">
        <f>IF(E55="","",VLOOKUP('Opći dio'!$C$3,'Opći dio'!$L$6:$U$137,9,FALSE))</f>
        <v/>
      </c>
      <c r="C55" s="55" t="str">
        <f t="shared" si="0"/>
        <v/>
      </c>
      <c r="D55" s="56" t="str">
        <f t="shared" si="1"/>
        <v/>
      </c>
      <c r="E55" s="61"/>
      <c r="F55" s="58" t="str">
        <f t="shared" si="2"/>
        <v/>
      </c>
      <c r="G55" s="59"/>
      <c r="H55" s="59"/>
      <c r="I55" s="59"/>
      <c r="K55" s="44" t="str">
        <f t="shared" si="3"/>
        <v/>
      </c>
      <c r="L55" s="44" t="str">
        <f t="shared" si="4"/>
        <v/>
      </c>
      <c r="Q55" s="65">
        <v>641990043</v>
      </c>
      <c r="R55" s="64" t="s">
        <v>550</v>
      </c>
      <c r="S55" s="65">
        <v>43</v>
      </c>
      <c r="T55" s="64" t="s">
        <v>489</v>
      </c>
      <c r="U55" s="60">
        <v>641</v>
      </c>
    </row>
    <row r="56" spans="1:21" ht="15.75" customHeight="1">
      <c r="A56" s="66" t="str">
        <f>IF(E56="","",VLOOKUP('Opći dio'!$C$3,'Opći dio'!$L$6:$U$137,10,FALSE))</f>
        <v/>
      </c>
      <c r="B56" s="66" t="str">
        <f>IF(E56="","",VLOOKUP('Opći dio'!$C$3,'Opći dio'!$L$6:$U$137,9,FALSE))</f>
        <v/>
      </c>
      <c r="C56" s="55" t="str">
        <f t="shared" si="0"/>
        <v/>
      </c>
      <c r="D56" s="56" t="str">
        <f t="shared" si="1"/>
        <v/>
      </c>
      <c r="E56" s="61"/>
      <c r="F56" s="58" t="str">
        <f t="shared" si="2"/>
        <v/>
      </c>
      <c r="G56" s="59"/>
      <c r="H56" s="59"/>
      <c r="I56" s="59"/>
      <c r="K56" s="44" t="str">
        <f t="shared" si="3"/>
        <v/>
      </c>
      <c r="L56" s="44" t="str">
        <f t="shared" si="4"/>
        <v/>
      </c>
      <c r="Q56" s="65">
        <v>642510031</v>
      </c>
      <c r="R56" s="64" t="s">
        <v>551</v>
      </c>
      <c r="S56" s="65">
        <v>31</v>
      </c>
      <c r="T56" s="64" t="s">
        <v>485</v>
      </c>
      <c r="U56" s="60">
        <v>642</v>
      </c>
    </row>
    <row r="57" spans="1:21" ht="15.75" customHeight="1">
      <c r="A57" s="66" t="str">
        <f>IF(E57="","",VLOOKUP('Opći dio'!$C$3,'Opći dio'!$L$6:$U$137,10,FALSE))</f>
        <v/>
      </c>
      <c r="B57" s="66" t="str">
        <f>IF(E57="","",VLOOKUP('Opći dio'!$C$3,'Opći dio'!$L$6:$U$137,9,FALSE))</f>
        <v/>
      </c>
      <c r="C57" s="55" t="str">
        <f t="shared" si="0"/>
        <v/>
      </c>
      <c r="D57" s="56" t="str">
        <f t="shared" si="1"/>
        <v/>
      </c>
      <c r="E57" s="61"/>
      <c r="F57" s="58" t="str">
        <f t="shared" si="2"/>
        <v/>
      </c>
      <c r="G57" s="59"/>
      <c r="H57" s="59"/>
      <c r="I57" s="59"/>
      <c r="K57" s="44" t="str">
        <f t="shared" si="3"/>
        <v/>
      </c>
      <c r="L57" s="44" t="str">
        <f t="shared" si="4"/>
        <v/>
      </c>
      <c r="Q57" s="65">
        <v>642990031</v>
      </c>
      <c r="R57" s="64" t="s">
        <v>552</v>
      </c>
      <c r="S57" s="65">
        <v>31</v>
      </c>
      <c r="T57" s="64" t="s">
        <v>485</v>
      </c>
      <c r="U57" s="60">
        <v>642</v>
      </c>
    </row>
    <row r="58" spans="1:21" ht="15.75" customHeight="1">
      <c r="A58" s="66" t="str">
        <f>IF(E58="","",VLOOKUP('Opći dio'!$C$3,'Opći dio'!$L$6:$U$137,10,FALSE))</f>
        <v/>
      </c>
      <c r="B58" s="66" t="str">
        <f>IF(E58="","",VLOOKUP('Opći dio'!$C$3,'Opći dio'!$L$6:$U$137,9,FALSE))</f>
        <v/>
      </c>
      <c r="C58" s="55" t="str">
        <f t="shared" si="0"/>
        <v/>
      </c>
      <c r="D58" s="56" t="str">
        <f t="shared" si="1"/>
        <v/>
      </c>
      <c r="E58" s="61"/>
      <c r="F58" s="58" t="str">
        <f t="shared" si="2"/>
        <v/>
      </c>
      <c r="G58" s="59"/>
      <c r="H58" s="59"/>
      <c r="I58" s="59"/>
      <c r="K58" s="44" t="str">
        <f t="shared" si="3"/>
        <v/>
      </c>
      <c r="L58" s="44" t="str">
        <f t="shared" si="4"/>
        <v/>
      </c>
      <c r="Q58" s="65">
        <v>65148</v>
      </c>
      <c r="R58" s="64" t="s">
        <v>553</v>
      </c>
      <c r="S58" s="65">
        <v>43</v>
      </c>
      <c r="T58" s="64" t="s">
        <v>489</v>
      </c>
      <c r="U58" s="60">
        <v>651</v>
      </c>
    </row>
    <row r="59" spans="1:21" ht="15.75" customHeight="1">
      <c r="A59" s="66" t="str">
        <f>IF(E59="","",VLOOKUP('Opći dio'!$C$3,'Opći dio'!$L$6:$U$137,10,FALSE))</f>
        <v/>
      </c>
      <c r="B59" s="66" t="str">
        <f>IF(E59="","",VLOOKUP('Opći dio'!$C$3,'Opći dio'!$L$6:$U$137,9,FALSE))</f>
        <v/>
      </c>
      <c r="C59" s="55" t="str">
        <f t="shared" si="0"/>
        <v/>
      </c>
      <c r="D59" s="56" t="str">
        <f t="shared" si="1"/>
        <v/>
      </c>
      <c r="E59" s="61"/>
      <c r="F59" s="58" t="str">
        <f t="shared" si="2"/>
        <v/>
      </c>
      <c r="G59" s="59"/>
      <c r="H59" s="59"/>
      <c r="I59" s="59"/>
      <c r="K59" s="44" t="str">
        <f t="shared" si="3"/>
        <v/>
      </c>
      <c r="L59" s="44" t="str">
        <f t="shared" si="4"/>
        <v/>
      </c>
      <c r="Q59" s="65">
        <v>65218</v>
      </c>
      <c r="R59" s="64" t="s">
        <v>554</v>
      </c>
      <c r="S59" s="65">
        <v>43</v>
      </c>
      <c r="T59" s="64" t="s">
        <v>489</v>
      </c>
      <c r="U59" s="60">
        <v>652</v>
      </c>
    </row>
    <row r="60" spans="1:21" ht="15.75" customHeight="1">
      <c r="A60" s="66" t="str">
        <f>IF(E60="","",VLOOKUP('Opći dio'!$C$3,'Opći dio'!$L$6:$U$137,10,FALSE))</f>
        <v/>
      </c>
      <c r="B60" s="66" t="str">
        <f>IF(E60="","",VLOOKUP('Opći dio'!$C$3,'Opći dio'!$L$6:$U$137,9,FALSE))</f>
        <v/>
      </c>
      <c r="C60" s="55" t="str">
        <f t="shared" si="0"/>
        <v/>
      </c>
      <c r="D60" s="56" t="str">
        <f t="shared" si="1"/>
        <v/>
      </c>
      <c r="E60" s="61"/>
      <c r="F60" s="58" t="str">
        <f t="shared" si="2"/>
        <v/>
      </c>
      <c r="G60" s="59"/>
      <c r="H60" s="59"/>
      <c r="I60" s="59"/>
      <c r="K60" s="44" t="str">
        <f t="shared" si="3"/>
        <v/>
      </c>
      <c r="L60" s="44" t="str">
        <f t="shared" si="4"/>
        <v/>
      </c>
      <c r="Q60" s="65">
        <v>65264</v>
      </c>
      <c r="R60" s="64" t="s">
        <v>555</v>
      </c>
      <c r="S60" s="65">
        <v>43</v>
      </c>
      <c r="T60" s="64" t="s">
        <v>489</v>
      </c>
      <c r="U60" s="60">
        <v>652</v>
      </c>
    </row>
    <row r="61" spans="1:21" ht="15.75" customHeight="1">
      <c r="A61" s="66" t="str">
        <f>IF(E61="","",VLOOKUP('Opći dio'!$C$3,'Opći dio'!$L$6:$U$137,10,FALSE))</f>
        <v/>
      </c>
      <c r="B61" s="66" t="str">
        <f>IF(E61="","",VLOOKUP('Opći dio'!$C$3,'Opći dio'!$L$6:$U$137,9,FALSE))</f>
        <v/>
      </c>
      <c r="C61" s="55" t="str">
        <f t="shared" si="0"/>
        <v/>
      </c>
      <c r="D61" s="56" t="str">
        <f t="shared" si="1"/>
        <v/>
      </c>
      <c r="E61" s="61"/>
      <c r="F61" s="58" t="str">
        <f t="shared" si="2"/>
        <v/>
      </c>
      <c r="G61" s="59"/>
      <c r="H61" s="59"/>
      <c r="I61" s="59"/>
      <c r="K61" s="44" t="str">
        <f t="shared" si="3"/>
        <v/>
      </c>
      <c r="L61" s="44" t="str">
        <f t="shared" si="4"/>
        <v/>
      </c>
      <c r="Q61" s="65">
        <v>652670043</v>
      </c>
      <c r="R61" s="64" t="s">
        <v>556</v>
      </c>
      <c r="S61" s="65">
        <v>43</v>
      </c>
      <c r="T61" s="64" t="s">
        <v>489</v>
      </c>
      <c r="U61" s="60">
        <v>652</v>
      </c>
    </row>
    <row r="62" spans="1:21" ht="15.75" customHeight="1">
      <c r="A62" s="66" t="str">
        <f>IF(E62="","",VLOOKUP('Opći dio'!$C$3,'Opći dio'!$L$6:$U$137,10,FALSE))</f>
        <v/>
      </c>
      <c r="B62" s="66" t="str">
        <f>IF(E62="","",VLOOKUP('Opći dio'!$C$3,'Opći dio'!$L$6:$U$137,9,FALSE))</f>
        <v/>
      </c>
      <c r="C62" s="55" t="str">
        <f t="shared" si="0"/>
        <v/>
      </c>
      <c r="D62" s="56" t="str">
        <f t="shared" si="1"/>
        <v/>
      </c>
      <c r="E62" s="61"/>
      <c r="F62" s="58" t="str">
        <f t="shared" si="2"/>
        <v/>
      </c>
      <c r="G62" s="59"/>
      <c r="H62" s="59"/>
      <c r="I62" s="59"/>
      <c r="K62" s="44" t="str">
        <f t="shared" si="3"/>
        <v/>
      </c>
      <c r="L62" s="44" t="str">
        <f t="shared" si="4"/>
        <v/>
      </c>
      <c r="Q62" s="65">
        <v>652670071</v>
      </c>
      <c r="R62" s="64" t="s">
        <v>557</v>
      </c>
      <c r="S62" s="65">
        <v>71</v>
      </c>
      <c r="T62" s="64" t="s">
        <v>513</v>
      </c>
      <c r="U62" s="60">
        <v>652</v>
      </c>
    </row>
    <row r="63" spans="1:21" ht="15.75" customHeight="1">
      <c r="A63" s="66" t="str">
        <f>IF(E63="","",VLOOKUP('Opći dio'!$C$3,'Opći dio'!$L$6:$U$137,10,FALSE))</f>
        <v/>
      </c>
      <c r="B63" s="66" t="str">
        <f>IF(E63="","",VLOOKUP('Opći dio'!$C$3,'Opći dio'!$L$6:$U$137,9,FALSE))</f>
        <v/>
      </c>
      <c r="C63" s="55" t="str">
        <f t="shared" si="0"/>
        <v/>
      </c>
      <c r="D63" s="56" t="str">
        <f t="shared" si="1"/>
        <v/>
      </c>
      <c r="E63" s="61"/>
      <c r="F63" s="58" t="str">
        <f t="shared" si="2"/>
        <v/>
      </c>
      <c r="G63" s="59"/>
      <c r="H63" s="59"/>
      <c r="I63" s="59"/>
      <c r="K63" s="44" t="str">
        <f t="shared" si="3"/>
        <v/>
      </c>
      <c r="L63" s="44" t="str">
        <f t="shared" si="4"/>
        <v/>
      </c>
      <c r="Q63" s="65">
        <v>65268</v>
      </c>
      <c r="R63" s="64" t="s">
        <v>558</v>
      </c>
      <c r="S63" s="65">
        <v>43</v>
      </c>
      <c r="T63" s="64" t="s">
        <v>489</v>
      </c>
      <c r="U63" s="60">
        <v>652</v>
      </c>
    </row>
    <row r="64" spans="1:21" ht="15.75" customHeight="1">
      <c r="A64" s="66" t="str">
        <f>IF(E64="","",VLOOKUP('Opći dio'!$C$3,'Opći dio'!$L$6:$U$137,10,FALSE))</f>
        <v/>
      </c>
      <c r="B64" s="66" t="str">
        <f>IF(E64="","",VLOOKUP('Opći dio'!$C$3,'Opći dio'!$L$6:$U$137,9,FALSE))</f>
        <v/>
      </c>
      <c r="C64" s="55" t="str">
        <f t="shared" si="0"/>
        <v/>
      </c>
      <c r="D64" s="56" t="str">
        <f t="shared" si="1"/>
        <v/>
      </c>
      <c r="E64" s="61"/>
      <c r="F64" s="58" t="str">
        <f t="shared" si="2"/>
        <v/>
      </c>
      <c r="G64" s="59"/>
      <c r="H64" s="59"/>
      <c r="I64" s="59"/>
      <c r="K64" s="44" t="str">
        <f t="shared" si="3"/>
        <v/>
      </c>
      <c r="L64" s="44" t="str">
        <f t="shared" si="4"/>
        <v/>
      </c>
      <c r="Q64" s="65">
        <v>6614</v>
      </c>
      <c r="R64" s="64" t="s">
        <v>559</v>
      </c>
      <c r="S64" s="65">
        <v>31</v>
      </c>
      <c r="T64" s="64" t="s">
        <v>485</v>
      </c>
      <c r="U64" s="60">
        <v>661</v>
      </c>
    </row>
    <row r="65" spans="1:21" ht="15.75" customHeight="1">
      <c r="A65" s="66" t="str">
        <f>IF(E65="","",VLOOKUP('Opći dio'!$C$3,'Opći dio'!$L$6:$U$137,10,FALSE))</f>
        <v/>
      </c>
      <c r="B65" s="66" t="str">
        <f>IF(E65="","",VLOOKUP('Opći dio'!$C$3,'Opći dio'!$L$6:$U$137,9,FALSE))</f>
        <v/>
      </c>
      <c r="C65" s="55" t="str">
        <f t="shared" si="0"/>
        <v/>
      </c>
      <c r="D65" s="56" t="str">
        <f t="shared" si="1"/>
        <v/>
      </c>
      <c r="E65" s="61"/>
      <c r="F65" s="58" t="str">
        <f t="shared" si="2"/>
        <v/>
      </c>
      <c r="G65" s="59"/>
      <c r="H65" s="59"/>
      <c r="I65" s="59"/>
      <c r="K65" s="44" t="str">
        <f t="shared" si="3"/>
        <v/>
      </c>
      <c r="L65" s="44" t="str">
        <f t="shared" si="4"/>
        <v/>
      </c>
      <c r="Q65" s="65">
        <v>6615</v>
      </c>
      <c r="R65" s="64" t="s">
        <v>560</v>
      </c>
      <c r="S65" s="65">
        <v>31</v>
      </c>
      <c r="T65" s="64" t="s">
        <v>485</v>
      </c>
      <c r="U65" s="60">
        <v>661</v>
      </c>
    </row>
    <row r="66" spans="1:21" ht="15.75" customHeight="1">
      <c r="A66" s="66" t="str">
        <f>IF(E66="","",VLOOKUP('Opći dio'!$C$3,'Opći dio'!$L$6:$U$137,10,FALSE))</f>
        <v/>
      </c>
      <c r="B66" s="66" t="str">
        <f>IF(E66="","",VLOOKUP('Opći dio'!$C$3,'Opći dio'!$L$6:$U$137,9,FALSE))</f>
        <v/>
      </c>
      <c r="C66" s="55" t="str">
        <f t="shared" si="0"/>
        <v/>
      </c>
      <c r="D66" s="56" t="str">
        <f t="shared" si="1"/>
        <v/>
      </c>
      <c r="E66" s="61"/>
      <c r="F66" s="58" t="str">
        <f t="shared" si="2"/>
        <v/>
      </c>
      <c r="G66" s="59"/>
      <c r="H66" s="59"/>
      <c r="I66" s="59"/>
      <c r="K66" s="44" t="str">
        <f t="shared" si="3"/>
        <v/>
      </c>
      <c r="L66" s="44" t="str">
        <f t="shared" si="4"/>
        <v/>
      </c>
      <c r="Q66" s="65">
        <v>663110000</v>
      </c>
      <c r="R66" s="64" t="s">
        <v>561</v>
      </c>
      <c r="S66" s="65">
        <v>61</v>
      </c>
      <c r="T66" s="64" t="s">
        <v>562</v>
      </c>
      <c r="U66" s="60">
        <v>663</v>
      </c>
    </row>
    <row r="67" spans="1:21" ht="15.75" customHeight="1">
      <c r="A67" s="66" t="str">
        <f>IF(E67="","",VLOOKUP('Opći dio'!$C$3,'Opći dio'!$L$6:$U$137,10,FALSE))</f>
        <v/>
      </c>
      <c r="B67" s="66" t="str">
        <f>IF(E67="","",VLOOKUP('Opći dio'!$C$3,'Opći dio'!$L$6:$U$137,9,FALSE))</f>
        <v/>
      </c>
      <c r="C67" s="55" t="str">
        <f t="shared" ref="C67:C130" si="5">IFERROR(VLOOKUP(E67,$Q$6:$T$104,3,FALSE),"")</f>
        <v/>
      </c>
      <c r="D67" s="56" t="str">
        <f t="shared" ref="D67:D130" si="6">IFERROR(VLOOKUP(E67,$Q$6:$T$104,4,FALSE),"")</f>
        <v/>
      </c>
      <c r="E67" s="61"/>
      <c r="F67" s="58" t="str">
        <f t="shared" ref="F67:F130" si="7">IFERROR(VLOOKUP(E67,$Q$6:$T$104,2,FALSE),"")</f>
        <v/>
      </c>
      <c r="G67" s="59"/>
      <c r="H67" s="59"/>
      <c r="I67" s="59"/>
      <c r="K67" s="44" t="str">
        <f t="shared" si="3"/>
        <v/>
      </c>
      <c r="L67" s="44" t="str">
        <f t="shared" si="4"/>
        <v/>
      </c>
      <c r="Q67" s="65">
        <v>663120000</v>
      </c>
      <c r="R67" s="64" t="s">
        <v>563</v>
      </c>
      <c r="S67" s="65">
        <v>61</v>
      </c>
      <c r="T67" s="64" t="s">
        <v>562</v>
      </c>
      <c r="U67" s="60">
        <v>663</v>
      </c>
    </row>
    <row r="68" spans="1:21" ht="15.75" customHeight="1">
      <c r="A68" s="66" t="str">
        <f>IF(E68="","",VLOOKUP('Opći dio'!$C$3,'Opći dio'!$L$6:$U$137,10,FALSE))</f>
        <v/>
      </c>
      <c r="B68" s="66" t="str">
        <f>IF(E68="","",VLOOKUP('Opći dio'!$C$3,'Opći dio'!$L$6:$U$137,9,FALSE))</f>
        <v/>
      </c>
      <c r="C68" s="55" t="str">
        <f t="shared" si="5"/>
        <v/>
      </c>
      <c r="D68" s="56" t="str">
        <f t="shared" si="6"/>
        <v/>
      </c>
      <c r="E68" s="61"/>
      <c r="F68" s="58" t="str">
        <f t="shared" si="7"/>
        <v/>
      </c>
      <c r="G68" s="59"/>
      <c r="H68" s="59"/>
      <c r="I68" s="59"/>
      <c r="K68" s="44" t="str">
        <f t="shared" si="3"/>
        <v/>
      </c>
      <c r="L68" s="44" t="str">
        <f t="shared" si="4"/>
        <v/>
      </c>
      <c r="Q68" s="65">
        <v>663130000</v>
      </c>
      <c r="R68" s="64" t="s">
        <v>564</v>
      </c>
      <c r="S68" s="65">
        <v>61</v>
      </c>
      <c r="T68" s="64" t="s">
        <v>562</v>
      </c>
      <c r="U68" s="60">
        <v>663</v>
      </c>
    </row>
    <row r="69" spans="1:21" ht="15.75" customHeight="1">
      <c r="A69" s="66" t="str">
        <f>IF(E69="","",VLOOKUP('Opći dio'!$C$3,'Opći dio'!$L$6:$U$137,10,FALSE))</f>
        <v/>
      </c>
      <c r="B69" s="66" t="str">
        <f>IF(E69="","",VLOOKUP('Opći dio'!$C$3,'Opći dio'!$L$6:$U$137,9,FALSE))</f>
        <v/>
      </c>
      <c r="C69" s="55" t="str">
        <f t="shared" si="5"/>
        <v/>
      </c>
      <c r="D69" s="56" t="str">
        <f t="shared" si="6"/>
        <v/>
      </c>
      <c r="E69" s="61"/>
      <c r="F69" s="58" t="str">
        <f t="shared" si="7"/>
        <v/>
      </c>
      <c r="G69" s="59"/>
      <c r="H69" s="59"/>
      <c r="I69" s="59"/>
      <c r="K69" s="44" t="str">
        <f t="shared" si="3"/>
        <v/>
      </c>
      <c r="L69" s="44" t="str">
        <f t="shared" si="4"/>
        <v/>
      </c>
      <c r="Q69" s="65">
        <v>663140000</v>
      </c>
      <c r="R69" s="64" t="s">
        <v>565</v>
      </c>
      <c r="S69" s="65">
        <v>61</v>
      </c>
      <c r="T69" s="64" t="s">
        <v>562</v>
      </c>
      <c r="U69" s="60">
        <v>663</v>
      </c>
    </row>
    <row r="70" spans="1:21" ht="15.75" customHeight="1">
      <c r="A70" s="66" t="str">
        <f>IF(E70="","",VLOOKUP('Opći dio'!$C$3,'Opći dio'!$L$6:$U$137,10,FALSE))</f>
        <v/>
      </c>
      <c r="B70" s="66" t="str">
        <f>IF(E70="","",VLOOKUP('Opći dio'!$C$3,'Opći dio'!$L$6:$U$137,9,FALSE))</f>
        <v/>
      </c>
      <c r="C70" s="55" t="str">
        <f t="shared" si="5"/>
        <v/>
      </c>
      <c r="D70" s="56" t="str">
        <f t="shared" si="6"/>
        <v/>
      </c>
      <c r="E70" s="61"/>
      <c r="F70" s="58" t="str">
        <f t="shared" si="7"/>
        <v/>
      </c>
      <c r="G70" s="59"/>
      <c r="H70" s="59"/>
      <c r="I70" s="59"/>
      <c r="K70" s="44" t="str">
        <f t="shared" si="3"/>
        <v/>
      </c>
      <c r="L70" s="44" t="str">
        <f t="shared" si="4"/>
        <v/>
      </c>
      <c r="Q70" s="65">
        <v>663210000</v>
      </c>
      <c r="R70" s="64" t="s">
        <v>566</v>
      </c>
      <c r="S70" s="65">
        <v>61</v>
      </c>
      <c r="T70" s="64" t="s">
        <v>562</v>
      </c>
      <c r="U70" s="60">
        <v>663</v>
      </c>
    </row>
    <row r="71" spans="1:21" ht="15.75" customHeight="1">
      <c r="A71" s="66" t="str">
        <f>IF(E71="","",VLOOKUP('Opći dio'!$C$3,'Opći dio'!$L$6:$U$137,10,FALSE))</f>
        <v/>
      </c>
      <c r="B71" s="66" t="str">
        <f>IF(E71="","",VLOOKUP('Opći dio'!$C$3,'Opći dio'!$L$6:$U$137,9,FALSE))</f>
        <v/>
      </c>
      <c r="C71" s="55" t="str">
        <f t="shared" si="5"/>
        <v/>
      </c>
      <c r="D71" s="56" t="str">
        <f t="shared" si="6"/>
        <v/>
      </c>
      <c r="E71" s="61"/>
      <c r="F71" s="58" t="str">
        <f t="shared" si="7"/>
        <v/>
      </c>
      <c r="G71" s="59"/>
      <c r="H71" s="59"/>
      <c r="I71" s="59"/>
      <c r="K71" s="44" t="str">
        <f t="shared" si="3"/>
        <v/>
      </c>
      <c r="L71" s="44" t="str">
        <f t="shared" si="4"/>
        <v/>
      </c>
      <c r="Q71" s="65">
        <v>663220000</v>
      </c>
      <c r="R71" s="64" t="s">
        <v>567</v>
      </c>
      <c r="S71" s="65">
        <v>61</v>
      </c>
      <c r="T71" s="64" t="s">
        <v>562</v>
      </c>
      <c r="U71" s="60">
        <v>663</v>
      </c>
    </row>
    <row r="72" spans="1:21" ht="15.75" customHeight="1">
      <c r="A72" s="66" t="str">
        <f>IF(E72="","",VLOOKUP('Opći dio'!$C$3,'Opći dio'!$L$6:$U$137,10,FALSE))</f>
        <v/>
      </c>
      <c r="B72" s="66" t="str">
        <f>IF(E72="","",VLOOKUP('Opći dio'!$C$3,'Opći dio'!$L$6:$U$137,9,FALSE))</f>
        <v/>
      </c>
      <c r="C72" s="55" t="str">
        <f t="shared" si="5"/>
        <v/>
      </c>
      <c r="D72" s="56" t="str">
        <f t="shared" si="6"/>
        <v/>
      </c>
      <c r="E72" s="61"/>
      <c r="F72" s="58" t="str">
        <f t="shared" si="7"/>
        <v/>
      </c>
      <c r="G72" s="59"/>
      <c r="H72" s="59"/>
      <c r="I72" s="59"/>
      <c r="K72" s="44" t="str">
        <f t="shared" si="3"/>
        <v/>
      </c>
      <c r="L72" s="44" t="str">
        <f t="shared" si="4"/>
        <v/>
      </c>
      <c r="Q72" s="65">
        <v>663230000</v>
      </c>
      <c r="R72" s="64" t="s">
        <v>568</v>
      </c>
      <c r="S72" s="65">
        <v>61</v>
      </c>
      <c r="T72" s="64" t="s">
        <v>562</v>
      </c>
      <c r="U72" s="60">
        <v>663</v>
      </c>
    </row>
    <row r="73" spans="1:21" ht="15.75" customHeight="1">
      <c r="A73" s="66" t="str">
        <f>IF(E73="","",VLOOKUP('Opći dio'!$C$3,'Opći dio'!$L$6:$U$137,10,FALSE))</f>
        <v/>
      </c>
      <c r="B73" s="66" t="str">
        <f>IF(E73="","",VLOOKUP('Opći dio'!$C$3,'Opći dio'!$L$6:$U$137,9,FALSE))</f>
        <v/>
      </c>
      <c r="C73" s="55" t="str">
        <f t="shared" si="5"/>
        <v/>
      </c>
      <c r="D73" s="56" t="str">
        <f t="shared" si="6"/>
        <v/>
      </c>
      <c r="E73" s="61"/>
      <c r="F73" s="58" t="str">
        <f t="shared" si="7"/>
        <v/>
      </c>
      <c r="G73" s="59"/>
      <c r="H73" s="59"/>
      <c r="I73" s="59"/>
      <c r="K73" s="44" t="str">
        <f t="shared" si="3"/>
        <v/>
      </c>
      <c r="L73" s="44" t="str">
        <f t="shared" si="4"/>
        <v/>
      </c>
      <c r="Q73" s="65">
        <v>663240000</v>
      </c>
      <c r="R73" s="64" t="s">
        <v>569</v>
      </c>
      <c r="S73" s="65">
        <v>61</v>
      </c>
      <c r="T73" s="64" t="s">
        <v>562</v>
      </c>
      <c r="U73" s="60">
        <v>663</v>
      </c>
    </row>
    <row r="74" spans="1:21" ht="15.75" customHeight="1">
      <c r="A74" s="66" t="str">
        <f>IF(E74="","",VLOOKUP('Opći dio'!$C$3,'Opći dio'!$L$6:$U$137,10,FALSE))</f>
        <v/>
      </c>
      <c r="B74" s="66" t="str">
        <f>IF(E74="","",VLOOKUP('Opći dio'!$C$3,'Opći dio'!$L$6:$U$137,9,FALSE))</f>
        <v/>
      </c>
      <c r="C74" s="55" t="str">
        <f t="shared" si="5"/>
        <v/>
      </c>
      <c r="D74" s="56" t="str">
        <f t="shared" si="6"/>
        <v/>
      </c>
      <c r="E74" s="61"/>
      <c r="F74" s="58" t="str">
        <f t="shared" si="7"/>
        <v/>
      </c>
      <c r="G74" s="59"/>
      <c r="H74" s="59"/>
      <c r="I74" s="59"/>
      <c r="K74" s="44" t="str">
        <f t="shared" si="3"/>
        <v/>
      </c>
      <c r="L74" s="44" t="str">
        <f t="shared" si="4"/>
        <v/>
      </c>
      <c r="Q74" s="65">
        <v>681910043</v>
      </c>
      <c r="R74" s="64" t="s">
        <v>570</v>
      </c>
      <c r="S74" s="65">
        <v>43</v>
      </c>
      <c r="T74" s="64" t="s">
        <v>489</v>
      </c>
      <c r="U74" s="60">
        <v>681</v>
      </c>
    </row>
    <row r="75" spans="1:21" ht="15.75" customHeight="1">
      <c r="A75" s="66" t="str">
        <f>IF(E75="","",VLOOKUP('Opći dio'!$C$3,'Opći dio'!$L$6:$U$137,10,FALSE))</f>
        <v/>
      </c>
      <c r="B75" s="66" t="str">
        <f>IF(E75="","",VLOOKUP('Opći dio'!$C$3,'Opći dio'!$L$6:$U$137,9,FALSE))</f>
        <v/>
      </c>
      <c r="C75" s="55" t="str">
        <f t="shared" si="5"/>
        <v/>
      </c>
      <c r="D75" s="56" t="str">
        <f t="shared" si="6"/>
        <v/>
      </c>
      <c r="E75" s="61"/>
      <c r="F75" s="58" t="str">
        <f t="shared" si="7"/>
        <v/>
      </c>
      <c r="G75" s="59"/>
      <c r="H75" s="59"/>
      <c r="I75" s="59"/>
      <c r="K75" s="44" t="str">
        <f t="shared" si="3"/>
        <v/>
      </c>
      <c r="L75" s="44" t="str">
        <f t="shared" si="4"/>
        <v/>
      </c>
      <c r="Q75" s="65">
        <v>683110031</v>
      </c>
      <c r="R75" s="64" t="s">
        <v>571</v>
      </c>
      <c r="S75" s="65">
        <v>31</v>
      </c>
      <c r="T75" s="64" t="s">
        <v>485</v>
      </c>
      <c r="U75" s="60">
        <v>683</v>
      </c>
    </row>
    <row r="76" spans="1:21" ht="15.75" customHeight="1">
      <c r="A76" s="66" t="str">
        <f>IF(E76="","",VLOOKUP('Opći dio'!$C$3,'Opći dio'!$L$6:$U$137,10,FALSE))</f>
        <v/>
      </c>
      <c r="B76" s="66" t="str">
        <f>IF(E76="","",VLOOKUP('Opći dio'!$C$3,'Opći dio'!$L$6:$U$137,9,FALSE))</f>
        <v/>
      </c>
      <c r="C76" s="55" t="str">
        <f t="shared" si="5"/>
        <v/>
      </c>
      <c r="D76" s="56" t="str">
        <f t="shared" si="6"/>
        <v/>
      </c>
      <c r="E76" s="61"/>
      <c r="F76" s="58" t="str">
        <f t="shared" si="7"/>
        <v/>
      </c>
      <c r="G76" s="59"/>
      <c r="H76" s="59"/>
      <c r="I76" s="59"/>
      <c r="K76" s="44" t="str">
        <f t="shared" si="3"/>
        <v/>
      </c>
      <c r="L76" s="44" t="str">
        <f t="shared" si="4"/>
        <v/>
      </c>
      <c r="Q76" s="65">
        <v>683110043</v>
      </c>
      <c r="R76" s="64" t="s">
        <v>572</v>
      </c>
      <c r="S76" s="65">
        <v>43</v>
      </c>
      <c r="T76" s="64" t="s">
        <v>489</v>
      </c>
      <c r="U76" s="60">
        <v>683</v>
      </c>
    </row>
    <row r="77" spans="1:21" ht="15.75" customHeight="1">
      <c r="A77" s="66" t="str">
        <f>IF(E77="","",VLOOKUP('Opći dio'!$C$3,'Opći dio'!$L$6:$U$137,10,FALSE))</f>
        <v/>
      </c>
      <c r="B77" s="66" t="str">
        <f>IF(E77="","",VLOOKUP('Opći dio'!$C$3,'Opći dio'!$L$6:$U$137,9,FALSE))</f>
        <v/>
      </c>
      <c r="C77" s="55" t="str">
        <f t="shared" si="5"/>
        <v/>
      </c>
      <c r="D77" s="56" t="str">
        <f t="shared" si="6"/>
        <v/>
      </c>
      <c r="E77" s="61"/>
      <c r="F77" s="58" t="str">
        <f t="shared" si="7"/>
        <v/>
      </c>
      <c r="G77" s="59"/>
      <c r="H77" s="59"/>
      <c r="I77" s="59"/>
      <c r="K77" s="44" t="str">
        <f t="shared" si="3"/>
        <v/>
      </c>
      <c r="L77" s="44" t="str">
        <f t="shared" si="4"/>
        <v/>
      </c>
      <c r="Q77" s="65">
        <v>711110071</v>
      </c>
      <c r="R77" s="64" t="s">
        <v>573</v>
      </c>
      <c r="S77" s="65">
        <v>71</v>
      </c>
      <c r="T77" s="64" t="s">
        <v>574</v>
      </c>
      <c r="U77" s="60">
        <v>711</v>
      </c>
    </row>
    <row r="78" spans="1:21" ht="15.75" customHeight="1">
      <c r="A78" s="66" t="str">
        <f>IF(E78="","",VLOOKUP('Opći dio'!$C$3,'Opći dio'!$L$6:$U$137,10,FALSE))</f>
        <v/>
      </c>
      <c r="B78" s="66" t="str">
        <f>IF(E78="","",VLOOKUP('Opći dio'!$C$3,'Opći dio'!$L$6:$U$137,9,FALSE))</f>
        <v/>
      </c>
      <c r="C78" s="55" t="str">
        <f t="shared" si="5"/>
        <v/>
      </c>
      <c r="D78" s="56" t="str">
        <f t="shared" si="6"/>
        <v/>
      </c>
      <c r="E78" s="61"/>
      <c r="F78" s="58" t="str">
        <f t="shared" si="7"/>
        <v/>
      </c>
      <c r="G78" s="59"/>
      <c r="H78" s="59"/>
      <c r="I78" s="59"/>
      <c r="K78" s="44" t="str">
        <f t="shared" si="3"/>
        <v/>
      </c>
      <c r="L78" s="44" t="str">
        <f t="shared" si="4"/>
        <v/>
      </c>
      <c r="Q78" s="65">
        <v>711120071</v>
      </c>
      <c r="R78" s="64" t="s">
        <v>575</v>
      </c>
      <c r="S78" s="65">
        <v>71</v>
      </c>
      <c r="T78" s="64" t="s">
        <v>574</v>
      </c>
      <c r="U78" s="60">
        <v>711</v>
      </c>
    </row>
    <row r="79" spans="1:21" ht="15.75" customHeight="1">
      <c r="A79" s="66" t="str">
        <f>IF(E79="","",VLOOKUP('Opći dio'!$C$3,'Opći dio'!$L$6:$U$137,10,FALSE))</f>
        <v/>
      </c>
      <c r="B79" s="66" t="str">
        <f>IF(E79="","",VLOOKUP('Opći dio'!$C$3,'Opći dio'!$L$6:$U$137,9,FALSE))</f>
        <v/>
      </c>
      <c r="C79" s="55" t="str">
        <f t="shared" si="5"/>
        <v/>
      </c>
      <c r="D79" s="56" t="str">
        <f t="shared" si="6"/>
        <v/>
      </c>
      <c r="E79" s="61"/>
      <c r="F79" s="58" t="str">
        <f t="shared" si="7"/>
        <v/>
      </c>
      <c r="G79" s="59"/>
      <c r="H79" s="59"/>
      <c r="I79" s="59"/>
      <c r="K79" s="44" t="str">
        <f t="shared" si="3"/>
        <v/>
      </c>
      <c r="L79" s="44" t="str">
        <f t="shared" si="4"/>
        <v/>
      </c>
      <c r="Q79" s="65">
        <v>712410071</v>
      </c>
      <c r="R79" s="64" t="s">
        <v>576</v>
      </c>
      <c r="S79" s="65">
        <v>71</v>
      </c>
      <c r="T79" s="64" t="s">
        <v>574</v>
      </c>
      <c r="U79" s="60">
        <v>712</v>
      </c>
    </row>
    <row r="80" spans="1:21" ht="15.75" customHeight="1">
      <c r="A80" s="66" t="str">
        <f>IF(E80="","",VLOOKUP('Opći dio'!$C$3,'Opći dio'!$L$6:$U$137,10,FALSE))</f>
        <v/>
      </c>
      <c r="B80" s="66" t="str">
        <f>IF(E80="","",VLOOKUP('Opći dio'!$C$3,'Opći dio'!$L$6:$U$137,9,FALSE))</f>
        <v/>
      </c>
      <c r="C80" s="55" t="str">
        <f t="shared" si="5"/>
        <v/>
      </c>
      <c r="D80" s="56" t="str">
        <f t="shared" si="6"/>
        <v/>
      </c>
      <c r="E80" s="61"/>
      <c r="F80" s="58" t="str">
        <f t="shared" si="7"/>
        <v/>
      </c>
      <c r="G80" s="59"/>
      <c r="H80" s="59"/>
      <c r="I80" s="59"/>
      <c r="K80" s="44" t="str">
        <f t="shared" si="3"/>
        <v/>
      </c>
      <c r="L80" s="44" t="str">
        <f t="shared" si="4"/>
        <v/>
      </c>
      <c r="Q80" s="65">
        <v>712490071</v>
      </c>
      <c r="R80" s="64" t="s">
        <v>577</v>
      </c>
      <c r="S80" s="65">
        <v>71</v>
      </c>
      <c r="T80" s="64" t="s">
        <v>574</v>
      </c>
      <c r="U80" s="60">
        <v>712</v>
      </c>
    </row>
    <row r="81" spans="1:21" ht="15.75" customHeight="1">
      <c r="A81" s="66" t="str">
        <f>IF(E81="","",VLOOKUP('Opći dio'!$C$3,'Opći dio'!$L$6:$U$137,10,FALSE))</f>
        <v/>
      </c>
      <c r="B81" s="66" t="str">
        <f>IF(E81="","",VLOOKUP('Opći dio'!$C$3,'Opći dio'!$L$6:$U$137,9,FALSE))</f>
        <v/>
      </c>
      <c r="C81" s="55" t="str">
        <f t="shared" si="5"/>
        <v/>
      </c>
      <c r="D81" s="56" t="str">
        <f t="shared" si="6"/>
        <v/>
      </c>
      <c r="E81" s="61"/>
      <c r="F81" s="58" t="str">
        <f t="shared" si="7"/>
        <v/>
      </c>
      <c r="G81" s="59"/>
      <c r="H81" s="59"/>
      <c r="I81" s="59"/>
      <c r="K81" s="44" t="str">
        <f t="shared" si="3"/>
        <v/>
      </c>
      <c r="L81" s="44" t="str">
        <f t="shared" si="4"/>
        <v/>
      </c>
      <c r="Q81" s="65">
        <v>721110071</v>
      </c>
      <c r="R81" s="64" t="s">
        <v>578</v>
      </c>
      <c r="S81" s="65">
        <v>71</v>
      </c>
      <c r="T81" s="64" t="s">
        <v>574</v>
      </c>
      <c r="U81" s="60">
        <v>721</v>
      </c>
    </row>
    <row r="82" spans="1:21" ht="15.75" customHeight="1">
      <c r="A82" s="66" t="str">
        <f>IF(E82="","",VLOOKUP('Opći dio'!$C$3,'Opći dio'!$L$6:$U$137,10,FALSE))</f>
        <v/>
      </c>
      <c r="B82" s="66" t="str">
        <f>IF(E82="","",VLOOKUP('Opći dio'!$C$3,'Opći dio'!$L$6:$U$137,9,FALSE))</f>
        <v/>
      </c>
      <c r="C82" s="55" t="str">
        <f t="shared" si="5"/>
        <v/>
      </c>
      <c r="D82" s="56" t="str">
        <f t="shared" si="6"/>
        <v/>
      </c>
      <c r="E82" s="61"/>
      <c r="F82" s="58" t="str">
        <f t="shared" si="7"/>
        <v/>
      </c>
      <c r="G82" s="59"/>
      <c r="H82" s="59"/>
      <c r="I82" s="59"/>
      <c r="K82" s="44" t="str">
        <f t="shared" si="3"/>
        <v/>
      </c>
      <c r="L82" s="44" t="str">
        <f t="shared" si="4"/>
        <v/>
      </c>
      <c r="Q82" s="65">
        <v>721190071</v>
      </c>
      <c r="R82" s="64" t="s">
        <v>579</v>
      </c>
      <c r="S82" s="65">
        <v>71</v>
      </c>
      <c r="T82" s="64" t="s">
        <v>574</v>
      </c>
      <c r="U82" s="60">
        <v>721</v>
      </c>
    </row>
    <row r="83" spans="1:21" ht="15.75" customHeight="1">
      <c r="A83" s="66" t="str">
        <f>IF(E83="","",VLOOKUP('Opći dio'!$C$3,'Opći dio'!$L$6:$U$137,10,FALSE))</f>
        <v/>
      </c>
      <c r="B83" s="66" t="str">
        <f>IF(E83="","",VLOOKUP('Opći dio'!$C$3,'Opći dio'!$L$6:$U$137,9,FALSE))</f>
        <v/>
      </c>
      <c r="C83" s="55" t="str">
        <f t="shared" si="5"/>
        <v/>
      </c>
      <c r="D83" s="56" t="str">
        <f t="shared" si="6"/>
        <v/>
      </c>
      <c r="E83" s="61"/>
      <c r="F83" s="58" t="str">
        <f t="shared" si="7"/>
        <v/>
      </c>
      <c r="G83" s="59"/>
      <c r="H83" s="59"/>
      <c r="I83" s="59"/>
      <c r="K83" s="44" t="str">
        <f t="shared" si="3"/>
        <v/>
      </c>
      <c r="L83" s="44" t="str">
        <f t="shared" si="4"/>
        <v/>
      </c>
      <c r="Q83" s="65">
        <v>721230071</v>
      </c>
      <c r="R83" s="64" t="s">
        <v>580</v>
      </c>
      <c r="S83" s="65">
        <v>71</v>
      </c>
      <c r="T83" s="64" t="s">
        <v>574</v>
      </c>
      <c r="U83" s="60">
        <v>721</v>
      </c>
    </row>
    <row r="84" spans="1:21" ht="15.75" customHeight="1">
      <c r="A84" s="66" t="str">
        <f>IF(E84="","",VLOOKUP('Opći dio'!$C$3,'Opći dio'!$L$6:$U$137,10,FALSE))</f>
        <v/>
      </c>
      <c r="B84" s="66" t="str">
        <f>IF(E84="","",VLOOKUP('Opći dio'!$C$3,'Opći dio'!$L$6:$U$137,9,FALSE))</f>
        <v/>
      </c>
      <c r="C84" s="55" t="str">
        <f t="shared" si="5"/>
        <v/>
      </c>
      <c r="D84" s="56" t="str">
        <f t="shared" si="6"/>
        <v/>
      </c>
      <c r="E84" s="61"/>
      <c r="F84" s="58" t="str">
        <f t="shared" si="7"/>
        <v/>
      </c>
      <c r="G84" s="59"/>
      <c r="H84" s="59"/>
      <c r="I84" s="59"/>
      <c r="K84" s="44" t="str">
        <f t="shared" si="3"/>
        <v/>
      </c>
      <c r="L84" s="44" t="str">
        <f t="shared" si="4"/>
        <v/>
      </c>
      <c r="Q84" s="65">
        <v>721290071</v>
      </c>
      <c r="R84" s="64" t="s">
        <v>581</v>
      </c>
      <c r="S84" s="65">
        <v>71</v>
      </c>
      <c r="T84" s="64" t="s">
        <v>574</v>
      </c>
      <c r="U84" s="60">
        <v>721</v>
      </c>
    </row>
    <row r="85" spans="1:21" ht="15.75" customHeight="1">
      <c r="A85" s="66" t="str">
        <f>IF(E85="","",VLOOKUP('Opći dio'!$C$3,'Opći dio'!$L$6:$U$137,10,FALSE))</f>
        <v/>
      </c>
      <c r="B85" s="66" t="str">
        <f>IF(E85="","",VLOOKUP('Opći dio'!$C$3,'Opći dio'!$L$6:$U$137,9,FALSE))</f>
        <v/>
      </c>
      <c r="C85" s="55" t="str">
        <f t="shared" si="5"/>
        <v/>
      </c>
      <c r="D85" s="56" t="str">
        <f t="shared" si="6"/>
        <v/>
      </c>
      <c r="E85" s="61"/>
      <c r="F85" s="58" t="str">
        <f t="shared" si="7"/>
        <v/>
      </c>
      <c r="G85" s="59"/>
      <c r="H85" s="59"/>
      <c r="I85" s="59"/>
      <c r="K85" s="44" t="str">
        <f t="shared" si="3"/>
        <v/>
      </c>
      <c r="L85" s="44" t="str">
        <f t="shared" si="4"/>
        <v/>
      </c>
      <c r="Q85" s="65">
        <v>722110071</v>
      </c>
      <c r="R85" s="64" t="s">
        <v>582</v>
      </c>
      <c r="S85" s="65">
        <v>71</v>
      </c>
      <c r="T85" s="64" t="s">
        <v>574</v>
      </c>
      <c r="U85" s="60">
        <v>722</v>
      </c>
    </row>
    <row r="86" spans="1:21" ht="15.75" customHeight="1">
      <c r="A86" s="66" t="str">
        <f>IF(E86="","",VLOOKUP('Opći dio'!$C$3,'Opći dio'!$L$6:$U$137,10,FALSE))</f>
        <v/>
      </c>
      <c r="B86" s="66" t="str">
        <f>IF(E86="","",VLOOKUP('Opći dio'!$C$3,'Opći dio'!$L$6:$U$137,9,FALSE))</f>
        <v/>
      </c>
      <c r="C86" s="55" t="str">
        <f t="shared" si="5"/>
        <v/>
      </c>
      <c r="D86" s="56" t="str">
        <f t="shared" si="6"/>
        <v/>
      </c>
      <c r="E86" s="61"/>
      <c r="F86" s="58" t="str">
        <f t="shared" si="7"/>
        <v/>
      </c>
      <c r="G86" s="59"/>
      <c r="H86" s="59"/>
      <c r="I86" s="59"/>
      <c r="K86" s="44" t="str">
        <f t="shared" si="3"/>
        <v/>
      </c>
      <c r="L86" s="44" t="str">
        <f t="shared" si="4"/>
        <v/>
      </c>
      <c r="Q86" s="65">
        <v>722120071</v>
      </c>
      <c r="R86" s="64" t="s">
        <v>583</v>
      </c>
      <c r="S86" s="65">
        <v>71</v>
      </c>
      <c r="T86" s="64" t="s">
        <v>574</v>
      </c>
      <c r="U86" s="60">
        <v>722</v>
      </c>
    </row>
    <row r="87" spans="1:21" ht="15.75" customHeight="1">
      <c r="A87" s="66" t="str">
        <f>IF(E87="","",VLOOKUP('Opći dio'!$C$3,'Opći dio'!$L$6:$U$137,10,FALSE))</f>
        <v/>
      </c>
      <c r="B87" s="66" t="str">
        <f>IF(E87="","",VLOOKUP('Opći dio'!$C$3,'Opći dio'!$L$6:$U$137,9,FALSE))</f>
        <v/>
      </c>
      <c r="C87" s="55" t="str">
        <f t="shared" si="5"/>
        <v/>
      </c>
      <c r="D87" s="56" t="str">
        <f t="shared" si="6"/>
        <v/>
      </c>
      <c r="E87" s="61"/>
      <c r="F87" s="58" t="str">
        <f t="shared" si="7"/>
        <v/>
      </c>
      <c r="G87" s="59"/>
      <c r="H87" s="59"/>
      <c r="I87" s="59"/>
      <c r="K87" s="44" t="str">
        <f t="shared" si="3"/>
        <v/>
      </c>
      <c r="L87" s="44" t="str">
        <f t="shared" si="4"/>
        <v/>
      </c>
      <c r="Q87" s="65">
        <v>722190071</v>
      </c>
      <c r="R87" s="64" t="s">
        <v>584</v>
      </c>
      <c r="S87" s="65">
        <v>71</v>
      </c>
      <c r="T87" s="64" t="s">
        <v>574</v>
      </c>
      <c r="U87" s="60">
        <v>722</v>
      </c>
    </row>
    <row r="88" spans="1:21" ht="15.75" customHeight="1">
      <c r="A88" s="66" t="str">
        <f>IF(E88="","",VLOOKUP('Opći dio'!$C$3,'Opći dio'!$L$6:$U$137,10,FALSE))</f>
        <v/>
      </c>
      <c r="B88" s="66" t="str">
        <f>IF(E88="","",VLOOKUP('Opći dio'!$C$3,'Opći dio'!$L$6:$U$137,9,FALSE))</f>
        <v/>
      </c>
      <c r="C88" s="55" t="str">
        <f t="shared" si="5"/>
        <v/>
      </c>
      <c r="D88" s="56" t="str">
        <f t="shared" si="6"/>
        <v/>
      </c>
      <c r="E88" s="61"/>
      <c r="F88" s="58" t="str">
        <f t="shared" si="7"/>
        <v/>
      </c>
      <c r="G88" s="59"/>
      <c r="H88" s="59"/>
      <c r="I88" s="59"/>
      <c r="K88" s="44" t="str">
        <f t="shared" si="3"/>
        <v/>
      </c>
      <c r="L88" s="44" t="str">
        <f t="shared" si="4"/>
        <v/>
      </c>
      <c r="Q88" s="65">
        <v>722620071</v>
      </c>
      <c r="R88" s="64" t="s">
        <v>585</v>
      </c>
      <c r="S88" s="65">
        <v>71</v>
      </c>
      <c r="T88" s="64" t="s">
        <v>574</v>
      </c>
      <c r="U88" s="60">
        <v>722</v>
      </c>
    </row>
    <row r="89" spans="1:21" ht="15.75" customHeight="1">
      <c r="A89" s="66" t="str">
        <f>IF(E89="","",VLOOKUP('Opći dio'!$C$3,'Opći dio'!$L$6:$U$137,10,FALSE))</f>
        <v/>
      </c>
      <c r="B89" s="66" t="str">
        <f>IF(E89="","",VLOOKUP('Opći dio'!$C$3,'Opći dio'!$L$6:$U$137,9,FALSE))</f>
        <v/>
      </c>
      <c r="C89" s="55" t="str">
        <f t="shared" si="5"/>
        <v/>
      </c>
      <c r="D89" s="56" t="str">
        <f t="shared" si="6"/>
        <v/>
      </c>
      <c r="E89" s="61"/>
      <c r="F89" s="58" t="str">
        <f t="shared" si="7"/>
        <v/>
      </c>
      <c r="G89" s="59"/>
      <c r="H89" s="59"/>
      <c r="I89" s="59"/>
      <c r="K89" s="44" t="str">
        <f t="shared" si="3"/>
        <v/>
      </c>
      <c r="L89" s="44" t="str">
        <f t="shared" si="4"/>
        <v/>
      </c>
      <c r="Q89" s="65">
        <v>722720071</v>
      </c>
      <c r="R89" s="64" t="s">
        <v>586</v>
      </c>
      <c r="S89" s="65">
        <v>71</v>
      </c>
      <c r="T89" s="64" t="s">
        <v>513</v>
      </c>
      <c r="U89" s="60">
        <v>722</v>
      </c>
    </row>
    <row r="90" spans="1:21" ht="15.75" customHeight="1">
      <c r="A90" s="66" t="str">
        <f>IF(E90="","",VLOOKUP('Opći dio'!$C$3,'Opći dio'!$L$6:$U$137,10,FALSE))</f>
        <v/>
      </c>
      <c r="B90" s="66" t="str">
        <f>IF(E90="","",VLOOKUP('Opći dio'!$C$3,'Opći dio'!$L$6:$U$137,9,FALSE))</f>
        <v/>
      </c>
      <c r="C90" s="55" t="str">
        <f t="shared" si="5"/>
        <v/>
      </c>
      <c r="D90" s="56" t="str">
        <f t="shared" si="6"/>
        <v/>
      </c>
      <c r="E90" s="61"/>
      <c r="F90" s="58" t="str">
        <f t="shared" si="7"/>
        <v/>
      </c>
      <c r="G90" s="59"/>
      <c r="H90" s="59"/>
      <c r="I90" s="59"/>
      <c r="K90" s="44" t="str">
        <f t="shared" si="3"/>
        <v/>
      </c>
      <c r="L90" s="44" t="str">
        <f t="shared" si="4"/>
        <v/>
      </c>
      <c r="Q90" s="65">
        <v>722730071</v>
      </c>
      <c r="R90" s="64" t="s">
        <v>587</v>
      </c>
      <c r="S90" s="65">
        <v>71</v>
      </c>
      <c r="T90" s="64" t="s">
        <v>574</v>
      </c>
      <c r="U90" s="60">
        <v>722</v>
      </c>
    </row>
    <row r="91" spans="1:21" ht="15.75" customHeight="1">
      <c r="A91" s="66" t="str">
        <f>IF(E91="","",VLOOKUP('Opći dio'!$C$3,'Opći dio'!$L$6:$U$137,10,FALSE))</f>
        <v/>
      </c>
      <c r="B91" s="66" t="str">
        <f>IF(E91="","",VLOOKUP('Opći dio'!$C$3,'Opći dio'!$L$6:$U$137,9,FALSE))</f>
        <v/>
      </c>
      <c r="C91" s="55" t="str">
        <f t="shared" si="5"/>
        <v/>
      </c>
      <c r="D91" s="56" t="str">
        <f t="shared" si="6"/>
        <v/>
      </c>
      <c r="E91" s="61"/>
      <c r="F91" s="58" t="str">
        <f t="shared" si="7"/>
        <v/>
      </c>
      <c r="G91" s="59"/>
      <c r="H91" s="59"/>
      <c r="I91" s="59"/>
      <c r="K91" s="44" t="str">
        <f t="shared" si="3"/>
        <v/>
      </c>
      <c r="L91" s="44" t="str">
        <f t="shared" si="4"/>
        <v/>
      </c>
      <c r="Q91" s="65">
        <v>723110071</v>
      </c>
      <c r="R91" s="64" t="s">
        <v>588</v>
      </c>
      <c r="S91" s="65">
        <v>71</v>
      </c>
      <c r="T91" s="64" t="s">
        <v>574</v>
      </c>
      <c r="U91" s="60">
        <v>723</v>
      </c>
    </row>
    <row r="92" spans="1:21" ht="15.75" customHeight="1">
      <c r="A92" s="66" t="str">
        <f>IF(E92="","",VLOOKUP('Opći dio'!$C$3,'Opći dio'!$L$6:$U$137,10,FALSE))</f>
        <v/>
      </c>
      <c r="B92" s="66" t="str">
        <f>IF(E92="","",VLOOKUP('Opći dio'!$C$3,'Opći dio'!$L$6:$U$137,9,FALSE))</f>
        <v/>
      </c>
      <c r="C92" s="55" t="str">
        <f t="shared" si="5"/>
        <v/>
      </c>
      <c r="D92" s="56" t="str">
        <f t="shared" si="6"/>
        <v/>
      </c>
      <c r="E92" s="61"/>
      <c r="F92" s="58" t="str">
        <f t="shared" si="7"/>
        <v/>
      </c>
      <c r="G92" s="59"/>
      <c r="H92" s="59"/>
      <c r="I92" s="59"/>
      <c r="K92" s="44" t="str">
        <f t="shared" si="3"/>
        <v/>
      </c>
      <c r="L92" s="44" t="str">
        <f t="shared" si="4"/>
        <v/>
      </c>
      <c r="Q92" s="65">
        <v>723130071</v>
      </c>
      <c r="R92" s="64" t="s">
        <v>589</v>
      </c>
      <c r="S92" s="65">
        <v>71</v>
      </c>
      <c r="T92" s="64" t="s">
        <v>574</v>
      </c>
      <c r="U92" s="60">
        <v>723</v>
      </c>
    </row>
    <row r="93" spans="1:21" ht="15.75" customHeight="1">
      <c r="A93" s="66" t="str">
        <f>IF(E93="","",VLOOKUP('Opći dio'!$C$3,'Opći dio'!$L$6:$U$137,10,FALSE))</f>
        <v/>
      </c>
      <c r="B93" s="66" t="str">
        <f>IF(E93="","",VLOOKUP('Opći dio'!$C$3,'Opći dio'!$L$6:$U$137,9,FALSE))</f>
        <v/>
      </c>
      <c r="C93" s="55" t="str">
        <f t="shared" si="5"/>
        <v/>
      </c>
      <c r="D93" s="56" t="str">
        <f t="shared" si="6"/>
        <v/>
      </c>
      <c r="E93" s="61"/>
      <c r="F93" s="58" t="str">
        <f t="shared" si="7"/>
        <v/>
      </c>
      <c r="G93" s="59"/>
      <c r="H93" s="59"/>
      <c r="I93" s="59"/>
      <c r="K93" s="44" t="str">
        <f t="shared" si="3"/>
        <v/>
      </c>
      <c r="L93" s="44" t="str">
        <f t="shared" si="4"/>
        <v/>
      </c>
      <c r="Q93" s="65">
        <v>723140071</v>
      </c>
      <c r="R93" s="64" t="s">
        <v>590</v>
      </c>
      <c r="S93" s="65">
        <v>71</v>
      </c>
      <c r="T93" s="64" t="s">
        <v>574</v>
      </c>
      <c r="U93" s="60">
        <v>723</v>
      </c>
    </row>
    <row r="94" spans="1:21" ht="15.75" customHeight="1">
      <c r="A94" s="66" t="str">
        <f>IF(E94="","",VLOOKUP('Opći dio'!$C$3,'Opći dio'!$L$6:$U$137,10,FALSE))</f>
        <v/>
      </c>
      <c r="B94" s="66" t="str">
        <f>IF(E94="","",VLOOKUP('Opći dio'!$C$3,'Opći dio'!$L$6:$U$137,9,FALSE))</f>
        <v/>
      </c>
      <c r="C94" s="55" t="str">
        <f t="shared" si="5"/>
        <v/>
      </c>
      <c r="D94" s="56" t="str">
        <f t="shared" si="6"/>
        <v/>
      </c>
      <c r="E94" s="61"/>
      <c r="F94" s="58" t="str">
        <f t="shared" si="7"/>
        <v/>
      </c>
      <c r="G94" s="59"/>
      <c r="H94" s="59"/>
      <c r="I94" s="59"/>
      <c r="K94" s="44" t="str">
        <f t="shared" si="3"/>
        <v/>
      </c>
      <c r="L94" s="44" t="str">
        <f t="shared" si="4"/>
        <v/>
      </c>
      <c r="Q94" s="65">
        <v>723150071</v>
      </c>
      <c r="R94" s="64" t="s">
        <v>591</v>
      </c>
      <c r="S94" s="65">
        <v>71</v>
      </c>
      <c r="T94" s="64" t="s">
        <v>574</v>
      </c>
      <c r="U94" s="60">
        <v>723</v>
      </c>
    </row>
    <row r="95" spans="1:21" ht="15.75" customHeight="1">
      <c r="A95" s="66" t="str">
        <f>IF(E95="","",VLOOKUP('Opći dio'!$C$3,'Opći dio'!$L$6:$U$137,10,FALSE))</f>
        <v/>
      </c>
      <c r="B95" s="66" t="str">
        <f>IF(E95="","",VLOOKUP('Opći dio'!$C$3,'Opći dio'!$L$6:$U$137,9,FALSE))</f>
        <v/>
      </c>
      <c r="C95" s="55" t="str">
        <f t="shared" si="5"/>
        <v/>
      </c>
      <c r="D95" s="56" t="str">
        <f t="shared" si="6"/>
        <v/>
      </c>
      <c r="E95" s="61"/>
      <c r="F95" s="58" t="str">
        <f t="shared" si="7"/>
        <v/>
      </c>
      <c r="G95" s="59"/>
      <c r="H95" s="59"/>
      <c r="I95" s="59"/>
      <c r="K95" s="44" t="str">
        <f t="shared" si="3"/>
        <v/>
      </c>
      <c r="L95" s="44" t="str">
        <f t="shared" si="4"/>
        <v/>
      </c>
      <c r="Q95" s="65">
        <v>723160071</v>
      </c>
      <c r="R95" s="64" t="s">
        <v>592</v>
      </c>
      <c r="S95" s="65">
        <v>71</v>
      </c>
      <c r="T95" s="64" t="s">
        <v>574</v>
      </c>
      <c r="U95" s="60">
        <v>723</v>
      </c>
    </row>
    <row r="96" spans="1:21" ht="15.75" customHeight="1">
      <c r="A96" s="66" t="str">
        <f>IF(E96="","",VLOOKUP('Opći dio'!$C$3,'Opći dio'!$L$6:$U$137,10,FALSE))</f>
        <v/>
      </c>
      <c r="B96" s="66" t="str">
        <f>IF(E96="","",VLOOKUP('Opći dio'!$C$3,'Opći dio'!$L$6:$U$137,9,FALSE))</f>
        <v/>
      </c>
      <c r="C96" s="55" t="str">
        <f t="shared" si="5"/>
        <v/>
      </c>
      <c r="D96" s="56" t="str">
        <f t="shared" si="6"/>
        <v/>
      </c>
      <c r="E96" s="61"/>
      <c r="F96" s="58" t="str">
        <f t="shared" si="7"/>
        <v/>
      </c>
      <c r="G96" s="59"/>
      <c r="H96" s="59"/>
      <c r="I96" s="59"/>
      <c r="K96" s="44" t="str">
        <f t="shared" si="3"/>
        <v/>
      </c>
      <c r="L96" s="44" t="str">
        <f t="shared" si="4"/>
        <v/>
      </c>
      <c r="Q96" s="65">
        <v>723190071</v>
      </c>
      <c r="R96" s="64" t="s">
        <v>593</v>
      </c>
      <c r="S96" s="65">
        <v>71</v>
      </c>
      <c r="T96" s="64" t="s">
        <v>513</v>
      </c>
      <c r="U96" s="60">
        <v>723</v>
      </c>
    </row>
    <row r="97" spans="1:21" ht="15.75" customHeight="1">
      <c r="A97" s="66" t="str">
        <f>IF(E97="","",VLOOKUP('Opći dio'!$C$3,'Opći dio'!$L$6:$U$137,10,FALSE))</f>
        <v/>
      </c>
      <c r="B97" s="66" t="str">
        <f>IF(E97="","",VLOOKUP('Opći dio'!$C$3,'Opći dio'!$L$6:$U$137,9,FALSE))</f>
        <v/>
      </c>
      <c r="C97" s="55" t="str">
        <f t="shared" si="5"/>
        <v/>
      </c>
      <c r="D97" s="56" t="str">
        <f t="shared" si="6"/>
        <v/>
      </c>
      <c r="E97" s="61"/>
      <c r="F97" s="58" t="str">
        <f t="shared" si="7"/>
        <v/>
      </c>
      <c r="G97" s="59"/>
      <c r="H97" s="59"/>
      <c r="I97" s="59"/>
      <c r="K97" s="44" t="str">
        <f t="shared" si="3"/>
        <v/>
      </c>
      <c r="L97" s="44" t="str">
        <f t="shared" si="4"/>
        <v/>
      </c>
      <c r="Q97" s="65">
        <v>723310071</v>
      </c>
      <c r="R97" s="64" t="s">
        <v>594</v>
      </c>
      <c r="S97" s="65">
        <v>71</v>
      </c>
      <c r="T97" s="64" t="s">
        <v>574</v>
      </c>
      <c r="U97" s="60">
        <v>723</v>
      </c>
    </row>
    <row r="98" spans="1:21" ht="15.75" customHeight="1">
      <c r="A98" s="66" t="str">
        <f>IF(E98="","",VLOOKUP('Opći dio'!$C$3,'Opći dio'!$L$6:$U$137,10,FALSE))</f>
        <v/>
      </c>
      <c r="B98" s="66" t="str">
        <f>IF(E98="","",VLOOKUP('Opći dio'!$C$3,'Opći dio'!$L$6:$U$137,9,FALSE))</f>
        <v/>
      </c>
      <c r="C98" s="55" t="str">
        <f t="shared" si="5"/>
        <v/>
      </c>
      <c r="D98" s="56" t="str">
        <f t="shared" si="6"/>
        <v/>
      </c>
      <c r="E98" s="61"/>
      <c r="F98" s="58" t="str">
        <f t="shared" si="7"/>
        <v/>
      </c>
      <c r="G98" s="59"/>
      <c r="H98" s="59"/>
      <c r="I98" s="59"/>
      <c r="K98" s="44" t="str">
        <f t="shared" si="3"/>
        <v/>
      </c>
      <c r="L98" s="44" t="str">
        <f t="shared" si="4"/>
        <v/>
      </c>
      <c r="Q98" s="65">
        <v>725210071</v>
      </c>
      <c r="R98" s="64" t="s">
        <v>595</v>
      </c>
      <c r="S98" s="65">
        <v>71</v>
      </c>
      <c r="T98" s="64" t="s">
        <v>574</v>
      </c>
      <c r="U98" s="60">
        <v>725</v>
      </c>
    </row>
    <row r="99" spans="1:21" ht="15.75" customHeight="1">
      <c r="A99" s="66" t="str">
        <f>IF(E99="","",VLOOKUP('Opći dio'!$C$3,'Opći dio'!$L$6:$U$137,10,FALSE))</f>
        <v/>
      </c>
      <c r="B99" s="66" t="str">
        <f>IF(E99="","",VLOOKUP('Opći dio'!$C$3,'Opći dio'!$L$6:$U$137,9,FALSE))</f>
        <v/>
      </c>
      <c r="C99" s="55" t="str">
        <f t="shared" si="5"/>
        <v/>
      </c>
      <c r="D99" s="56" t="str">
        <f t="shared" si="6"/>
        <v/>
      </c>
      <c r="E99" s="61"/>
      <c r="F99" s="58" t="str">
        <f t="shared" si="7"/>
        <v/>
      </c>
      <c r="G99" s="59"/>
      <c r="H99" s="59"/>
      <c r="I99" s="59"/>
      <c r="K99" s="44" t="str">
        <f t="shared" si="3"/>
        <v/>
      </c>
      <c r="L99" s="44" t="str">
        <f t="shared" si="4"/>
        <v/>
      </c>
      <c r="Q99" s="65">
        <v>818110043</v>
      </c>
      <c r="R99" s="64" t="s">
        <v>596</v>
      </c>
      <c r="S99" s="65">
        <v>43</v>
      </c>
      <c r="T99" s="64" t="s">
        <v>489</v>
      </c>
      <c r="U99" s="60">
        <v>818</v>
      </c>
    </row>
    <row r="100" spans="1:21" ht="15.75" customHeight="1">
      <c r="A100" s="66" t="str">
        <f>IF(E100="","",VLOOKUP('Opći dio'!$C$3,'Opći dio'!$L$6:$U$137,10,FALSE))</f>
        <v/>
      </c>
      <c r="B100" s="66" t="str">
        <f>IF(E100="","",VLOOKUP('Opći dio'!$C$3,'Opći dio'!$L$6:$U$137,9,FALSE))</f>
        <v/>
      </c>
      <c r="C100" s="55" t="str">
        <f t="shared" si="5"/>
        <v/>
      </c>
      <c r="D100" s="56" t="str">
        <f t="shared" si="6"/>
        <v/>
      </c>
      <c r="E100" s="61"/>
      <c r="F100" s="58" t="str">
        <f t="shared" si="7"/>
        <v/>
      </c>
      <c r="G100" s="59"/>
      <c r="H100" s="59"/>
      <c r="I100" s="59"/>
      <c r="K100" s="44" t="str">
        <f t="shared" si="3"/>
        <v/>
      </c>
      <c r="L100" s="44" t="str">
        <f t="shared" si="4"/>
        <v/>
      </c>
      <c r="Q100" s="65">
        <v>818120043</v>
      </c>
      <c r="R100" s="64" t="s">
        <v>597</v>
      </c>
      <c r="S100" s="65">
        <v>43</v>
      </c>
      <c r="T100" s="64" t="s">
        <v>489</v>
      </c>
      <c r="U100" s="60">
        <v>818</v>
      </c>
    </row>
    <row r="101" spans="1:21" ht="15.75" customHeight="1">
      <c r="A101" s="66" t="str">
        <f>IF(E101="","",VLOOKUP('Opći dio'!$C$3,'Opći dio'!$L$6:$U$137,10,FALSE))</f>
        <v/>
      </c>
      <c r="B101" s="66" t="str">
        <f>IF(E101="","",VLOOKUP('Opći dio'!$C$3,'Opći dio'!$L$6:$U$137,9,FALSE))</f>
        <v/>
      </c>
      <c r="C101" s="55" t="str">
        <f t="shared" si="5"/>
        <v/>
      </c>
      <c r="D101" s="56" t="str">
        <f t="shared" si="6"/>
        <v/>
      </c>
      <c r="E101" s="61"/>
      <c r="F101" s="58" t="str">
        <f t="shared" si="7"/>
        <v/>
      </c>
      <c r="G101" s="59"/>
      <c r="H101" s="59"/>
      <c r="I101" s="59"/>
      <c r="K101" s="44" t="str">
        <f t="shared" si="3"/>
        <v/>
      </c>
      <c r="L101" s="44" t="str">
        <f t="shared" si="4"/>
        <v/>
      </c>
      <c r="Q101" s="65">
        <v>832120043</v>
      </c>
      <c r="R101" s="64" t="s">
        <v>598</v>
      </c>
      <c r="S101" s="65">
        <v>43</v>
      </c>
      <c r="T101" s="64" t="s">
        <v>489</v>
      </c>
      <c r="U101" s="60">
        <v>832</v>
      </c>
    </row>
    <row r="102" spans="1:21" ht="15.75" customHeight="1">
      <c r="A102" s="66" t="str">
        <f>IF(E102="","",VLOOKUP('Opći dio'!$C$3,'Opći dio'!$L$6:$U$137,10,FALSE))</f>
        <v/>
      </c>
      <c r="B102" s="66" t="str">
        <f>IF(E102="","",VLOOKUP('Opći dio'!$C$3,'Opći dio'!$L$6:$U$137,9,FALSE))</f>
        <v/>
      </c>
      <c r="C102" s="55" t="str">
        <f t="shared" si="5"/>
        <v/>
      </c>
      <c r="D102" s="56" t="str">
        <f t="shared" si="6"/>
        <v/>
      </c>
      <c r="E102" s="61"/>
      <c r="F102" s="58" t="str">
        <f t="shared" si="7"/>
        <v/>
      </c>
      <c r="G102" s="59"/>
      <c r="H102" s="59"/>
      <c r="I102" s="59"/>
      <c r="K102" s="44" t="str">
        <f t="shared" si="3"/>
        <v/>
      </c>
      <c r="L102" s="44" t="str">
        <f t="shared" si="4"/>
        <v/>
      </c>
      <c r="Q102" s="65">
        <v>833130043</v>
      </c>
      <c r="R102" s="64" t="s">
        <v>599</v>
      </c>
      <c r="S102" s="65">
        <v>43</v>
      </c>
      <c r="T102" s="64" t="s">
        <v>489</v>
      </c>
      <c r="U102" s="60">
        <v>833</v>
      </c>
    </row>
    <row r="103" spans="1:21" ht="15.75" customHeight="1">
      <c r="A103" s="66" t="str">
        <f>IF(E103="","",VLOOKUP('Opći dio'!$C$3,'Opći dio'!$L$6:$U$137,10,FALSE))</f>
        <v/>
      </c>
      <c r="B103" s="66" t="str">
        <f>IF(E103="","",VLOOKUP('Opći dio'!$C$3,'Opći dio'!$L$6:$U$137,9,FALSE))</f>
        <v/>
      </c>
      <c r="C103" s="55" t="str">
        <f t="shared" si="5"/>
        <v/>
      </c>
      <c r="D103" s="56" t="str">
        <f t="shared" si="6"/>
        <v/>
      </c>
      <c r="E103" s="61"/>
      <c r="F103" s="58" t="str">
        <f t="shared" si="7"/>
        <v/>
      </c>
      <c r="G103" s="59"/>
      <c r="H103" s="59"/>
      <c r="I103" s="59"/>
      <c r="K103" s="44" t="str">
        <f t="shared" si="3"/>
        <v/>
      </c>
      <c r="L103" s="44" t="str">
        <f t="shared" si="4"/>
        <v/>
      </c>
      <c r="Q103" s="65">
        <v>841320000</v>
      </c>
      <c r="R103" s="64" t="s">
        <v>600</v>
      </c>
      <c r="S103" s="65">
        <v>81</v>
      </c>
      <c r="T103" s="64" t="s">
        <v>601</v>
      </c>
      <c r="U103" s="60">
        <v>841</v>
      </c>
    </row>
    <row r="104" spans="1:21" ht="15.75" customHeight="1">
      <c r="A104" s="66" t="str">
        <f>IF(E104="","",VLOOKUP('Opći dio'!$C$3,'Opći dio'!$L$6:$U$137,10,FALSE))</f>
        <v/>
      </c>
      <c r="B104" s="66" t="str">
        <f>IF(E104="","",VLOOKUP('Opći dio'!$C$3,'Opći dio'!$L$6:$U$137,9,FALSE))</f>
        <v/>
      </c>
      <c r="C104" s="55" t="str">
        <f t="shared" si="5"/>
        <v/>
      </c>
      <c r="D104" s="56" t="str">
        <f t="shared" si="6"/>
        <v/>
      </c>
      <c r="E104" s="61"/>
      <c r="F104" s="58" t="str">
        <f t="shared" si="7"/>
        <v/>
      </c>
      <c r="G104" s="59"/>
      <c r="H104" s="59"/>
      <c r="I104" s="59"/>
      <c r="K104" s="44" t="str">
        <f t="shared" si="3"/>
        <v/>
      </c>
      <c r="L104" s="44" t="str">
        <f t="shared" si="4"/>
        <v/>
      </c>
      <c r="Q104" s="65">
        <v>842220081</v>
      </c>
      <c r="R104" s="64" t="s">
        <v>602</v>
      </c>
      <c r="S104" s="65">
        <v>81</v>
      </c>
      <c r="T104" s="64" t="s">
        <v>601</v>
      </c>
      <c r="U104" s="60">
        <v>842</v>
      </c>
    </row>
    <row r="105" spans="1:21" ht="15.75" customHeight="1">
      <c r="A105" s="66" t="str">
        <f>IF(E105="","",VLOOKUP('Opći dio'!$C$3,'Opći dio'!$L$6:$U$137,10,FALSE))</f>
        <v/>
      </c>
      <c r="B105" s="66" t="str">
        <f>IF(E105="","",VLOOKUP('Opći dio'!$C$3,'Opći dio'!$L$6:$U$137,9,FALSE))</f>
        <v/>
      </c>
      <c r="C105" s="55" t="str">
        <f t="shared" si="5"/>
        <v/>
      </c>
      <c r="D105" s="56" t="str">
        <f t="shared" si="6"/>
        <v/>
      </c>
      <c r="E105" s="61"/>
      <c r="F105" s="58" t="str">
        <f t="shared" si="7"/>
        <v/>
      </c>
      <c r="G105" s="59"/>
      <c r="H105" s="59"/>
      <c r="I105" s="59"/>
      <c r="K105" s="44" t="str">
        <f t="shared" si="3"/>
        <v/>
      </c>
      <c r="L105" s="44" t="str">
        <f t="shared" si="4"/>
        <v/>
      </c>
    </row>
    <row r="106" spans="1:21" ht="15.75" customHeight="1">
      <c r="A106" s="66" t="str">
        <f>IF(E106="","",VLOOKUP('Opći dio'!$C$3,'Opći dio'!$L$6:$U$137,10,FALSE))</f>
        <v/>
      </c>
      <c r="B106" s="66" t="str">
        <f>IF(E106="","",VLOOKUP('Opći dio'!$C$3,'Opći dio'!$L$6:$U$137,9,FALSE))</f>
        <v/>
      </c>
      <c r="C106" s="55" t="str">
        <f t="shared" si="5"/>
        <v/>
      </c>
      <c r="D106" s="56" t="str">
        <f t="shared" si="6"/>
        <v/>
      </c>
      <c r="E106" s="61"/>
      <c r="F106" s="58" t="str">
        <f t="shared" si="7"/>
        <v/>
      </c>
      <c r="G106" s="59"/>
      <c r="H106" s="59"/>
      <c r="I106" s="59"/>
      <c r="K106" s="44" t="str">
        <f t="shared" si="3"/>
        <v/>
      </c>
      <c r="L106" s="44" t="str">
        <f t="shared" si="4"/>
        <v/>
      </c>
    </row>
    <row r="107" spans="1:21" ht="15.75" customHeight="1">
      <c r="A107" s="66" t="str">
        <f>IF(E107="","",VLOOKUP('Opći dio'!$C$3,'Opći dio'!$L$6:$U$137,10,FALSE))</f>
        <v/>
      </c>
      <c r="B107" s="66" t="str">
        <f>IF(E107="","",VLOOKUP('Opći dio'!$C$3,'Opći dio'!$L$6:$U$137,9,FALSE))</f>
        <v/>
      </c>
      <c r="C107" s="55" t="str">
        <f t="shared" si="5"/>
        <v/>
      </c>
      <c r="D107" s="56" t="str">
        <f t="shared" si="6"/>
        <v/>
      </c>
      <c r="E107" s="61"/>
      <c r="F107" s="58" t="str">
        <f t="shared" si="7"/>
        <v/>
      </c>
      <c r="G107" s="59"/>
      <c r="H107" s="59"/>
      <c r="I107" s="59"/>
      <c r="K107" s="44" t="str">
        <f t="shared" si="3"/>
        <v/>
      </c>
      <c r="L107" s="44" t="str">
        <f t="shared" si="4"/>
        <v/>
      </c>
    </row>
    <row r="108" spans="1:21" ht="15.75" customHeight="1">
      <c r="A108" s="66" t="str">
        <f>IF(E108="","",VLOOKUP('Opći dio'!$C$3,'Opći dio'!$L$6:$U$137,10,FALSE))</f>
        <v/>
      </c>
      <c r="B108" s="66" t="str">
        <f>IF(E108="","",VLOOKUP('Opći dio'!$C$3,'Opći dio'!$L$6:$U$137,9,FALSE))</f>
        <v/>
      </c>
      <c r="C108" s="55" t="str">
        <f t="shared" si="5"/>
        <v/>
      </c>
      <c r="D108" s="56" t="str">
        <f t="shared" si="6"/>
        <v/>
      </c>
      <c r="E108" s="61"/>
      <c r="F108" s="58" t="str">
        <f t="shared" si="7"/>
        <v/>
      </c>
      <c r="G108" s="59"/>
      <c r="H108" s="59"/>
      <c r="I108" s="59"/>
      <c r="K108" s="44" t="str">
        <f t="shared" si="3"/>
        <v/>
      </c>
      <c r="L108" s="44" t="str">
        <f t="shared" si="4"/>
        <v/>
      </c>
    </row>
    <row r="109" spans="1:21" ht="15.75" customHeight="1">
      <c r="A109" s="66" t="str">
        <f>IF(E109="","",VLOOKUP('Opći dio'!$C$3,'Opći dio'!$L$6:$U$137,10,FALSE))</f>
        <v/>
      </c>
      <c r="B109" s="66" t="str">
        <f>IF(E109="","",VLOOKUP('Opći dio'!$C$3,'Opći dio'!$L$6:$U$137,9,FALSE))</f>
        <v/>
      </c>
      <c r="C109" s="55" t="str">
        <f t="shared" si="5"/>
        <v/>
      </c>
      <c r="D109" s="56" t="str">
        <f t="shared" si="6"/>
        <v/>
      </c>
      <c r="E109" s="61"/>
      <c r="F109" s="58" t="str">
        <f t="shared" si="7"/>
        <v/>
      </c>
      <c r="G109" s="59"/>
      <c r="H109" s="59"/>
      <c r="I109" s="59"/>
      <c r="K109" s="44" t="str">
        <f t="shared" si="3"/>
        <v/>
      </c>
      <c r="L109" s="44" t="str">
        <f t="shared" si="4"/>
        <v/>
      </c>
    </row>
    <row r="110" spans="1:21" ht="15.75" customHeight="1">
      <c r="A110" s="66" t="str">
        <f>IF(E110="","",VLOOKUP('Opći dio'!$C$3,'Opći dio'!$L$6:$U$137,10,FALSE))</f>
        <v/>
      </c>
      <c r="B110" s="66" t="str">
        <f>IF(E110="","",VLOOKUP('Opći dio'!$C$3,'Opći dio'!$L$6:$U$137,9,FALSE))</f>
        <v/>
      </c>
      <c r="C110" s="55" t="str">
        <f t="shared" si="5"/>
        <v/>
      </c>
      <c r="D110" s="56" t="str">
        <f t="shared" si="6"/>
        <v/>
      </c>
      <c r="E110" s="61"/>
      <c r="F110" s="58" t="str">
        <f t="shared" si="7"/>
        <v/>
      </c>
      <c r="G110" s="59"/>
      <c r="H110" s="59"/>
      <c r="I110" s="59"/>
      <c r="K110" s="44" t="str">
        <f t="shared" si="3"/>
        <v/>
      </c>
      <c r="L110" s="44" t="str">
        <f t="shared" si="4"/>
        <v/>
      </c>
    </row>
    <row r="111" spans="1:21" ht="15.75" customHeight="1">
      <c r="A111" s="66" t="str">
        <f>IF(E111="","",VLOOKUP('Opći dio'!$C$3,'Opći dio'!$L$6:$U$137,10,FALSE))</f>
        <v/>
      </c>
      <c r="B111" s="66" t="str">
        <f>IF(E111="","",VLOOKUP('Opći dio'!$C$3,'Opći dio'!$L$6:$U$137,9,FALSE))</f>
        <v/>
      </c>
      <c r="C111" s="55" t="str">
        <f t="shared" si="5"/>
        <v/>
      </c>
      <c r="D111" s="56" t="str">
        <f t="shared" si="6"/>
        <v/>
      </c>
      <c r="E111" s="61"/>
      <c r="F111" s="58" t="str">
        <f t="shared" si="7"/>
        <v/>
      </c>
      <c r="G111" s="59"/>
      <c r="H111" s="59"/>
      <c r="I111" s="59"/>
      <c r="K111" s="44" t="str">
        <f t="shared" si="3"/>
        <v/>
      </c>
      <c r="L111" s="44" t="str">
        <f t="shared" si="4"/>
        <v/>
      </c>
    </row>
    <row r="112" spans="1:21" ht="15.75" customHeight="1">
      <c r="A112" s="66" t="str">
        <f>IF(E112="","",VLOOKUP('Opći dio'!$C$3,'Opći dio'!$L$6:$U$137,10,FALSE))</f>
        <v/>
      </c>
      <c r="B112" s="66" t="str">
        <f>IF(E112="","",VLOOKUP('Opći dio'!$C$3,'Opći dio'!$L$6:$U$137,9,FALSE))</f>
        <v/>
      </c>
      <c r="C112" s="55" t="str">
        <f t="shared" si="5"/>
        <v/>
      </c>
      <c r="D112" s="56" t="str">
        <f t="shared" si="6"/>
        <v/>
      </c>
      <c r="E112" s="61"/>
      <c r="F112" s="58" t="str">
        <f t="shared" si="7"/>
        <v/>
      </c>
      <c r="G112" s="59"/>
      <c r="H112" s="59"/>
      <c r="I112" s="59"/>
      <c r="K112" s="44" t="str">
        <f t="shared" si="3"/>
        <v/>
      </c>
      <c r="L112" s="44" t="str">
        <f t="shared" si="4"/>
        <v/>
      </c>
    </row>
    <row r="113" spans="1:12" ht="15.75" customHeight="1">
      <c r="A113" s="66" t="str">
        <f>IF(E113="","",VLOOKUP('Opći dio'!$C$3,'Opći dio'!$L$6:$U$137,10,FALSE))</f>
        <v/>
      </c>
      <c r="B113" s="66" t="str">
        <f>IF(E113="","",VLOOKUP('Opći dio'!$C$3,'Opći dio'!$L$6:$U$137,9,FALSE))</f>
        <v/>
      </c>
      <c r="C113" s="55" t="str">
        <f t="shared" si="5"/>
        <v/>
      </c>
      <c r="D113" s="56" t="str">
        <f t="shared" si="6"/>
        <v/>
      </c>
      <c r="E113" s="61"/>
      <c r="F113" s="58" t="str">
        <f t="shared" si="7"/>
        <v/>
      </c>
      <c r="G113" s="59"/>
      <c r="H113" s="59"/>
      <c r="I113" s="59"/>
      <c r="K113" s="44" t="str">
        <f t="shared" si="3"/>
        <v/>
      </c>
      <c r="L113" s="44" t="str">
        <f t="shared" si="4"/>
        <v/>
      </c>
    </row>
    <row r="114" spans="1:12" ht="15.75" customHeight="1">
      <c r="A114" s="66" t="str">
        <f>IF(E114="","",VLOOKUP('Opći dio'!$C$3,'Opći dio'!$L$6:$U$137,10,FALSE))</f>
        <v/>
      </c>
      <c r="B114" s="66" t="str">
        <f>IF(E114="","",VLOOKUP('Opći dio'!$C$3,'Opći dio'!$L$6:$U$137,9,FALSE))</f>
        <v/>
      </c>
      <c r="C114" s="55" t="str">
        <f t="shared" si="5"/>
        <v/>
      </c>
      <c r="D114" s="56" t="str">
        <f t="shared" si="6"/>
        <v/>
      </c>
      <c r="E114" s="61"/>
      <c r="F114" s="58" t="str">
        <f t="shared" si="7"/>
        <v/>
      </c>
      <c r="G114" s="59"/>
      <c r="H114" s="59"/>
      <c r="I114" s="59"/>
      <c r="K114" s="44" t="str">
        <f t="shared" si="3"/>
        <v/>
      </c>
      <c r="L114" s="44" t="str">
        <f t="shared" si="4"/>
        <v/>
      </c>
    </row>
    <row r="115" spans="1:12" ht="15.75" customHeight="1">
      <c r="A115" s="66" t="str">
        <f>IF(E115="","",VLOOKUP('Opći dio'!$C$3,'Opći dio'!$L$6:$U$137,10,FALSE))</f>
        <v/>
      </c>
      <c r="B115" s="66" t="str">
        <f>IF(E115="","",VLOOKUP('Opći dio'!$C$3,'Opći dio'!$L$6:$U$137,9,FALSE))</f>
        <v/>
      </c>
      <c r="C115" s="55" t="str">
        <f t="shared" si="5"/>
        <v/>
      </c>
      <c r="D115" s="56" t="str">
        <f t="shared" si="6"/>
        <v/>
      </c>
      <c r="E115" s="61"/>
      <c r="F115" s="58" t="str">
        <f t="shared" si="7"/>
        <v/>
      </c>
      <c r="G115" s="59"/>
      <c r="H115" s="59"/>
      <c r="I115" s="59"/>
      <c r="K115" s="44" t="str">
        <f t="shared" si="3"/>
        <v/>
      </c>
      <c r="L115" s="44" t="str">
        <f t="shared" si="4"/>
        <v/>
      </c>
    </row>
    <row r="116" spans="1:12" ht="15.75" customHeight="1">
      <c r="A116" s="66" t="str">
        <f>IF(E116="","",VLOOKUP('Opći dio'!$C$3,'Opći dio'!$L$6:$U$137,10,FALSE))</f>
        <v/>
      </c>
      <c r="B116" s="66" t="str">
        <f>IF(E116="","",VLOOKUP('Opći dio'!$C$3,'Opći dio'!$L$6:$U$137,9,FALSE))</f>
        <v/>
      </c>
      <c r="C116" s="55" t="str">
        <f t="shared" si="5"/>
        <v/>
      </c>
      <c r="D116" s="56" t="str">
        <f t="shared" si="6"/>
        <v/>
      </c>
      <c r="E116" s="61"/>
      <c r="F116" s="58" t="str">
        <f t="shared" si="7"/>
        <v/>
      </c>
      <c r="G116" s="59"/>
      <c r="H116" s="59"/>
      <c r="I116" s="59"/>
      <c r="K116" s="44" t="str">
        <f t="shared" si="3"/>
        <v/>
      </c>
      <c r="L116" s="44" t="str">
        <f t="shared" si="4"/>
        <v/>
      </c>
    </row>
    <row r="117" spans="1:12" ht="15.75" customHeight="1">
      <c r="A117" s="66" t="str">
        <f>IF(E117="","",VLOOKUP('Opći dio'!$C$3,'Opći dio'!$L$6:$U$137,10,FALSE))</f>
        <v/>
      </c>
      <c r="B117" s="66" t="str">
        <f>IF(E117="","",VLOOKUP('Opći dio'!$C$3,'Opći dio'!$L$6:$U$137,9,FALSE))</f>
        <v/>
      </c>
      <c r="C117" s="55" t="str">
        <f t="shared" si="5"/>
        <v/>
      </c>
      <c r="D117" s="56" t="str">
        <f t="shared" si="6"/>
        <v/>
      </c>
      <c r="E117" s="61"/>
      <c r="F117" s="58" t="str">
        <f t="shared" si="7"/>
        <v/>
      </c>
      <c r="G117" s="59"/>
      <c r="H117" s="59"/>
      <c r="I117" s="59"/>
      <c r="K117" s="44" t="str">
        <f t="shared" si="3"/>
        <v/>
      </c>
      <c r="L117" s="44" t="str">
        <f t="shared" si="4"/>
        <v/>
      </c>
    </row>
    <row r="118" spans="1:12" ht="15.75" customHeight="1">
      <c r="A118" s="66" t="str">
        <f>IF(E118="","",VLOOKUP('Opći dio'!$C$3,'Opći dio'!$L$6:$U$137,10,FALSE))</f>
        <v/>
      </c>
      <c r="B118" s="66" t="str">
        <f>IF(E118="","",VLOOKUP('Opći dio'!$C$3,'Opći dio'!$L$6:$U$137,9,FALSE))</f>
        <v/>
      </c>
      <c r="C118" s="55" t="str">
        <f t="shared" si="5"/>
        <v/>
      </c>
      <c r="D118" s="56" t="str">
        <f t="shared" si="6"/>
        <v/>
      </c>
      <c r="E118" s="61"/>
      <c r="F118" s="58" t="str">
        <f t="shared" si="7"/>
        <v/>
      </c>
      <c r="G118" s="59"/>
      <c r="H118" s="59"/>
      <c r="I118" s="59"/>
      <c r="K118" s="44" t="str">
        <f t="shared" si="3"/>
        <v/>
      </c>
      <c r="L118" s="44" t="str">
        <f t="shared" si="4"/>
        <v/>
      </c>
    </row>
    <row r="119" spans="1:12" ht="15.75" customHeight="1">
      <c r="A119" s="66" t="str">
        <f>IF(E119="","",VLOOKUP('Opći dio'!$C$3,'Opći dio'!$L$6:$U$137,10,FALSE))</f>
        <v/>
      </c>
      <c r="B119" s="66" t="str">
        <f>IF(E119="","",VLOOKUP('Opći dio'!$C$3,'Opći dio'!$L$6:$U$137,9,FALSE))</f>
        <v/>
      </c>
      <c r="C119" s="55" t="str">
        <f t="shared" si="5"/>
        <v/>
      </c>
      <c r="D119" s="56" t="str">
        <f t="shared" si="6"/>
        <v/>
      </c>
      <c r="E119" s="61"/>
      <c r="F119" s="58" t="str">
        <f t="shared" si="7"/>
        <v/>
      </c>
      <c r="G119" s="59"/>
      <c r="H119" s="59"/>
      <c r="I119" s="59"/>
      <c r="K119" s="44" t="str">
        <f t="shared" si="3"/>
        <v/>
      </c>
      <c r="L119" s="44" t="str">
        <f t="shared" si="4"/>
        <v/>
      </c>
    </row>
    <row r="120" spans="1:12" ht="15.75" customHeight="1">
      <c r="A120" s="66" t="str">
        <f>IF(E120="","",VLOOKUP('Opći dio'!$C$3,'Opći dio'!$L$6:$U$137,10,FALSE))</f>
        <v/>
      </c>
      <c r="B120" s="66" t="str">
        <f>IF(E120="","",VLOOKUP('Opći dio'!$C$3,'Opći dio'!$L$6:$U$137,9,FALSE))</f>
        <v/>
      </c>
      <c r="C120" s="55" t="str">
        <f t="shared" si="5"/>
        <v/>
      </c>
      <c r="D120" s="56" t="str">
        <f t="shared" si="6"/>
        <v/>
      </c>
      <c r="E120" s="61"/>
      <c r="F120" s="58" t="str">
        <f t="shared" si="7"/>
        <v/>
      </c>
      <c r="G120" s="59"/>
      <c r="H120" s="59"/>
      <c r="I120" s="59"/>
      <c r="K120" s="44" t="str">
        <f t="shared" si="3"/>
        <v/>
      </c>
      <c r="L120" s="44" t="str">
        <f t="shared" si="4"/>
        <v/>
      </c>
    </row>
    <row r="121" spans="1:12" ht="15.75" customHeight="1">
      <c r="A121" s="66" t="str">
        <f>IF(E121="","",VLOOKUP('Opći dio'!$C$3,'Opći dio'!$L$6:$U$137,10,FALSE))</f>
        <v/>
      </c>
      <c r="B121" s="66" t="str">
        <f>IF(E121="","",VLOOKUP('Opći dio'!$C$3,'Opći dio'!$L$6:$U$137,9,FALSE))</f>
        <v/>
      </c>
      <c r="C121" s="55" t="str">
        <f t="shared" si="5"/>
        <v/>
      </c>
      <c r="D121" s="56" t="str">
        <f t="shared" si="6"/>
        <v/>
      </c>
      <c r="E121" s="61"/>
      <c r="F121" s="58" t="str">
        <f t="shared" si="7"/>
        <v/>
      </c>
      <c r="G121" s="59"/>
      <c r="H121" s="59"/>
      <c r="I121" s="59"/>
      <c r="K121" s="44" t="str">
        <f t="shared" si="3"/>
        <v/>
      </c>
      <c r="L121" s="44" t="str">
        <f t="shared" si="4"/>
        <v/>
      </c>
    </row>
    <row r="122" spans="1:12" ht="15.75" customHeight="1">
      <c r="A122" s="66" t="str">
        <f>IF(E122="","",VLOOKUP('Opći dio'!$C$3,'Opći dio'!$L$6:$U$137,10,FALSE))</f>
        <v/>
      </c>
      <c r="B122" s="66" t="str">
        <f>IF(E122="","",VLOOKUP('Opći dio'!$C$3,'Opći dio'!$L$6:$U$137,9,FALSE))</f>
        <v/>
      </c>
      <c r="C122" s="55" t="str">
        <f t="shared" si="5"/>
        <v/>
      </c>
      <c r="D122" s="56" t="str">
        <f t="shared" si="6"/>
        <v/>
      </c>
      <c r="E122" s="61"/>
      <c r="F122" s="58" t="str">
        <f t="shared" si="7"/>
        <v/>
      </c>
      <c r="G122" s="59"/>
      <c r="H122" s="59"/>
      <c r="I122" s="59"/>
      <c r="K122" s="44" t="str">
        <f t="shared" si="3"/>
        <v/>
      </c>
      <c r="L122" s="44" t="str">
        <f t="shared" si="4"/>
        <v/>
      </c>
    </row>
    <row r="123" spans="1:12" ht="15.75" customHeight="1">
      <c r="A123" s="66" t="str">
        <f>IF(E123="","",VLOOKUP('Opći dio'!$C$3,'Opći dio'!$L$6:$U$137,10,FALSE))</f>
        <v/>
      </c>
      <c r="B123" s="66" t="str">
        <f>IF(E123="","",VLOOKUP('Opći dio'!$C$3,'Opći dio'!$L$6:$U$137,9,FALSE))</f>
        <v/>
      </c>
      <c r="C123" s="55" t="str">
        <f t="shared" si="5"/>
        <v/>
      </c>
      <c r="D123" s="56" t="str">
        <f t="shared" si="6"/>
        <v/>
      </c>
      <c r="E123" s="61"/>
      <c r="F123" s="58" t="str">
        <f t="shared" si="7"/>
        <v/>
      </c>
      <c r="G123" s="59"/>
      <c r="H123" s="59"/>
      <c r="I123" s="59"/>
      <c r="K123" s="44" t="str">
        <f t="shared" si="3"/>
        <v/>
      </c>
      <c r="L123" s="44" t="str">
        <f t="shared" si="4"/>
        <v/>
      </c>
    </row>
    <row r="124" spans="1:12" ht="15.75" customHeight="1">
      <c r="A124" s="66" t="str">
        <f>IF(E124="","",VLOOKUP('Opći dio'!$C$3,'Opći dio'!$L$6:$U$137,10,FALSE))</f>
        <v/>
      </c>
      <c r="B124" s="66" t="str">
        <f>IF(E124="","",VLOOKUP('Opći dio'!$C$3,'Opći dio'!$L$6:$U$137,9,FALSE))</f>
        <v/>
      </c>
      <c r="C124" s="55" t="str">
        <f t="shared" si="5"/>
        <v/>
      </c>
      <c r="D124" s="56" t="str">
        <f t="shared" si="6"/>
        <v/>
      </c>
      <c r="E124" s="61"/>
      <c r="F124" s="58" t="str">
        <f t="shared" si="7"/>
        <v/>
      </c>
      <c r="G124" s="59"/>
      <c r="H124" s="59"/>
      <c r="I124" s="59"/>
      <c r="K124" s="44" t="str">
        <f t="shared" si="3"/>
        <v/>
      </c>
      <c r="L124" s="44" t="str">
        <f t="shared" si="4"/>
        <v/>
      </c>
    </row>
    <row r="125" spans="1:12" ht="15.75" customHeight="1">
      <c r="A125" s="66" t="str">
        <f>IF(E125="","",VLOOKUP('Opći dio'!$C$3,'Opći dio'!$L$6:$U$137,10,FALSE))</f>
        <v/>
      </c>
      <c r="B125" s="66" t="str">
        <f>IF(E125="","",VLOOKUP('Opći dio'!$C$3,'Opći dio'!$L$6:$U$137,9,FALSE))</f>
        <v/>
      </c>
      <c r="C125" s="55" t="str">
        <f t="shared" si="5"/>
        <v/>
      </c>
      <c r="D125" s="56" t="str">
        <f t="shared" si="6"/>
        <v/>
      </c>
      <c r="E125" s="61"/>
      <c r="F125" s="58" t="str">
        <f t="shared" si="7"/>
        <v/>
      </c>
      <c r="G125" s="59"/>
      <c r="H125" s="59"/>
      <c r="I125" s="59"/>
      <c r="K125" s="44" t="str">
        <f t="shared" si="3"/>
        <v/>
      </c>
      <c r="L125" s="44" t="str">
        <f t="shared" si="4"/>
        <v/>
      </c>
    </row>
    <row r="126" spans="1:12" ht="15.75" customHeight="1">
      <c r="A126" s="66" t="str">
        <f>IF(E126="","",VLOOKUP('Opći dio'!$C$3,'Opći dio'!$L$6:$U$137,10,FALSE))</f>
        <v/>
      </c>
      <c r="B126" s="66" t="str">
        <f>IF(E126="","",VLOOKUP('Opći dio'!$C$3,'Opći dio'!$L$6:$U$137,9,FALSE))</f>
        <v/>
      </c>
      <c r="C126" s="55" t="str">
        <f t="shared" si="5"/>
        <v/>
      </c>
      <c r="D126" s="56" t="str">
        <f t="shared" si="6"/>
        <v/>
      </c>
      <c r="E126" s="61"/>
      <c r="F126" s="58" t="str">
        <f t="shared" si="7"/>
        <v/>
      </c>
      <c r="G126" s="59"/>
      <c r="H126" s="59"/>
      <c r="I126" s="59"/>
      <c r="K126" s="44" t="str">
        <f t="shared" si="3"/>
        <v/>
      </c>
      <c r="L126" s="44" t="str">
        <f t="shared" si="4"/>
        <v/>
      </c>
    </row>
    <row r="127" spans="1:12" ht="15.75" customHeight="1">
      <c r="A127" s="66" t="str">
        <f>IF(E127="","",VLOOKUP('Opći dio'!$C$3,'Opći dio'!$L$6:$U$137,10,FALSE))</f>
        <v/>
      </c>
      <c r="B127" s="66" t="str">
        <f>IF(E127="","",VLOOKUP('Opći dio'!$C$3,'Opći dio'!$L$6:$U$137,9,FALSE))</f>
        <v/>
      </c>
      <c r="C127" s="55" t="str">
        <f t="shared" si="5"/>
        <v/>
      </c>
      <c r="D127" s="56" t="str">
        <f t="shared" si="6"/>
        <v/>
      </c>
      <c r="E127" s="61"/>
      <c r="F127" s="58" t="str">
        <f t="shared" si="7"/>
        <v/>
      </c>
      <c r="G127" s="59"/>
      <c r="H127" s="59"/>
      <c r="I127" s="59"/>
      <c r="K127" s="44" t="str">
        <f t="shared" si="3"/>
        <v/>
      </c>
      <c r="L127" s="44" t="str">
        <f t="shared" si="4"/>
        <v/>
      </c>
    </row>
    <row r="128" spans="1:12" ht="15.75" customHeight="1">
      <c r="A128" s="66" t="str">
        <f>IF(E128="","",VLOOKUP('Opći dio'!$C$3,'Opći dio'!$L$6:$U$137,10,FALSE))</f>
        <v/>
      </c>
      <c r="B128" s="66" t="str">
        <f>IF(E128="","",VLOOKUP('Opći dio'!$C$3,'Opći dio'!$L$6:$U$137,9,FALSE))</f>
        <v/>
      </c>
      <c r="C128" s="55" t="str">
        <f t="shared" si="5"/>
        <v/>
      </c>
      <c r="D128" s="56" t="str">
        <f t="shared" si="6"/>
        <v/>
      </c>
      <c r="E128" s="61"/>
      <c r="F128" s="58" t="str">
        <f t="shared" si="7"/>
        <v/>
      </c>
      <c r="G128" s="59"/>
      <c r="H128" s="59"/>
      <c r="I128" s="59"/>
      <c r="K128" s="44" t="str">
        <f t="shared" si="3"/>
        <v/>
      </c>
      <c r="L128" s="44" t="str">
        <f t="shared" si="4"/>
        <v/>
      </c>
    </row>
    <row r="129" spans="1:12" ht="15.75" customHeight="1">
      <c r="A129" s="66" t="str">
        <f>IF(E129="","",VLOOKUP('Opći dio'!$C$3,'Opći dio'!$L$6:$U$137,10,FALSE))</f>
        <v/>
      </c>
      <c r="B129" s="66" t="str">
        <f>IF(E129="","",VLOOKUP('Opći dio'!$C$3,'Opći dio'!$L$6:$U$137,9,FALSE))</f>
        <v/>
      </c>
      <c r="C129" s="55" t="str">
        <f t="shared" si="5"/>
        <v/>
      </c>
      <c r="D129" s="56" t="str">
        <f t="shared" si="6"/>
        <v/>
      </c>
      <c r="E129" s="61"/>
      <c r="F129" s="58" t="str">
        <f t="shared" si="7"/>
        <v/>
      </c>
      <c r="G129" s="59"/>
      <c r="H129" s="59"/>
      <c r="I129" s="59"/>
      <c r="K129" s="44" t="str">
        <f t="shared" si="3"/>
        <v/>
      </c>
      <c r="L129" s="44" t="str">
        <f t="shared" si="4"/>
        <v/>
      </c>
    </row>
    <row r="130" spans="1:12" ht="15.75" customHeight="1">
      <c r="A130" s="66" t="str">
        <f>IF(E130="","",VLOOKUP('Opći dio'!$C$3,'Opći dio'!$L$6:$U$137,10,FALSE))</f>
        <v/>
      </c>
      <c r="B130" s="66" t="str">
        <f>IF(E130="","",VLOOKUP('Opći dio'!$C$3,'Opći dio'!$L$6:$U$137,9,FALSE))</f>
        <v/>
      </c>
      <c r="C130" s="55" t="str">
        <f t="shared" si="5"/>
        <v/>
      </c>
      <c r="D130" s="56" t="str">
        <f t="shared" si="6"/>
        <v/>
      </c>
      <c r="E130" s="61"/>
      <c r="F130" s="58" t="str">
        <f t="shared" si="7"/>
        <v/>
      </c>
      <c r="G130" s="59"/>
      <c r="H130" s="59"/>
      <c r="I130" s="59"/>
      <c r="K130" s="44" t="str">
        <f t="shared" si="3"/>
        <v/>
      </c>
      <c r="L130" s="44" t="str">
        <f t="shared" si="4"/>
        <v/>
      </c>
    </row>
    <row r="131" spans="1:12" ht="15.75" customHeight="1">
      <c r="A131" s="66" t="str">
        <f>IF(E131="","",VLOOKUP('Opći dio'!$C$3,'Opći dio'!$L$6:$U$137,10,FALSE))</f>
        <v/>
      </c>
      <c r="B131" s="66" t="str">
        <f>IF(E131="","",VLOOKUP('Opći dio'!$C$3,'Opći dio'!$L$6:$U$137,9,FALSE))</f>
        <v/>
      </c>
      <c r="C131" s="55" t="str">
        <f t="shared" ref="C131:C194" si="8">IFERROR(VLOOKUP(E131,$Q$6:$T$104,3,FALSE),"")</f>
        <v/>
      </c>
      <c r="D131" s="56" t="str">
        <f t="shared" ref="D131:D194" si="9">IFERROR(VLOOKUP(E131,$Q$6:$T$104,4,FALSE),"")</f>
        <v/>
      </c>
      <c r="E131" s="61"/>
      <c r="F131" s="58" t="str">
        <f t="shared" ref="F131:F194" si="10">IFERROR(VLOOKUP(E131,$Q$6:$T$104,2,FALSE),"")</f>
        <v/>
      </c>
      <c r="G131" s="59"/>
      <c r="H131" s="59"/>
      <c r="I131" s="59"/>
      <c r="K131" s="44" t="str">
        <f t="shared" si="3"/>
        <v/>
      </c>
      <c r="L131" s="44" t="str">
        <f t="shared" si="4"/>
        <v/>
      </c>
    </row>
    <row r="132" spans="1:12" ht="15.75" customHeight="1">
      <c r="A132" s="66" t="str">
        <f>IF(E132="","",VLOOKUP('Opći dio'!$C$3,'Opći dio'!$L$6:$U$137,10,FALSE))</f>
        <v/>
      </c>
      <c r="B132" s="66" t="str">
        <f>IF(E132="","",VLOOKUP('Opći dio'!$C$3,'Opći dio'!$L$6:$U$137,9,FALSE))</f>
        <v/>
      </c>
      <c r="C132" s="55" t="str">
        <f t="shared" si="8"/>
        <v/>
      </c>
      <c r="D132" s="56" t="str">
        <f t="shared" si="9"/>
        <v/>
      </c>
      <c r="E132" s="61"/>
      <c r="F132" s="58" t="str">
        <f t="shared" si="10"/>
        <v/>
      </c>
      <c r="G132" s="59"/>
      <c r="H132" s="59"/>
      <c r="I132" s="59"/>
      <c r="K132" s="44" t="str">
        <f t="shared" si="3"/>
        <v/>
      </c>
      <c r="L132" s="44" t="str">
        <f t="shared" si="4"/>
        <v/>
      </c>
    </row>
    <row r="133" spans="1:12" ht="15.75" customHeight="1">
      <c r="A133" s="66" t="str">
        <f>IF(E133="","",VLOOKUP('Opći dio'!$C$3,'Opći dio'!$L$6:$U$137,10,FALSE))</f>
        <v/>
      </c>
      <c r="B133" s="66" t="str">
        <f>IF(E133="","",VLOOKUP('Opći dio'!$C$3,'Opći dio'!$L$6:$U$137,9,FALSE))</f>
        <v/>
      </c>
      <c r="C133" s="55" t="str">
        <f t="shared" si="8"/>
        <v/>
      </c>
      <c r="D133" s="56" t="str">
        <f t="shared" si="9"/>
        <v/>
      </c>
      <c r="E133" s="61"/>
      <c r="F133" s="58" t="str">
        <f t="shared" si="10"/>
        <v/>
      </c>
      <c r="G133" s="59"/>
      <c r="H133" s="59"/>
      <c r="I133" s="59"/>
      <c r="K133" s="44" t="str">
        <f t="shared" si="3"/>
        <v/>
      </c>
      <c r="L133" s="44" t="str">
        <f t="shared" si="4"/>
        <v/>
      </c>
    </row>
    <row r="134" spans="1:12" ht="15.75" customHeight="1">
      <c r="A134" s="66" t="str">
        <f>IF(E134="","",VLOOKUP('Opći dio'!$C$3,'Opći dio'!$L$6:$U$137,10,FALSE))</f>
        <v/>
      </c>
      <c r="B134" s="66" t="str">
        <f>IF(E134="","",VLOOKUP('Opći dio'!$C$3,'Opći dio'!$L$6:$U$137,9,FALSE))</f>
        <v/>
      </c>
      <c r="C134" s="55" t="str">
        <f t="shared" si="8"/>
        <v/>
      </c>
      <c r="D134" s="56" t="str">
        <f t="shared" si="9"/>
        <v/>
      </c>
      <c r="E134" s="61"/>
      <c r="F134" s="58" t="str">
        <f t="shared" si="10"/>
        <v/>
      </c>
      <c r="G134" s="59"/>
      <c r="H134" s="59"/>
      <c r="I134" s="59"/>
      <c r="K134" s="44" t="str">
        <f t="shared" si="3"/>
        <v/>
      </c>
      <c r="L134" s="44" t="str">
        <f t="shared" si="4"/>
        <v/>
      </c>
    </row>
    <row r="135" spans="1:12" ht="15.75" customHeight="1">
      <c r="A135" s="66" t="str">
        <f>IF(E135="","",VLOOKUP('Opći dio'!$C$3,'Opći dio'!$L$6:$U$137,10,FALSE))</f>
        <v/>
      </c>
      <c r="B135" s="66" t="str">
        <f>IF(E135="","",VLOOKUP('Opći dio'!$C$3,'Opći dio'!$L$6:$U$137,9,FALSE))</f>
        <v/>
      </c>
      <c r="C135" s="55" t="str">
        <f t="shared" si="8"/>
        <v/>
      </c>
      <c r="D135" s="56" t="str">
        <f t="shared" si="9"/>
        <v/>
      </c>
      <c r="E135" s="61"/>
      <c r="F135" s="58" t="str">
        <f t="shared" si="10"/>
        <v/>
      </c>
      <c r="G135" s="59"/>
      <c r="H135" s="59"/>
      <c r="I135" s="59"/>
      <c r="K135" s="44" t="str">
        <f t="shared" si="3"/>
        <v/>
      </c>
      <c r="L135" s="44" t="str">
        <f t="shared" si="4"/>
        <v/>
      </c>
    </row>
    <row r="136" spans="1:12" ht="15.75" customHeight="1">
      <c r="A136" s="66" t="str">
        <f>IF(E136="","",VLOOKUP('Opći dio'!$C$3,'Opći dio'!$L$6:$U$137,10,FALSE))</f>
        <v/>
      </c>
      <c r="B136" s="66" t="str">
        <f>IF(E136="","",VLOOKUP('Opći dio'!$C$3,'Opći dio'!$L$6:$U$137,9,FALSE))</f>
        <v/>
      </c>
      <c r="C136" s="55" t="str">
        <f t="shared" si="8"/>
        <v/>
      </c>
      <c r="D136" s="56" t="str">
        <f t="shared" si="9"/>
        <v/>
      </c>
      <c r="E136" s="61"/>
      <c r="F136" s="58" t="str">
        <f t="shared" si="10"/>
        <v/>
      </c>
      <c r="G136" s="59"/>
      <c r="H136" s="59"/>
      <c r="I136" s="59"/>
      <c r="K136" s="44" t="str">
        <f t="shared" si="3"/>
        <v/>
      </c>
      <c r="L136" s="44" t="str">
        <f t="shared" si="4"/>
        <v/>
      </c>
    </row>
    <row r="137" spans="1:12" ht="15.75" customHeight="1">
      <c r="A137" s="66" t="str">
        <f>IF(E137="","",VLOOKUP('Opći dio'!$C$3,'Opći dio'!$L$6:$U$137,10,FALSE))</f>
        <v/>
      </c>
      <c r="B137" s="66" t="str">
        <f>IF(E137="","",VLOOKUP('Opći dio'!$C$3,'Opći dio'!$L$6:$U$137,9,FALSE))</f>
        <v/>
      </c>
      <c r="C137" s="55" t="str">
        <f t="shared" si="8"/>
        <v/>
      </c>
      <c r="D137" s="56" t="str">
        <f t="shared" si="9"/>
        <v/>
      </c>
      <c r="E137" s="61"/>
      <c r="F137" s="58" t="str">
        <f t="shared" si="10"/>
        <v/>
      </c>
      <c r="G137" s="59"/>
      <c r="H137" s="59"/>
      <c r="I137" s="59"/>
      <c r="K137" s="44" t="str">
        <f t="shared" si="3"/>
        <v/>
      </c>
      <c r="L137" s="44" t="str">
        <f t="shared" si="4"/>
        <v/>
      </c>
    </row>
    <row r="138" spans="1:12" ht="15.75" customHeight="1">
      <c r="A138" s="66" t="str">
        <f>IF(E138="","",VLOOKUP('Opći dio'!$C$3,'Opći dio'!$L$6:$U$137,10,FALSE))</f>
        <v/>
      </c>
      <c r="B138" s="66" t="str">
        <f>IF(E138="","",VLOOKUP('Opći dio'!$C$3,'Opći dio'!$L$6:$U$137,9,FALSE))</f>
        <v/>
      </c>
      <c r="C138" s="55" t="str">
        <f t="shared" si="8"/>
        <v/>
      </c>
      <c r="D138" s="56" t="str">
        <f t="shared" si="9"/>
        <v/>
      </c>
      <c r="E138" s="61"/>
      <c r="F138" s="58" t="str">
        <f t="shared" si="10"/>
        <v/>
      </c>
      <c r="G138" s="59"/>
      <c r="H138" s="59"/>
      <c r="I138" s="59"/>
      <c r="K138" s="44" t="str">
        <f t="shared" si="3"/>
        <v/>
      </c>
      <c r="L138" s="44" t="str">
        <f t="shared" si="4"/>
        <v/>
      </c>
    </row>
    <row r="139" spans="1:12" ht="15.75" customHeight="1">
      <c r="A139" s="66" t="str">
        <f>IF(E139="","",VLOOKUP('Opći dio'!$C$3,'Opći dio'!$L$6:$U$137,10,FALSE))</f>
        <v/>
      </c>
      <c r="B139" s="66" t="str">
        <f>IF(E139="","",VLOOKUP('Opći dio'!$C$3,'Opći dio'!$L$6:$U$137,9,FALSE))</f>
        <v/>
      </c>
      <c r="C139" s="55" t="str">
        <f t="shared" si="8"/>
        <v/>
      </c>
      <c r="D139" s="56" t="str">
        <f t="shared" si="9"/>
        <v/>
      </c>
      <c r="E139" s="61"/>
      <c r="F139" s="58" t="str">
        <f t="shared" si="10"/>
        <v/>
      </c>
      <c r="G139" s="59"/>
      <c r="H139" s="59"/>
      <c r="I139" s="59"/>
      <c r="K139" s="44" t="str">
        <f t="shared" si="3"/>
        <v/>
      </c>
      <c r="L139" s="44" t="str">
        <f t="shared" si="4"/>
        <v/>
      </c>
    </row>
    <row r="140" spans="1:12" ht="15.75" customHeight="1">
      <c r="A140" s="66" t="str">
        <f>IF(E140="","",VLOOKUP('Opći dio'!$C$3,'Opći dio'!$L$6:$U$137,10,FALSE))</f>
        <v/>
      </c>
      <c r="B140" s="66" t="str">
        <f>IF(E140="","",VLOOKUP('Opći dio'!$C$3,'Opći dio'!$L$6:$U$137,9,FALSE))</f>
        <v/>
      </c>
      <c r="C140" s="55" t="str">
        <f t="shared" si="8"/>
        <v/>
      </c>
      <c r="D140" s="56" t="str">
        <f t="shared" si="9"/>
        <v/>
      </c>
      <c r="E140" s="61"/>
      <c r="F140" s="58" t="str">
        <f t="shared" si="10"/>
        <v/>
      </c>
      <c r="G140" s="59"/>
      <c r="H140" s="59"/>
      <c r="I140" s="59"/>
      <c r="K140" s="44" t="str">
        <f t="shared" si="3"/>
        <v/>
      </c>
      <c r="L140" s="44" t="str">
        <f t="shared" si="4"/>
        <v/>
      </c>
    </row>
    <row r="141" spans="1:12" ht="15.75" customHeight="1">
      <c r="A141" s="66" t="str">
        <f>IF(E141="","",VLOOKUP('Opći dio'!$C$3,'Opći dio'!$L$6:$U$137,10,FALSE))</f>
        <v/>
      </c>
      <c r="B141" s="66" t="str">
        <f>IF(E141="","",VLOOKUP('Opći dio'!$C$3,'Opći dio'!$L$6:$U$137,9,FALSE))</f>
        <v/>
      </c>
      <c r="C141" s="55" t="str">
        <f t="shared" si="8"/>
        <v/>
      </c>
      <c r="D141" s="56" t="str">
        <f t="shared" si="9"/>
        <v/>
      </c>
      <c r="E141" s="61"/>
      <c r="F141" s="58" t="str">
        <f t="shared" si="10"/>
        <v/>
      </c>
      <c r="G141" s="59"/>
      <c r="H141" s="59"/>
      <c r="I141" s="59"/>
      <c r="K141" s="44" t="str">
        <f t="shared" si="3"/>
        <v/>
      </c>
      <c r="L141" s="44" t="str">
        <f t="shared" si="4"/>
        <v/>
      </c>
    </row>
    <row r="142" spans="1:12" ht="15.75" customHeight="1">
      <c r="A142" s="66" t="str">
        <f>IF(E142="","",VLOOKUP('Opći dio'!$C$3,'Opći dio'!$L$6:$U$137,10,FALSE))</f>
        <v/>
      </c>
      <c r="B142" s="66" t="str">
        <f>IF(E142="","",VLOOKUP('Opći dio'!$C$3,'Opći dio'!$L$6:$U$137,9,FALSE))</f>
        <v/>
      </c>
      <c r="C142" s="55" t="str">
        <f t="shared" si="8"/>
        <v/>
      </c>
      <c r="D142" s="56" t="str">
        <f t="shared" si="9"/>
        <v/>
      </c>
      <c r="E142" s="61"/>
      <c r="F142" s="58" t="str">
        <f t="shared" si="10"/>
        <v/>
      </c>
      <c r="G142" s="59"/>
      <c r="H142" s="59"/>
      <c r="I142" s="59"/>
      <c r="K142" s="44" t="str">
        <f t="shared" si="3"/>
        <v/>
      </c>
      <c r="L142" s="44" t="str">
        <f t="shared" si="4"/>
        <v/>
      </c>
    </row>
    <row r="143" spans="1:12" ht="15.75" customHeight="1">
      <c r="A143" s="66" t="str">
        <f>IF(E143="","",VLOOKUP('Opći dio'!$C$3,'Opći dio'!$L$6:$U$137,10,FALSE))</f>
        <v/>
      </c>
      <c r="B143" s="66" t="str">
        <f>IF(E143="","",VLOOKUP('Opći dio'!$C$3,'Opći dio'!$L$6:$U$137,9,FALSE))</f>
        <v/>
      </c>
      <c r="C143" s="55" t="str">
        <f t="shared" si="8"/>
        <v/>
      </c>
      <c r="D143" s="56" t="str">
        <f t="shared" si="9"/>
        <v/>
      </c>
      <c r="E143" s="61"/>
      <c r="F143" s="58" t="str">
        <f t="shared" si="10"/>
        <v/>
      </c>
      <c r="G143" s="59"/>
      <c r="H143" s="59"/>
      <c r="I143" s="59"/>
      <c r="K143" s="44" t="str">
        <f t="shared" si="3"/>
        <v/>
      </c>
      <c r="L143" s="44" t="str">
        <f t="shared" si="4"/>
        <v/>
      </c>
    </row>
    <row r="144" spans="1:12" ht="15.75" customHeight="1">
      <c r="A144" s="66" t="str">
        <f>IF(E144="","",VLOOKUP('Opći dio'!$C$3,'Opći dio'!$L$6:$U$137,10,FALSE))</f>
        <v/>
      </c>
      <c r="B144" s="66" t="str">
        <f>IF(E144="","",VLOOKUP('Opći dio'!$C$3,'Opći dio'!$L$6:$U$137,9,FALSE))</f>
        <v/>
      </c>
      <c r="C144" s="55" t="str">
        <f t="shared" si="8"/>
        <v/>
      </c>
      <c r="D144" s="56" t="str">
        <f t="shared" si="9"/>
        <v/>
      </c>
      <c r="E144" s="61"/>
      <c r="F144" s="58" t="str">
        <f t="shared" si="10"/>
        <v/>
      </c>
      <c r="G144" s="59"/>
      <c r="H144" s="59"/>
      <c r="I144" s="59"/>
      <c r="K144" s="44" t="str">
        <f t="shared" si="3"/>
        <v/>
      </c>
      <c r="L144" s="44" t="str">
        <f t="shared" si="4"/>
        <v/>
      </c>
    </row>
    <row r="145" spans="1:12" ht="15.75" customHeight="1">
      <c r="A145" s="66" t="str">
        <f>IF(E145="","",VLOOKUP('Opći dio'!$C$3,'Opći dio'!$L$6:$U$137,10,FALSE))</f>
        <v/>
      </c>
      <c r="B145" s="66" t="str">
        <f>IF(E145="","",VLOOKUP('Opći dio'!$C$3,'Opći dio'!$L$6:$U$137,9,FALSE))</f>
        <v/>
      </c>
      <c r="C145" s="55" t="str">
        <f t="shared" si="8"/>
        <v/>
      </c>
      <c r="D145" s="56" t="str">
        <f t="shared" si="9"/>
        <v/>
      </c>
      <c r="E145" s="61"/>
      <c r="F145" s="58" t="str">
        <f t="shared" si="10"/>
        <v/>
      </c>
      <c r="G145" s="59"/>
      <c r="H145" s="59"/>
      <c r="I145" s="59"/>
      <c r="K145" s="44" t="str">
        <f t="shared" si="3"/>
        <v/>
      </c>
      <c r="L145" s="44" t="str">
        <f t="shared" si="4"/>
        <v/>
      </c>
    </row>
    <row r="146" spans="1:12" ht="15.75" customHeight="1">
      <c r="A146" s="66" t="str">
        <f>IF(E146="","",VLOOKUP('Opći dio'!$C$3,'Opći dio'!$L$6:$U$137,10,FALSE))</f>
        <v/>
      </c>
      <c r="B146" s="66" t="str">
        <f>IF(E146="","",VLOOKUP('Opći dio'!$C$3,'Opći dio'!$L$6:$U$137,9,FALSE))</f>
        <v/>
      </c>
      <c r="C146" s="55" t="str">
        <f t="shared" si="8"/>
        <v/>
      </c>
      <c r="D146" s="56" t="str">
        <f t="shared" si="9"/>
        <v/>
      </c>
      <c r="E146" s="61"/>
      <c r="F146" s="58" t="str">
        <f t="shared" si="10"/>
        <v/>
      </c>
      <c r="G146" s="59"/>
      <c r="H146" s="59"/>
      <c r="I146" s="59"/>
      <c r="K146" s="44" t="str">
        <f t="shared" si="3"/>
        <v/>
      </c>
      <c r="L146" s="44" t="str">
        <f t="shared" si="4"/>
        <v/>
      </c>
    </row>
    <row r="147" spans="1:12" ht="15.75" customHeight="1">
      <c r="A147" s="66" t="str">
        <f>IF(E147="","",VLOOKUP('Opći dio'!$C$3,'Opći dio'!$L$6:$U$137,10,FALSE))</f>
        <v/>
      </c>
      <c r="B147" s="66" t="str">
        <f>IF(E147="","",VLOOKUP('Opći dio'!$C$3,'Opći dio'!$L$6:$U$137,9,FALSE))</f>
        <v/>
      </c>
      <c r="C147" s="55" t="str">
        <f t="shared" si="8"/>
        <v/>
      </c>
      <c r="D147" s="56" t="str">
        <f t="shared" si="9"/>
        <v/>
      </c>
      <c r="E147" s="61"/>
      <c r="F147" s="58" t="str">
        <f t="shared" si="10"/>
        <v/>
      </c>
      <c r="G147" s="59"/>
      <c r="H147" s="59"/>
      <c r="I147" s="59"/>
      <c r="K147" s="44" t="str">
        <f t="shared" si="3"/>
        <v/>
      </c>
      <c r="L147" s="44" t="str">
        <f t="shared" si="4"/>
        <v/>
      </c>
    </row>
    <row r="148" spans="1:12" ht="15.75" customHeight="1">
      <c r="A148" s="66" t="str">
        <f>IF(E148="","",VLOOKUP('Opći dio'!$C$3,'Opći dio'!$L$6:$U$137,10,FALSE))</f>
        <v/>
      </c>
      <c r="B148" s="66" t="str">
        <f>IF(E148="","",VLOOKUP('Opći dio'!$C$3,'Opći dio'!$L$6:$U$137,9,FALSE))</f>
        <v/>
      </c>
      <c r="C148" s="55" t="str">
        <f t="shared" si="8"/>
        <v/>
      </c>
      <c r="D148" s="56" t="str">
        <f t="shared" si="9"/>
        <v/>
      </c>
      <c r="E148" s="61"/>
      <c r="F148" s="58" t="str">
        <f t="shared" si="10"/>
        <v/>
      </c>
      <c r="G148" s="59"/>
      <c r="H148" s="59"/>
      <c r="I148" s="59"/>
      <c r="K148" s="44" t="str">
        <f t="shared" si="3"/>
        <v/>
      </c>
      <c r="L148" s="44" t="str">
        <f t="shared" si="4"/>
        <v/>
      </c>
    </row>
    <row r="149" spans="1:12" ht="15.75" customHeight="1">
      <c r="A149" s="66" t="str">
        <f>IF(E149="","",VLOOKUP('Opći dio'!$C$3,'Opći dio'!$L$6:$U$137,10,FALSE))</f>
        <v/>
      </c>
      <c r="B149" s="66" t="str">
        <f>IF(E149="","",VLOOKUP('Opći dio'!$C$3,'Opći dio'!$L$6:$U$137,9,FALSE))</f>
        <v/>
      </c>
      <c r="C149" s="55" t="str">
        <f t="shared" si="8"/>
        <v/>
      </c>
      <c r="D149" s="56" t="str">
        <f t="shared" si="9"/>
        <v/>
      </c>
      <c r="E149" s="61"/>
      <c r="F149" s="58" t="str">
        <f t="shared" si="10"/>
        <v/>
      </c>
      <c r="G149" s="59"/>
      <c r="H149" s="59"/>
      <c r="I149" s="59"/>
      <c r="K149" s="44" t="str">
        <f t="shared" si="3"/>
        <v/>
      </c>
      <c r="L149" s="44" t="str">
        <f t="shared" si="4"/>
        <v/>
      </c>
    </row>
    <row r="150" spans="1:12" ht="15.75" customHeight="1">
      <c r="A150" s="66" t="str">
        <f>IF(E150="","",VLOOKUP('Opći dio'!$C$3,'Opći dio'!$L$6:$U$137,10,FALSE))</f>
        <v/>
      </c>
      <c r="B150" s="66" t="str">
        <f>IF(E150="","",VLOOKUP('Opći dio'!$C$3,'Opći dio'!$L$6:$U$137,9,FALSE))</f>
        <v/>
      </c>
      <c r="C150" s="55" t="str">
        <f t="shared" si="8"/>
        <v/>
      </c>
      <c r="D150" s="56" t="str">
        <f t="shared" si="9"/>
        <v/>
      </c>
      <c r="E150" s="61"/>
      <c r="F150" s="58" t="str">
        <f t="shared" si="10"/>
        <v/>
      </c>
      <c r="G150" s="59"/>
      <c r="H150" s="59"/>
      <c r="I150" s="59"/>
      <c r="K150" s="44" t="str">
        <f t="shared" si="3"/>
        <v/>
      </c>
      <c r="L150" s="44" t="str">
        <f t="shared" si="4"/>
        <v/>
      </c>
    </row>
    <row r="151" spans="1:12" ht="15.75" customHeight="1">
      <c r="A151" s="66" t="str">
        <f>IF(E151="","",VLOOKUP('Opći dio'!$C$3,'Opći dio'!$L$6:$U$137,10,FALSE))</f>
        <v/>
      </c>
      <c r="B151" s="66" t="str">
        <f>IF(E151="","",VLOOKUP('Opći dio'!$C$3,'Opći dio'!$L$6:$U$137,9,FALSE))</f>
        <v/>
      </c>
      <c r="C151" s="55" t="str">
        <f t="shared" si="8"/>
        <v/>
      </c>
      <c r="D151" s="56" t="str">
        <f t="shared" si="9"/>
        <v/>
      </c>
      <c r="E151" s="61"/>
      <c r="F151" s="58" t="str">
        <f t="shared" si="10"/>
        <v/>
      </c>
      <c r="G151" s="59"/>
      <c r="H151" s="59"/>
      <c r="I151" s="59"/>
      <c r="K151" s="44" t="str">
        <f t="shared" si="3"/>
        <v/>
      </c>
      <c r="L151" s="44" t="str">
        <f t="shared" si="4"/>
        <v/>
      </c>
    </row>
    <row r="152" spans="1:12" ht="15.75" customHeight="1">
      <c r="A152" s="66" t="str">
        <f>IF(E152="","",VLOOKUP('Opći dio'!$C$3,'Opći dio'!$L$6:$U$137,10,FALSE))</f>
        <v/>
      </c>
      <c r="B152" s="66" t="str">
        <f>IF(E152="","",VLOOKUP('Opći dio'!$C$3,'Opći dio'!$L$6:$U$137,9,FALSE))</f>
        <v/>
      </c>
      <c r="C152" s="55" t="str">
        <f t="shared" si="8"/>
        <v/>
      </c>
      <c r="D152" s="56" t="str">
        <f t="shared" si="9"/>
        <v/>
      </c>
      <c r="E152" s="61"/>
      <c r="F152" s="58" t="str">
        <f t="shared" si="10"/>
        <v/>
      </c>
      <c r="G152" s="59"/>
      <c r="H152" s="59"/>
      <c r="I152" s="59"/>
      <c r="K152" s="44" t="str">
        <f t="shared" si="3"/>
        <v/>
      </c>
      <c r="L152" s="44" t="str">
        <f t="shared" si="4"/>
        <v/>
      </c>
    </row>
    <row r="153" spans="1:12" ht="15.75" customHeight="1">
      <c r="A153" s="66" t="str">
        <f>IF(E153="","",VLOOKUP('Opći dio'!$C$3,'Opći dio'!$L$6:$U$137,10,FALSE))</f>
        <v/>
      </c>
      <c r="B153" s="66" t="str">
        <f>IF(E153="","",VLOOKUP('Opći dio'!$C$3,'Opći dio'!$L$6:$U$137,9,FALSE))</f>
        <v/>
      </c>
      <c r="C153" s="55" t="str">
        <f t="shared" si="8"/>
        <v/>
      </c>
      <c r="D153" s="56" t="str">
        <f t="shared" si="9"/>
        <v/>
      </c>
      <c r="E153" s="61"/>
      <c r="F153" s="58" t="str">
        <f t="shared" si="10"/>
        <v/>
      </c>
      <c r="G153" s="59"/>
      <c r="H153" s="59"/>
      <c r="I153" s="59"/>
      <c r="K153" s="44" t="str">
        <f t="shared" si="3"/>
        <v/>
      </c>
      <c r="L153" s="44" t="str">
        <f t="shared" si="4"/>
        <v/>
      </c>
    </row>
    <row r="154" spans="1:12" ht="15.75" customHeight="1">
      <c r="A154" s="66" t="str">
        <f>IF(E154="","",VLOOKUP('Opći dio'!$C$3,'Opći dio'!$L$6:$U$137,10,FALSE))</f>
        <v/>
      </c>
      <c r="B154" s="66" t="str">
        <f>IF(E154="","",VLOOKUP('Opći dio'!$C$3,'Opći dio'!$L$6:$U$137,9,FALSE))</f>
        <v/>
      </c>
      <c r="C154" s="55" t="str">
        <f t="shared" si="8"/>
        <v/>
      </c>
      <c r="D154" s="56" t="str">
        <f t="shared" si="9"/>
        <v/>
      </c>
      <c r="E154" s="61"/>
      <c r="F154" s="58" t="str">
        <f t="shared" si="10"/>
        <v/>
      </c>
      <c r="G154" s="59"/>
      <c r="H154" s="59"/>
      <c r="I154" s="59"/>
      <c r="K154" s="44" t="str">
        <f t="shared" si="3"/>
        <v/>
      </c>
      <c r="L154" s="44" t="str">
        <f t="shared" si="4"/>
        <v/>
      </c>
    </row>
    <row r="155" spans="1:12" ht="15.75" customHeight="1">
      <c r="A155" s="66" t="str">
        <f>IF(E155="","",VLOOKUP('Opći dio'!$C$3,'Opći dio'!$L$6:$U$137,10,FALSE))</f>
        <v/>
      </c>
      <c r="B155" s="66" t="str">
        <f>IF(E155="","",VLOOKUP('Opći dio'!$C$3,'Opći dio'!$L$6:$U$137,9,FALSE))</f>
        <v/>
      </c>
      <c r="C155" s="55" t="str">
        <f t="shared" si="8"/>
        <v/>
      </c>
      <c r="D155" s="56" t="str">
        <f t="shared" si="9"/>
        <v/>
      </c>
      <c r="E155" s="61"/>
      <c r="F155" s="58" t="str">
        <f t="shared" si="10"/>
        <v/>
      </c>
      <c r="G155" s="59"/>
      <c r="H155" s="59"/>
      <c r="I155" s="59"/>
      <c r="K155" s="44" t="str">
        <f t="shared" si="3"/>
        <v/>
      </c>
      <c r="L155" s="44" t="str">
        <f t="shared" si="4"/>
        <v/>
      </c>
    </row>
    <row r="156" spans="1:12" ht="15.75" customHeight="1">
      <c r="A156" s="66" t="str">
        <f>IF(E156="","",VLOOKUP('Opći dio'!$C$3,'Opći dio'!$L$6:$U$137,10,FALSE))</f>
        <v/>
      </c>
      <c r="B156" s="66" t="str">
        <f>IF(E156="","",VLOOKUP('Opći dio'!$C$3,'Opći dio'!$L$6:$U$137,9,FALSE))</f>
        <v/>
      </c>
      <c r="C156" s="55" t="str">
        <f t="shared" si="8"/>
        <v/>
      </c>
      <c r="D156" s="56" t="str">
        <f t="shared" si="9"/>
        <v/>
      </c>
      <c r="E156" s="61"/>
      <c r="F156" s="58" t="str">
        <f t="shared" si="10"/>
        <v/>
      </c>
      <c r="G156" s="59"/>
      <c r="H156" s="59"/>
      <c r="I156" s="59"/>
      <c r="K156" s="44" t="str">
        <f t="shared" si="3"/>
        <v/>
      </c>
      <c r="L156" s="44" t="str">
        <f t="shared" si="4"/>
        <v/>
      </c>
    </row>
    <row r="157" spans="1:12" ht="15.75" customHeight="1">
      <c r="A157" s="66" t="str">
        <f>IF(E157="","",VLOOKUP('Opći dio'!$C$3,'Opći dio'!$L$6:$U$137,10,FALSE))</f>
        <v/>
      </c>
      <c r="B157" s="66" t="str">
        <f>IF(E157="","",VLOOKUP('Opći dio'!$C$3,'Opći dio'!$L$6:$U$137,9,FALSE))</f>
        <v/>
      </c>
      <c r="C157" s="55" t="str">
        <f t="shared" si="8"/>
        <v/>
      </c>
      <c r="D157" s="56" t="str">
        <f t="shared" si="9"/>
        <v/>
      </c>
      <c r="E157" s="61"/>
      <c r="F157" s="58" t="str">
        <f t="shared" si="10"/>
        <v/>
      </c>
      <c r="G157" s="59"/>
      <c r="H157" s="59"/>
      <c r="I157" s="59"/>
      <c r="K157" s="44" t="str">
        <f t="shared" si="3"/>
        <v/>
      </c>
      <c r="L157" s="44" t="str">
        <f t="shared" si="4"/>
        <v/>
      </c>
    </row>
    <row r="158" spans="1:12" ht="15.75" customHeight="1">
      <c r="A158" s="66" t="str">
        <f>IF(E158="","",VLOOKUP('Opći dio'!$C$3,'Opći dio'!$L$6:$U$137,10,FALSE))</f>
        <v/>
      </c>
      <c r="B158" s="66" t="str">
        <f>IF(E158="","",VLOOKUP('Opći dio'!$C$3,'Opći dio'!$L$6:$U$137,9,FALSE))</f>
        <v/>
      </c>
      <c r="C158" s="55" t="str">
        <f t="shared" si="8"/>
        <v/>
      </c>
      <c r="D158" s="56" t="str">
        <f t="shared" si="9"/>
        <v/>
      </c>
      <c r="E158" s="61"/>
      <c r="F158" s="58" t="str">
        <f t="shared" si="10"/>
        <v/>
      </c>
      <c r="G158" s="59"/>
      <c r="H158" s="59"/>
      <c r="I158" s="59"/>
      <c r="K158" s="44" t="str">
        <f t="shared" si="3"/>
        <v/>
      </c>
      <c r="L158" s="44" t="str">
        <f t="shared" si="4"/>
        <v/>
      </c>
    </row>
    <row r="159" spans="1:12" ht="15.75" customHeight="1">
      <c r="A159" s="66" t="str">
        <f>IF(E159="","",VLOOKUP('Opći dio'!$C$3,'Opći dio'!$L$6:$U$137,10,FALSE))</f>
        <v/>
      </c>
      <c r="B159" s="66" t="str">
        <f>IF(E159="","",VLOOKUP('Opći dio'!$C$3,'Opći dio'!$L$6:$U$137,9,FALSE))</f>
        <v/>
      </c>
      <c r="C159" s="55" t="str">
        <f t="shared" si="8"/>
        <v/>
      </c>
      <c r="D159" s="56" t="str">
        <f t="shared" si="9"/>
        <v/>
      </c>
      <c r="E159" s="61"/>
      <c r="F159" s="58" t="str">
        <f t="shared" si="10"/>
        <v/>
      </c>
      <c r="G159" s="59"/>
      <c r="H159" s="59"/>
      <c r="I159" s="59"/>
      <c r="K159" s="44" t="str">
        <f t="shared" si="3"/>
        <v/>
      </c>
      <c r="L159" s="44" t="str">
        <f t="shared" si="4"/>
        <v/>
      </c>
    </row>
    <row r="160" spans="1:12" ht="15.75" customHeight="1">
      <c r="A160" s="66" t="str">
        <f>IF(E160="","",VLOOKUP('Opći dio'!$C$3,'Opći dio'!$L$6:$U$137,10,FALSE))</f>
        <v/>
      </c>
      <c r="B160" s="66" t="str">
        <f>IF(E160="","",VLOOKUP('Opći dio'!$C$3,'Opći dio'!$L$6:$U$137,9,FALSE))</f>
        <v/>
      </c>
      <c r="C160" s="55" t="str">
        <f t="shared" si="8"/>
        <v/>
      </c>
      <c r="D160" s="56" t="str">
        <f t="shared" si="9"/>
        <v/>
      </c>
      <c r="E160" s="61"/>
      <c r="F160" s="58" t="str">
        <f t="shared" si="10"/>
        <v/>
      </c>
      <c r="G160" s="59"/>
      <c r="H160" s="59"/>
      <c r="I160" s="59"/>
      <c r="K160" s="44" t="str">
        <f t="shared" si="3"/>
        <v/>
      </c>
      <c r="L160" s="44" t="str">
        <f t="shared" si="4"/>
        <v/>
      </c>
    </row>
    <row r="161" spans="1:12" ht="15.75" customHeight="1">
      <c r="A161" s="66" t="str">
        <f>IF(E161="","",VLOOKUP('Opći dio'!$C$3,'Opći dio'!$L$6:$U$137,10,FALSE))</f>
        <v/>
      </c>
      <c r="B161" s="66" t="str">
        <f>IF(E161="","",VLOOKUP('Opći dio'!$C$3,'Opći dio'!$L$6:$U$137,9,FALSE))</f>
        <v/>
      </c>
      <c r="C161" s="55" t="str">
        <f t="shared" si="8"/>
        <v/>
      </c>
      <c r="D161" s="56" t="str">
        <f t="shared" si="9"/>
        <v/>
      </c>
      <c r="E161" s="61"/>
      <c r="F161" s="58" t="str">
        <f t="shared" si="10"/>
        <v/>
      </c>
      <c r="G161" s="59"/>
      <c r="H161" s="59"/>
      <c r="I161" s="59"/>
      <c r="K161" s="44" t="str">
        <f t="shared" si="3"/>
        <v/>
      </c>
      <c r="L161" s="44" t="str">
        <f t="shared" si="4"/>
        <v/>
      </c>
    </row>
    <row r="162" spans="1:12" ht="15.75" customHeight="1">
      <c r="A162" s="66" t="str">
        <f>IF(E162="","",VLOOKUP('Opći dio'!$C$3,'Opći dio'!$L$6:$U$137,10,FALSE))</f>
        <v/>
      </c>
      <c r="B162" s="66" t="str">
        <f>IF(E162="","",VLOOKUP('Opći dio'!$C$3,'Opći dio'!$L$6:$U$137,9,FALSE))</f>
        <v/>
      </c>
      <c r="C162" s="55" t="str">
        <f t="shared" si="8"/>
        <v/>
      </c>
      <c r="D162" s="56" t="str">
        <f t="shared" si="9"/>
        <v/>
      </c>
      <c r="E162" s="61"/>
      <c r="F162" s="58" t="str">
        <f t="shared" si="10"/>
        <v/>
      </c>
      <c r="G162" s="59"/>
      <c r="H162" s="59"/>
      <c r="I162" s="59"/>
      <c r="K162" s="44" t="str">
        <f t="shared" si="3"/>
        <v/>
      </c>
      <c r="L162" s="44" t="str">
        <f t="shared" si="4"/>
        <v/>
      </c>
    </row>
    <row r="163" spans="1:12" ht="15.75" customHeight="1">
      <c r="A163" s="66" t="str">
        <f>IF(E163="","",VLOOKUP('Opći dio'!$C$3,'Opći dio'!$L$6:$U$137,10,FALSE))</f>
        <v/>
      </c>
      <c r="B163" s="66" t="str">
        <f>IF(E163="","",VLOOKUP('Opći dio'!$C$3,'Opći dio'!$L$6:$U$137,9,FALSE))</f>
        <v/>
      </c>
      <c r="C163" s="55" t="str">
        <f t="shared" si="8"/>
        <v/>
      </c>
      <c r="D163" s="56" t="str">
        <f t="shared" si="9"/>
        <v/>
      </c>
      <c r="E163" s="61"/>
      <c r="F163" s="58" t="str">
        <f t="shared" si="10"/>
        <v/>
      </c>
      <c r="G163" s="59"/>
      <c r="H163" s="59"/>
      <c r="I163" s="59"/>
      <c r="K163" s="44" t="str">
        <f t="shared" si="3"/>
        <v/>
      </c>
      <c r="L163" s="44" t="str">
        <f t="shared" si="4"/>
        <v/>
      </c>
    </row>
    <row r="164" spans="1:12" ht="15.75" customHeight="1">
      <c r="A164" s="66" t="str">
        <f>IF(E164="","",VLOOKUP('Opći dio'!$C$3,'Opći dio'!$L$6:$U$137,10,FALSE))</f>
        <v/>
      </c>
      <c r="B164" s="66" t="str">
        <f>IF(E164="","",VLOOKUP('Opći dio'!$C$3,'Opći dio'!$L$6:$U$137,9,FALSE))</f>
        <v/>
      </c>
      <c r="C164" s="55" t="str">
        <f t="shared" si="8"/>
        <v/>
      </c>
      <c r="D164" s="56" t="str">
        <f t="shared" si="9"/>
        <v/>
      </c>
      <c r="E164" s="61"/>
      <c r="F164" s="58" t="str">
        <f t="shared" si="10"/>
        <v/>
      </c>
      <c r="G164" s="59"/>
      <c r="H164" s="59"/>
      <c r="I164" s="59"/>
      <c r="K164" s="44" t="str">
        <f t="shared" si="3"/>
        <v/>
      </c>
      <c r="L164" s="44" t="str">
        <f t="shared" si="4"/>
        <v/>
      </c>
    </row>
    <row r="165" spans="1:12" ht="15.75" customHeight="1">
      <c r="A165" s="66" t="str">
        <f>IF(E165="","",VLOOKUP('Opći dio'!$C$3,'Opći dio'!$L$6:$U$137,10,FALSE))</f>
        <v/>
      </c>
      <c r="B165" s="66" t="str">
        <f>IF(E165="","",VLOOKUP('Opći dio'!$C$3,'Opći dio'!$L$6:$U$137,9,FALSE))</f>
        <v/>
      </c>
      <c r="C165" s="55" t="str">
        <f t="shared" si="8"/>
        <v/>
      </c>
      <c r="D165" s="56" t="str">
        <f t="shared" si="9"/>
        <v/>
      </c>
      <c r="E165" s="61"/>
      <c r="F165" s="58" t="str">
        <f t="shared" si="10"/>
        <v/>
      </c>
      <c r="G165" s="59"/>
      <c r="H165" s="59"/>
      <c r="I165" s="59"/>
      <c r="K165" s="44" t="str">
        <f t="shared" si="3"/>
        <v/>
      </c>
      <c r="L165" s="44" t="str">
        <f t="shared" si="4"/>
        <v/>
      </c>
    </row>
    <row r="166" spans="1:12" ht="15.75" customHeight="1">
      <c r="A166" s="66" t="str">
        <f>IF(E166="","",VLOOKUP('Opći dio'!$C$3,'Opći dio'!$L$6:$U$137,10,FALSE))</f>
        <v/>
      </c>
      <c r="B166" s="66" t="str">
        <f>IF(E166="","",VLOOKUP('Opći dio'!$C$3,'Opći dio'!$L$6:$U$137,9,FALSE))</f>
        <v/>
      </c>
      <c r="C166" s="55" t="str">
        <f t="shared" si="8"/>
        <v/>
      </c>
      <c r="D166" s="56" t="str">
        <f t="shared" si="9"/>
        <v/>
      </c>
      <c r="E166" s="61"/>
      <c r="F166" s="58" t="str">
        <f t="shared" si="10"/>
        <v/>
      </c>
      <c r="G166" s="59"/>
      <c r="H166" s="59"/>
      <c r="I166" s="59"/>
      <c r="K166" s="44" t="str">
        <f t="shared" si="3"/>
        <v/>
      </c>
      <c r="L166" s="44" t="str">
        <f t="shared" si="4"/>
        <v/>
      </c>
    </row>
    <row r="167" spans="1:12" ht="15.75" customHeight="1">
      <c r="A167" s="66" t="str">
        <f>IF(E167="","",VLOOKUP('Opći dio'!$C$3,'Opći dio'!$L$6:$U$137,10,FALSE))</f>
        <v/>
      </c>
      <c r="B167" s="66" t="str">
        <f>IF(E167="","",VLOOKUP('Opći dio'!$C$3,'Opći dio'!$L$6:$U$137,9,FALSE))</f>
        <v/>
      </c>
      <c r="C167" s="55" t="str">
        <f t="shared" si="8"/>
        <v/>
      </c>
      <c r="D167" s="56" t="str">
        <f t="shared" si="9"/>
        <v/>
      </c>
      <c r="E167" s="61"/>
      <c r="F167" s="58" t="str">
        <f t="shared" si="10"/>
        <v/>
      </c>
      <c r="G167" s="59"/>
      <c r="H167" s="59"/>
      <c r="I167" s="59"/>
      <c r="K167" s="44" t="str">
        <f t="shared" si="3"/>
        <v/>
      </c>
      <c r="L167" s="44" t="str">
        <f t="shared" si="4"/>
        <v/>
      </c>
    </row>
    <row r="168" spans="1:12" ht="15.75" customHeight="1">
      <c r="A168" s="66" t="str">
        <f>IF(E168="","",VLOOKUP('Opći dio'!$C$3,'Opći dio'!$L$6:$U$137,10,FALSE))</f>
        <v/>
      </c>
      <c r="B168" s="66" t="str">
        <f>IF(E168="","",VLOOKUP('Opći dio'!$C$3,'Opći dio'!$L$6:$U$137,9,FALSE))</f>
        <v/>
      </c>
      <c r="C168" s="55" t="str">
        <f t="shared" si="8"/>
        <v/>
      </c>
      <c r="D168" s="56" t="str">
        <f t="shared" si="9"/>
        <v/>
      </c>
      <c r="E168" s="61"/>
      <c r="F168" s="58" t="str">
        <f t="shared" si="10"/>
        <v/>
      </c>
      <c r="G168" s="59"/>
      <c r="H168" s="59"/>
      <c r="I168" s="59"/>
      <c r="K168" s="44" t="str">
        <f t="shared" si="3"/>
        <v/>
      </c>
      <c r="L168" s="44" t="str">
        <f t="shared" si="4"/>
        <v/>
      </c>
    </row>
    <row r="169" spans="1:12" ht="15.75" customHeight="1">
      <c r="A169" s="66" t="str">
        <f>IF(E169="","",VLOOKUP('Opći dio'!$C$3,'Opći dio'!$L$6:$U$137,10,FALSE))</f>
        <v/>
      </c>
      <c r="B169" s="66" t="str">
        <f>IF(E169="","",VLOOKUP('Opći dio'!$C$3,'Opći dio'!$L$6:$U$137,9,FALSE))</f>
        <v/>
      </c>
      <c r="C169" s="55" t="str">
        <f t="shared" si="8"/>
        <v/>
      </c>
      <c r="D169" s="56" t="str">
        <f t="shared" si="9"/>
        <v/>
      </c>
      <c r="E169" s="61"/>
      <c r="F169" s="58" t="str">
        <f t="shared" si="10"/>
        <v/>
      </c>
      <c r="G169" s="59"/>
      <c r="H169" s="59"/>
      <c r="I169" s="59"/>
      <c r="K169" s="44" t="str">
        <f t="shared" si="3"/>
        <v/>
      </c>
      <c r="L169" s="44" t="str">
        <f t="shared" si="4"/>
        <v/>
      </c>
    </row>
    <row r="170" spans="1:12" ht="15.75" customHeight="1">
      <c r="A170" s="66" t="str">
        <f>IF(E170="","",VLOOKUP('Opći dio'!$C$3,'Opći dio'!$L$6:$U$137,10,FALSE))</f>
        <v/>
      </c>
      <c r="B170" s="66" t="str">
        <f>IF(E170="","",VLOOKUP('Opći dio'!$C$3,'Opći dio'!$L$6:$U$137,9,FALSE))</f>
        <v/>
      </c>
      <c r="C170" s="55" t="str">
        <f t="shared" si="8"/>
        <v/>
      </c>
      <c r="D170" s="56" t="str">
        <f t="shared" si="9"/>
        <v/>
      </c>
      <c r="E170" s="61"/>
      <c r="F170" s="58" t="str">
        <f t="shared" si="10"/>
        <v/>
      </c>
      <c r="G170" s="59"/>
      <c r="H170" s="59"/>
      <c r="I170" s="59"/>
      <c r="K170" s="44" t="str">
        <f t="shared" si="3"/>
        <v/>
      </c>
      <c r="L170" s="44" t="str">
        <f t="shared" si="4"/>
        <v/>
      </c>
    </row>
    <row r="171" spans="1:12" ht="15.75" customHeight="1">
      <c r="A171" s="66" t="str">
        <f>IF(E171="","",VLOOKUP('Opći dio'!$C$3,'Opći dio'!$L$6:$U$137,10,FALSE))</f>
        <v/>
      </c>
      <c r="B171" s="66" t="str">
        <f>IF(E171="","",VLOOKUP('Opći dio'!$C$3,'Opći dio'!$L$6:$U$137,9,FALSE))</f>
        <v/>
      </c>
      <c r="C171" s="55" t="str">
        <f t="shared" si="8"/>
        <v/>
      </c>
      <c r="D171" s="56" t="str">
        <f t="shared" si="9"/>
        <v/>
      </c>
      <c r="E171" s="61"/>
      <c r="F171" s="58" t="str">
        <f t="shared" si="10"/>
        <v/>
      </c>
      <c r="G171" s="59"/>
      <c r="H171" s="59"/>
      <c r="I171" s="59"/>
      <c r="K171" s="44" t="str">
        <f t="shared" si="3"/>
        <v/>
      </c>
      <c r="L171" s="44" t="str">
        <f t="shared" si="4"/>
        <v/>
      </c>
    </row>
    <row r="172" spans="1:12" ht="15.75" customHeight="1">
      <c r="A172" s="66" t="str">
        <f>IF(E172="","",VLOOKUP('Opći dio'!$C$3,'Opći dio'!$L$6:$U$137,10,FALSE))</f>
        <v/>
      </c>
      <c r="B172" s="66" t="str">
        <f>IF(E172="","",VLOOKUP('Opći dio'!$C$3,'Opći dio'!$L$6:$U$137,9,FALSE))</f>
        <v/>
      </c>
      <c r="C172" s="55" t="str">
        <f t="shared" si="8"/>
        <v/>
      </c>
      <c r="D172" s="56" t="str">
        <f t="shared" si="9"/>
        <v/>
      </c>
      <c r="E172" s="61"/>
      <c r="F172" s="58" t="str">
        <f t="shared" si="10"/>
        <v/>
      </c>
      <c r="G172" s="59"/>
      <c r="H172" s="59"/>
      <c r="I172" s="59"/>
      <c r="K172" s="44" t="str">
        <f t="shared" si="3"/>
        <v/>
      </c>
      <c r="L172" s="44" t="str">
        <f t="shared" si="4"/>
        <v/>
      </c>
    </row>
    <row r="173" spans="1:12" ht="15.75" customHeight="1">
      <c r="A173" s="66" t="str">
        <f>IF(E173="","",VLOOKUP('Opći dio'!$C$3,'Opći dio'!$L$6:$U$137,10,FALSE))</f>
        <v/>
      </c>
      <c r="B173" s="66" t="str">
        <f>IF(E173="","",VLOOKUP('Opći dio'!$C$3,'Opći dio'!$L$6:$U$137,9,FALSE))</f>
        <v/>
      </c>
      <c r="C173" s="55" t="str">
        <f t="shared" si="8"/>
        <v/>
      </c>
      <c r="D173" s="56" t="str">
        <f t="shared" si="9"/>
        <v/>
      </c>
      <c r="E173" s="61"/>
      <c r="F173" s="58" t="str">
        <f t="shared" si="10"/>
        <v/>
      </c>
      <c r="G173" s="59"/>
      <c r="H173" s="59"/>
      <c r="I173" s="59"/>
      <c r="K173" s="44" t="str">
        <f t="shared" si="3"/>
        <v/>
      </c>
      <c r="L173" s="44" t="str">
        <f t="shared" si="4"/>
        <v/>
      </c>
    </row>
    <row r="174" spans="1:12" ht="15.75" customHeight="1">
      <c r="A174" s="66" t="str">
        <f>IF(E174="","",VLOOKUP('Opći dio'!$C$3,'Opći dio'!$L$6:$U$137,10,FALSE))</f>
        <v/>
      </c>
      <c r="B174" s="66" t="str">
        <f>IF(E174="","",VLOOKUP('Opći dio'!$C$3,'Opći dio'!$L$6:$U$137,9,FALSE))</f>
        <v/>
      </c>
      <c r="C174" s="55" t="str">
        <f t="shared" si="8"/>
        <v/>
      </c>
      <c r="D174" s="56" t="str">
        <f t="shared" si="9"/>
        <v/>
      </c>
      <c r="E174" s="61"/>
      <c r="F174" s="58" t="str">
        <f t="shared" si="10"/>
        <v/>
      </c>
      <c r="G174" s="59"/>
      <c r="H174" s="59"/>
      <c r="I174" s="59"/>
      <c r="K174" s="44" t="str">
        <f t="shared" si="3"/>
        <v/>
      </c>
      <c r="L174" s="44" t="str">
        <f t="shared" si="4"/>
        <v/>
      </c>
    </row>
    <row r="175" spans="1:12" ht="15.75" customHeight="1">
      <c r="A175" s="66" t="str">
        <f>IF(E175="","",VLOOKUP('Opći dio'!$C$3,'Opći dio'!$L$6:$U$137,10,FALSE))</f>
        <v/>
      </c>
      <c r="B175" s="66" t="str">
        <f>IF(E175="","",VLOOKUP('Opći dio'!$C$3,'Opći dio'!$L$6:$U$137,9,FALSE))</f>
        <v/>
      </c>
      <c r="C175" s="55" t="str">
        <f t="shared" si="8"/>
        <v/>
      </c>
      <c r="D175" s="56" t="str">
        <f t="shared" si="9"/>
        <v/>
      </c>
      <c r="E175" s="61"/>
      <c r="F175" s="58" t="str">
        <f t="shared" si="10"/>
        <v/>
      </c>
      <c r="G175" s="59"/>
      <c r="H175" s="59"/>
      <c r="I175" s="59"/>
      <c r="K175" s="44" t="str">
        <f t="shared" si="3"/>
        <v/>
      </c>
      <c r="L175" s="44" t="str">
        <f t="shared" si="4"/>
        <v/>
      </c>
    </row>
    <row r="176" spans="1:12" ht="15.75" customHeight="1">
      <c r="A176" s="66" t="str">
        <f>IF(E176="","",VLOOKUP('Opći dio'!$C$3,'Opći dio'!$L$6:$U$137,10,FALSE))</f>
        <v/>
      </c>
      <c r="B176" s="66" t="str">
        <f>IF(E176="","",VLOOKUP('Opći dio'!$C$3,'Opći dio'!$L$6:$U$137,9,FALSE))</f>
        <v/>
      </c>
      <c r="C176" s="55" t="str">
        <f t="shared" si="8"/>
        <v/>
      </c>
      <c r="D176" s="56" t="str">
        <f t="shared" si="9"/>
        <v/>
      </c>
      <c r="E176" s="61"/>
      <c r="F176" s="58" t="str">
        <f t="shared" si="10"/>
        <v/>
      </c>
      <c r="G176" s="59"/>
      <c r="H176" s="59"/>
      <c r="I176" s="59"/>
      <c r="K176" s="44" t="str">
        <f t="shared" si="3"/>
        <v/>
      </c>
      <c r="L176" s="44" t="str">
        <f t="shared" si="4"/>
        <v/>
      </c>
    </row>
    <row r="177" spans="1:12" ht="15.75" customHeight="1">
      <c r="A177" s="66" t="str">
        <f>IF(E177="","",VLOOKUP('Opći dio'!$C$3,'Opći dio'!$L$6:$U$137,10,FALSE))</f>
        <v/>
      </c>
      <c r="B177" s="66" t="str">
        <f>IF(E177="","",VLOOKUP('Opći dio'!$C$3,'Opći dio'!$L$6:$U$137,9,FALSE))</f>
        <v/>
      </c>
      <c r="C177" s="55" t="str">
        <f t="shared" si="8"/>
        <v/>
      </c>
      <c r="D177" s="56" t="str">
        <f t="shared" si="9"/>
        <v/>
      </c>
      <c r="E177" s="61"/>
      <c r="F177" s="58" t="str">
        <f t="shared" si="10"/>
        <v/>
      </c>
      <c r="G177" s="59"/>
      <c r="H177" s="59"/>
      <c r="I177" s="59"/>
      <c r="K177" s="44" t="str">
        <f t="shared" si="3"/>
        <v/>
      </c>
      <c r="L177" s="44" t="str">
        <f t="shared" si="4"/>
        <v/>
      </c>
    </row>
    <row r="178" spans="1:12" ht="15.75" customHeight="1">
      <c r="A178" s="66" t="str">
        <f>IF(E178="","",VLOOKUP('Opći dio'!$C$3,'Opći dio'!$L$6:$U$137,10,FALSE))</f>
        <v/>
      </c>
      <c r="B178" s="66" t="str">
        <f>IF(E178="","",VLOOKUP('Opći dio'!$C$3,'Opći dio'!$L$6:$U$137,9,FALSE))</f>
        <v/>
      </c>
      <c r="C178" s="55" t="str">
        <f t="shared" si="8"/>
        <v/>
      </c>
      <c r="D178" s="56" t="str">
        <f t="shared" si="9"/>
        <v/>
      </c>
      <c r="E178" s="61"/>
      <c r="F178" s="58" t="str">
        <f t="shared" si="10"/>
        <v/>
      </c>
      <c r="G178" s="59"/>
      <c r="H178" s="59"/>
      <c r="I178" s="59"/>
      <c r="K178" s="44" t="str">
        <f t="shared" si="3"/>
        <v/>
      </c>
      <c r="L178" s="44" t="str">
        <f t="shared" si="4"/>
        <v/>
      </c>
    </row>
    <row r="179" spans="1:12" ht="15.75" customHeight="1">
      <c r="A179" s="66" t="str">
        <f>IF(E179="","",VLOOKUP('Opći dio'!$C$3,'Opći dio'!$L$6:$U$137,10,FALSE))</f>
        <v/>
      </c>
      <c r="B179" s="66" t="str">
        <f>IF(E179="","",VLOOKUP('Opći dio'!$C$3,'Opći dio'!$L$6:$U$137,9,FALSE))</f>
        <v/>
      </c>
      <c r="C179" s="55" t="str">
        <f t="shared" si="8"/>
        <v/>
      </c>
      <c r="D179" s="56" t="str">
        <f t="shared" si="9"/>
        <v/>
      </c>
      <c r="E179" s="61"/>
      <c r="F179" s="58" t="str">
        <f t="shared" si="10"/>
        <v/>
      </c>
      <c r="G179" s="59"/>
      <c r="H179" s="59"/>
      <c r="I179" s="59"/>
      <c r="K179" s="44" t="str">
        <f t="shared" si="3"/>
        <v/>
      </c>
      <c r="L179" s="44" t="str">
        <f t="shared" si="4"/>
        <v/>
      </c>
    </row>
    <row r="180" spans="1:12" ht="15.75" customHeight="1">
      <c r="A180" s="66" t="str">
        <f>IF(E180="","",VLOOKUP('Opći dio'!$C$3,'Opći dio'!$L$6:$U$137,10,FALSE))</f>
        <v/>
      </c>
      <c r="B180" s="66" t="str">
        <f>IF(E180="","",VLOOKUP('Opći dio'!$C$3,'Opći dio'!$L$6:$U$137,9,FALSE))</f>
        <v/>
      </c>
      <c r="C180" s="55" t="str">
        <f t="shared" si="8"/>
        <v/>
      </c>
      <c r="D180" s="56" t="str">
        <f t="shared" si="9"/>
        <v/>
      </c>
      <c r="E180" s="61"/>
      <c r="F180" s="58" t="str">
        <f t="shared" si="10"/>
        <v/>
      </c>
      <c r="G180" s="59"/>
      <c r="H180" s="59"/>
      <c r="I180" s="59"/>
      <c r="K180" s="44" t="str">
        <f t="shared" si="3"/>
        <v/>
      </c>
      <c r="L180" s="44" t="str">
        <f t="shared" si="4"/>
        <v/>
      </c>
    </row>
    <row r="181" spans="1:12" ht="15.75" customHeight="1">
      <c r="A181" s="66" t="str">
        <f>IF(E181="","",VLOOKUP('Opći dio'!$C$3,'Opći dio'!$L$6:$U$137,10,FALSE))</f>
        <v/>
      </c>
      <c r="B181" s="66" t="str">
        <f>IF(E181="","",VLOOKUP('Opći dio'!$C$3,'Opći dio'!$L$6:$U$137,9,FALSE))</f>
        <v/>
      </c>
      <c r="C181" s="55" t="str">
        <f t="shared" si="8"/>
        <v/>
      </c>
      <c r="D181" s="56" t="str">
        <f t="shared" si="9"/>
        <v/>
      </c>
      <c r="E181" s="61"/>
      <c r="F181" s="58" t="str">
        <f t="shared" si="10"/>
        <v/>
      </c>
      <c r="G181" s="59"/>
      <c r="H181" s="59"/>
      <c r="I181" s="59"/>
      <c r="K181" s="44" t="str">
        <f t="shared" si="3"/>
        <v/>
      </c>
      <c r="L181" s="44" t="str">
        <f t="shared" si="4"/>
        <v/>
      </c>
    </row>
    <row r="182" spans="1:12" ht="15.75" customHeight="1">
      <c r="A182" s="66" t="str">
        <f>IF(E182="","",VLOOKUP('Opći dio'!$C$3,'Opći dio'!$L$6:$U$137,10,FALSE))</f>
        <v/>
      </c>
      <c r="B182" s="66" t="str">
        <f>IF(E182="","",VLOOKUP('Opći dio'!$C$3,'Opći dio'!$L$6:$U$137,9,FALSE))</f>
        <v/>
      </c>
      <c r="C182" s="55" t="str">
        <f t="shared" si="8"/>
        <v/>
      </c>
      <c r="D182" s="56" t="str">
        <f t="shared" si="9"/>
        <v/>
      </c>
      <c r="E182" s="61"/>
      <c r="F182" s="58" t="str">
        <f t="shared" si="10"/>
        <v/>
      </c>
      <c r="G182" s="59"/>
      <c r="H182" s="59"/>
      <c r="I182" s="59"/>
      <c r="K182" s="44" t="str">
        <f t="shared" si="3"/>
        <v/>
      </c>
      <c r="L182" s="44" t="str">
        <f t="shared" si="4"/>
        <v/>
      </c>
    </row>
    <row r="183" spans="1:12" ht="15.75" customHeight="1">
      <c r="A183" s="66" t="str">
        <f>IF(E183="","",VLOOKUP('Opći dio'!$C$3,'Opći dio'!$L$6:$U$137,10,FALSE))</f>
        <v/>
      </c>
      <c r="B183" s="66" t="str">
        <f>IF(E183="","",VLOOKUP('Opći dio'!$C$3,'Opći dio'!$L$6:$U$137,9,FALSE))</f>
        <v/>
      </c>
      <c r="C183" s="55" t="str">
        <f t="shared" si="8"/>
        <v/>
      </c>
      <c r="D183" s="56" t="str">
        <f t="shared" si="9"/>
        <v/>
      </c>
      <c r="E183" s="61"/>
      <c r="F183" s="58" t="str">
        <f t="shared" si="10"/>
        <v/>
      </c>
      <c r="G183" s="59"/>
      <c r="H183" s="59"/>
      <c r="I183" s="59"/>
      <c r="K183" s="44" t="str">
        <f t="shared" si="3"/>
        <v/>
      </c>
      <c r="L183" s="44" t="str">
        <f t="shared" si="4"/>
        <v/>
      </c>
    </row>
    <row r="184" spans="1:12" ht="15.75" customHeight="1">
      <c r="A184" s="66" t="str">
        <f>IF(E184="","",VLOOKUP('Opći dio'!$C$3,'Opći dio'!$L$6:$U$137,10,FALSE))</f>
        <v/>
      </c>
      <c r="B184" s="66" t="str">
        <f>IF(E184="","",VLOOKUP('Opći dio'!$C$3,'Opći dio'!$L$6:$U$137,9,FALSE))</f>
        <v/>
      </c>
      <c r="C184" s="55" t="str">
        <f t="shared" si="8"/>
        <v/>
      </c>
      <c r="D184" s="56" t="str">
        <f t="shared" si="9"/>
        <v/>
      </c>
      <c r="E184" s="61"/>
      <c r="F184" s="58" t="str">
        <f t="shared" si="10"/>
        <v/>
      </c>
      <c r="G184" s="59"/>
      <c r="H184" s="59"/>
      <c r="I184" s="59"/>
      <c r="K184" s="44" t="str">
        <f t="shared" si="3"/>
        <v/>
      </c>
      <c r="L184" s="44" t="str">
        <f t="shared" si="4"/>
        <v/>
      </c>
    </row>
    <row r="185" spans="1:12" ht="15.75" customHeight="1">
      <c r="A185" s="66" t="str">
        <f>IF(E185="","",VLOOKUP('Opći dio'!$C$3,'Opći dio'!$L$6:$U$137,10,FALSE))</f>
        <v/>
      </c>
      <c r="B185" s="66" t="str">
        <f>IF(E185="","",VLOOKUP('Opći dio'!$C$3,'Opći dio'!$L$6:$U$137,9,FALSE))</f>
        <v/>
      </c>
      <c r="C185" s="55" t="str">
        <f t="shared" si="8"/>
        <v/>
      </c>
      <c r="D185" s="56" t="str">
        <f t="shared" si="9"/>
        <v/>
      </c>
      <c r="E185" s="61"/>
      <c r="F185" s="58" t="str">
        <f t="shared" si="10"/>
        <v/>
      </c>
      <c r="G185" s="59"/>
      <c r="H185" s="59"/>
      <c r="I185" s="59"/>
      <c r="K185" s="44" t="str">
        <f t="shared" si="3"/>
        <v/>
      </c>
      <c r="L185" s="44" t="str">
        <f t="shared" si="4"/>
        <v/>
      </c>
    </row>
    <row r="186" spans="1:12" ht="15.75" customHeight="1">
      <c r="A186" s="66" t="str">
        <f>IF(E186="","",VLOOKUP('Opći dio'!$C$3,'Opći dio'!$L$6:$U$137,10,FALSE))</f>
        <v/>
      </c>
      <c r="B186" s="66" t="str">
        <f>IF(E186="","",VLOOKUP('Opći dio'!$C$3,'Opći dio'!$L$6:$U$137,9,FALSE))</f>
        <v/>
      </c>
      <c r="C186" s="55" t="str">
        <f t="shared" si="8"/>
        <v/>
      </c>
      <c r="D186" s="56" t="str">
        <f t="shared" si="9"/>
        <v/>
      </c>
      <c r="E186" s="61"/>
      <c r="F186" s="58" t="str">
        <f t="shared" si="10"/>
        <v/>
      </c>
      <c r="G186" s="59"/>
      <c r="H186" s="59"/>
      <c r="I186" s="59"/>
      <c r="K186" s="44" t="str">
        <f t="shared" si="3"/>
        <v/>
      </c>
      <c r="L186" s="44" t="str">
        <f t="shared" si="4"/>
        <v/>
      </c>
    </row>
    <row r="187" spans="1:12" ht="15.75" customHeight="1">
      <c r="A187" s="66" t="str">
        <f>IF(E187="","",VLOOKUP('Opći dio'!$C$3,'Opći dio'!$L$6:$U$137,10,FALSE))</f>
        <v/>
      </c>
      <c r="B187" s="66" t="str">
        <f>IF(E187="","",VLOOKUP('Opći dio'!$C$3,'Opći dio'!$L$6:$U$137,9,FALSE))</f>
        <v/>
      </c>
      <c r="C187" s="55" t="str">
        <f t="shared" si="8"/>
        <v/>
      </c>
      <c r="D187" s="56" t="str">
        <f t="shared" si="9"/>
        <v/>
      </c>
      <c r="E187" s="61"/>
      <c r="F187" s="58" t="str">
        <f t="shared" si="10"/>
        <v/>
      </c>
      <c r="G187" s="59"/>
      <c r="H187" s="59"/>
      <c r="I187" s="59"/>
      <c r="K187" s="44" t="str">
        <f t="shared" si="3"/>
        <v/>
      </c>
      <c r="L187" s="44" t="str">
        <f t="shared" si="4"/>
        <v/>
      </c>
    </row>
    <row r="188" spans="1:12" ht="15.75" customHeight="1">
      <c r="A188" s="66" t="str">
        <f>IF(E188="","",VLOOKUP('Opći dio'!$C$3,'Opći dio'!$L$6:$U$137,10,FALSE))</f>
        <v/>
      </c>
      <c r="B188" s="66" t="str">
        <f>IF(E188="","",VLOOKUP('Opći dio'!$C$3,'Opći dio'!$L$6:$U$137,9,FALSE))</f>
        <v/>
      </c>
      <c r="C188" s="55" t="str">
        <f t="shared" si="8"/>
        <v/>
      </c>
      <c r="D188" s="56" t="str">
        <f t="shared" si="9"/>
        <v/>
      </c>
      <c r="E188" s="61"/>
      <c r="F188" s="58" t="str">
        <f t="shared" si="10"/>
        <v/>
      </c>
      <c r="G188" s="59"/>
      <c r="H188" s="59"/>
      <c r="I188" s="59"/>
      <c r="K188" s="44" t="str">
        <f t="shared" si="3"/>
        <v/>
      </c>
      <c r="L188" s="44" t="str">
        <f t="shared" si="4"/>
        <v/>
      </c>
    </row>
    <row r="189" spans="1:12" ht="15.75" customHeight="1">
      <c r="A189" s="66" t="str">
        <f>IF(E189="","",VLOOKUP('Opći dio'!$C$3,'Opći dio'!$L$6:$U$137,10,FALSE))</f>
        <v/>
      </c>
      <c r="B189" s="66" t="str">
        <f>IF(E189="","",VLOOKUP('Opći dio'!$C$3,'Opći dio'!$L$6:$U$137,9,FALSE))</f>
        <v/>
      </c>
      <c r="C189" s="55" t="str">
        <f t="shared" si="8"/>
        <v/>
      </c>
      <c r="D189" s="56" t="str">
        <f t="shared" si="9"/>
        <v/>
      </c>
      <c r="E189" s="61"/>
      <c r="F189" s="58" t="str">
        <f t="shared" si="10"/>
        <v/>
      </c>
      <c r="G189" s="59"/>
      <c r="H189" s="59"/>
      <c r="I189" s="59"/>
      <c r="K189" s="44" t="str">
        <f t="shared" si="3"/>
        <v/>
      </c>
      <c r="L189" s="44" t="str">
        <f t="shared" si="4"/>
        <v/>
      </c>
    </row>
    <row r="190" spans="1:12" ht="15.75" customHeight="1">
      <c r="A190" s="66" t="str">
        <f>IF(E190="","",VLOOKUP('Opći dio'!$C$3,'Opći dio'!$L$6:$U$137,10,FALSE))</f>
        <v/>
      </c>
      <c r="B190" s="66" t="str">
        <f>IF(E190="","",VLOOKUP('Opći dio'!$C$3,'Opći dio'!$L$6:$U$137,9,FALSE))</f>
        <v/>
      </c>
      <c r="C190" s="55" t="str">
        <f t="shared" si="8"/>
        <v/>
      </c>
      <c r="D190" s="56" t="str">
        <f t="shared" si="9"/>
        <v/>
      </c>
      <c r="E190" s="61"/>
      <c r="F190" s="58" t="str">
        <f t="shared" si="10"/>
        <v/>
      </c>
      <c r="G190" s="59"/>
      <c r="H190" s="59"/>
      <c r="I190" s="59"/>
      <c r="K190" s="44" t="str">
        <f t="shared" si="3"/>
        <v/>
      </c>
      <c r="L190" s="44" t="str">
        <f t="shared" si="4"/>
        <v/>
      </c>
    </row>
    <row r="191" spans="1:12" ht="15.75" customHeight="1">
      <c r="A191" s="66" t="str">
        <f>IF(E191="","",VLOOKUP('Opći dio'!$C$3,'Opći dio'!$L$6:$U$137,10,FALSE))</f>
        <v/>
      </c>
      <c r="B191" s="66" t="str">
        <f>IF(E191="","",VLOOKUP('Opći dio'!$C$3,'Opći dio'!$L$6:$U$137,9,FALSE))</f>
        <v/>
      </c>
      <c r="C191" s="55" t="str">
        <f t="shared" si="8"/>
        <v/>
      </c>
      <c r="D191" s="56" t="str">
        <f t="shared" si="9"/>
        <v/>
      </c>
      <c r="E191" s="61"/>
      <c r="F191" s="58" t="str">
        <f t="shared" si="10"/>
        <v/>
      </c>
      <c r="G191" s="59"/>
      <c r="H191" s="59"/>
      <c r="I191" s="59"/>
      <c r="K191" s="44" t="str">
        <f t="shared" si="3"/>
        <v/>
      </c>
      <c r="L191" s="44" t="str">
        <f t="shared" si="4"/>
        <v/>
      </c>
    </row>
    <row r="192" spans="1:12" ht="15.75" customHeight="1">
      <c r="A192" s="66" t="str">
        <f>IF(E192="","",VLOOKUP('Opći dio'!$C$3,'Opći dio'!$L$6:$U$137,10,FALSE))</f>
        <v/>
      </c>
      <c r="B192" s="66" t="str">
        <f>IF(E192="","",VLOOKUP('Opći dio'!$C$3,'Opći dio'!$L$6:$U$137,9,FALSE))</f>
        <v/>
      </c>
      <c r="C192" s="55" t="str">
        <f t="shared" si="8"/>
        <v/>
      </c>
      <c r="D192" s="56" t="str">
        <f t="shared" si="9"/>
        <v/>
      </c>
      <c r="E192" s="61"/>
      <c r="F192" s="58" t="str">
        <f t="shared" si="10"/>
        <v/>
      </c>
      <c r="G192" s="59"/>
      <c r="H192" s="59"/>
      <c r="I192" s="59"/>
      <c r="K192" s="44" t="str">
        <f t="shared" si="3"/>
        <v/>
      </c>
      <c r="L192" s="44" t="str">
        <f t="shared" si="4"/>
        <v/>
      </c>
    </row>
    <row r="193" spans="1:12" ht="15.75" customHeight="1">
      <c r="A193" s="66" t="str">
        <f>IF(E193="","",VLOOKUP('Opći dio'!$C$3,'Opći dio'!$L$6:$U$137,10,FALSE))</f>
        <v/>
      </c>
      <c r="B193" s="66" t="str">
        <f>IF(E193="","",VLOOKUP('Opći dio'!$C$3,'Opći dio'!$L$6:$U$137,9,FALSE))</f>
        <v/>
      </c>
      <c r="C193" s="55" t="str">
        <f t="shared" si="8"/>
        <v/>
      </c>
      <c r="D193" s="56" t="str">
        <f t="shared" si="9"/>
        <v/>
      </c>
      <c r="E193" s="61"/>
      <c r="F193" s="58" t="str">
        <f t="shared" si="10"/>
        <v/>
      </c>
      <c r="G193" s="59"/>
      <c r="H193" s="59"/>
      <c r="I193" s="59"/>
      <c r="K193" s="44" t="str">
        <f t="shared" si="3"/>
        <v/>
      </c>
      <c r="L193" s="44" t="str">
        <f t="shared" si="4"/>
        <v/>
      </c>
    </row>
    <row r="194" spans="1:12" ht="15.75" customHeight="1">
      <c r="A194" s="66" t="str">
        <f>IF(E194="","",VLOOKUP('Opći dio'!$C$3,'Opći dio'!$L$6:$U$137,10,FALSE))</f>
        <v/>
      </c>
      <c r="B194" s="66" t="str">
        <f>IF(E194="","",VLOOKUP('Opći dio'!$C$3,'Opći dio'!$L$6:$U$137,9,FALSE))</f>
        <v/>
      </c>
      <c r="C194" s="55" t="str">
        <f t="shared" si="8"/>
        <v/>
      </c>
      <c r="D194" s="56" t="str">
        <f t="shared" si="9"/>
        <v/>
      </c>
      <c r="E194" s="61"/>
      <c r="F194" s="58" t="str">
        <f t="shared" si="10"/>
        <v/>
      </c>
      <c r="G194" s="59"/>
      <c r="H194" s="59"/>
      <c r="I194" s="59"/>
      <c r="K194" s="44" t="str">
        <f t="shared" si="3"/>
        <v/>
      </c>
      <c r="L194" s="44" t="str">
        <f t="shared" si="4"/>
        <v/>
      </c>
    </row>
    <row r="195" spans="1:12" ht="15.75" customHeight="1">
      <c r="A195" s="66" t="str">
        <f>IF(E195="","",VLOOKUP('Opći dio'!$C$3,'Opći dio'!$L$6:$U$137,10,FALSE))</f>
        <v/>
      </c>
      <c r="B195" s="66" t="str">
        <f>IF(E195="","",VLOOKUP('Opći dio'!$C$3,'Opći dio'!$L$6:$U$137,9,FALSE))</f>
        <v/>
      </c>
      <c r="C195" s="55" t="str">
        <f t="shared" ref="C195:C258" si="11">IFERROR(VLOOKUP(E195,$Q$6:$T$104,3,FALSE),"")</f>
        <v/>
      </c>
      <c r="D195" s="56" t="str">
        <f t="shared" ref="D195:D258" si="12">IFERROR(VLOOKUP(E195,$Q$6:$T$104,4,FALSE),"")</f>
        <v/>
      </c>
      <c r="E195" s="61"/>
      <c r="F195" s="58" t="str">
        <f t="shared" ref="F195:F258" si="13">IFERROR(VLOOKUP(E195,$Q$6:$T$104,2,FALSE),"")</f>
        <v/>
      </c>
      <c r="G195" s="59"/>
      <c r="H195" s="59"/>
      <c r="I195" s="59"/>
      <c r="K195" s="44" t="str">
        <f t="shared" si="3"/>
        <v/>
      </c>
      <c r="L195" s="44" t="str">
        <f t="shared" si="4"/>
        <v/>
      </c>
    </row>
    <row r="196" spans="1:12" ht="15.75" customHeight="1">
      <c r="A196" s="66" t="str">
        <f>IF(E196="","",VLOOKUP('Opći dio'!$C$3,'Opći dio'!$L$6:$U$137,10,FALSE))</f>
        <v/>
      </c>
      <c r="B196" s="66" t="str">
        <f>IF(E196="","",VLOOKUP('Opći dio'!$C$3,'Opći dio'!$L$6:$U$137,9,FALSE))</f>
        <v/>
      </c>
      <c r="C196" s="55" t="str">
        <f t="shared" si="11"/>
        <v/>
      </c>
      <c r="D196" s="56" t="str">
        <f t="shared" si="12"/>
        <v/>
      </c>
      <c r="E196" s="61"/>
      <c r="F196" s="58" t="str">
        <f t="shared" si="13"/>
        <v/>
      </c>
      <c r="G196" s="59"/>
      <c r="H196" s="59"/>
      <c r="I196" s="59"/>
      <c r="K196" s="44" t="str">
        <f t="shared" si="3"/>
        <v/>
      </c>
      <c r="L196" s="44" t="str">
        <f t="shared" si="4"/>
        <v/>
      </c>
    </row>
    <row r="197" spans="1:12" ht="15.75" customHeight="1">
      <c r="A197" s="66" t="str">
        <f>IF(E197="","",VLOOKUP('Opći dio'!$C$3,'Opći dio'!$L$6:$U$137,10,FALSE))</f>
        <v/>
      </c>
      <c r="B197" s="66" t="str">
        <f>IF(E197="","",VLOOKUP('Opći dio'!$C$3,'Opći dio'!$L$6:$U$137,9,FALSE))</f>
        <v/>
      </c>
      <c r="C197" s="55" t="str">
        <f t="shared" si="11"/>
        <v/>
      </c>
      <c r="D197" s="56" t="str">
        <f t="shared" si="12"/>
        <v/>
      </c>
      <c r="E197" s="61"/>
      <c r="F197" s="58" t="str">
        <f t="shared" si="13"/>
        <v/>
      </c>
      <c r="G197" s="59"/>
      <c r="H197" s="59"/>
      <c r="I197" s="59"/>
      <c r="K197" s="44" t="str">
        <f t="shared" si="3"/>
        <v/>
      </c>
      <c r="L197" s="44" t="str">
        <f t="shared" si="4"/>
        <v/>
      </c>
    </row>
    <row r="198" spans="1:12" ht="15.75" customHeight="1">
      <c r="A198" s="66" t="str">
        <f>IF(E198="","",VLOOKUP('Opći dio'!$C$3,'Opći dio'!$L$6:$U$137,10,FALSE))</f>
        <v/>
      </c>
      <c r="B198" s="66" t="str">
        <f>IF(E198="","",VLOOKUP('Opći dio'!$C$3,'Opći dio'!$L$6:$U$137,9,FALSE))</f>
        <v/>
      </c>
      <c r="C198" s="55" t="str">
        <f t="shared" si="11"/>
        <v/>
      </c>
      <c r="D198" s="56" t="str">
        <f t="shared" si="12"/>
        <v/>
      </c>
      <c r="E198" s="61"/>
      <c r="F198" s="58" t="str">
        <f t="shared" si="13"/>
        <v/>
      </c>
      <c r="G198" s="59"/>
      <c r="H198" s="59"/>
      <c r="I198" s="59"/>
      <c r="K198" s="44" t="str">
        <f t="shared" si="3"/>
        <v/>
      </c>
      <c r="L198" s="44" t="str">
        <f t="shared" si="4"/>
        <v/>
      </c>
    </row>
    <row r="199" spans="1:12" ht="15.75" customHeight="1">
      <c r="A199" s="66" t="str">
        <f>IF(E199="","",VLOOKUP('Opći dio'!$C$3,'Opći dio'!$L$6:$U$137,10,FALSE))</f>
        <v/>
      </c>
      <c r="B199" s="66" t="str">
        <f>IF(E199="","",VLOOKUP('Opći dio'!$C$3,'Opći dio'!$L$6:$U$137,9,FALSE))</f>
        <v/>
      </c>
      <c r="C199" s="55" t="str">
        <f t="shared" si="11"/>
        <v/>
      </c>
      <c r="D199" s="56" t="str">
        <f t="shared" si="12"/>
        <v/>
      </c>
      <c r="E199" s="61"/>
      <c r="F199" s="58" t="str">
        <f t="shared" si="13"/>
        <v/>
      </c>
      <c r="G199" s="59"/>
      <c r="H199" s="59"/>
      <c r="I199" s="59"/>
      <c r="K199" s="44" t="str">
        <f t="shared" si="3"/>
        <v/>
      </c>
      <c r="L199" s="44" t="str">
        <f t="shared" si="4"/>
        <v/>
      </c>
    </row>
    <row r="200" spans="1:12" ht="15.75" customHeight="1">
      <c r="A200" s="66" t="str">
        <f>IF(E200="","",VLOOKUP('Opći dio'!$C$3,'Opći dio'!$L$6:$U$137,10,FALSE))</f>
        <v/>
      </c>
      <c r="B200" s="66" t="str">
        <f>IF(E200="","",VLOOKUP('Opći dio'!$C$3,'Opći dio'!$L$6:$U$137,9,FALSE))</f>
        <v/>
      </c>
      <c r="C200" s="55" t="str">
        <f t="shared" si="11"/>
        <v/>
      </c>
      <c r="D200" s="56" t="str">
        <f t="shared" si="12"/>
        <v/>
      </c>
      <c r="E200" s="61"/>
      <c r="F200" s="58" t="str">
        <f t="shared" si="13"/>
        <v/>
      </c>
      <c r="G200" s="59"/>
      <c r="H200" s="59"/>
      <c r="I200" s="59"/>
      <c r="K200" s="44" t="str">
        <f t="shared" si="3"/>
        <v/>
      </c>
      <c r="L200" s="44" t="str">
        <f t="shared" si="4"/>
        <v/>
      </c>
    </row>
    <row r="201" spans="1:12" ht="15.75" customHeight="1">
      <c r="A201" s="66" t="str">
        <f>IF(E201="","",VLOOKUP('Opći dio'!$C$3,'Opći dio'!$L$6:$U$137,10,FALSE))</f>
        <v/>
      </c>
      <c r="B201" s="66" t="str">
        <f>IF(E201="","",VLOOKUP('Opći dio'!$C$3,'Opći dio'!$L$6:$U$137,9,FALSE))</f>
        <v/>
      </c>
      <c r="C201" s="55" t="str">
        <f t="shared" si="11"/>
        <v/>
      </c>
      <c r="D201" s="56" t="str">
        <f t="shared" si="12"/>
        <v/>
      </c>
      <c r="E201" s="61"/>
      <c r="F201" s="58" t="str">
        <f t="shared" si="13"/>
        <v/>
      </c>
      <c r="G201" s="59"/>
      <c r="H201" s="59"/>
      <c r="I201" s="59"/>
      <c r="K201" s="44" t="str">
        <f t="shared" si="3"/>
        <v/>
      </c>
      <c r="L201" s="44" t="str">
        <f t="shared" si="4"/>
        <v/>
      </c>
    </row>
    <row r="202" spans="1:12" ht="15.75" customHeight="1">
      <c r="A202" s="66" t="str">
        <f>IF(E202="","",VLOOKUP('Opći dio'!$C$3,'Opći dio'!$L$6:$U$137,10,FALSE))</f>
        <v/>
      </c>
      <c r="B202" s="66" t="str">
        <f>IF(E202="","",VLOOKUP('Opći dio'!$C$3,'Opći dio'!$L$6:$U$137,9,FALSE))</f>
        <v/>
      </c>
      <c r="C202" s="55" t="str">
        <f t="shared" si="11"/>
        <v/>
      </c>
      <c r="D202" s="56" t="str">
        <f t="shared" si="12"/>
        <v/>
      </c>
      <c r="E202" s="61"/>
      <c r="F202" s="58" t="str">
        <f t="shared" si="13"/>
        <v/>
      </c>
      <c r="G202" s="59"/>
      <c r="H202" s="59"/>
      <c r="I202" s="59"/>
      <c r="K202" s="44" t="str">
        <f t="shared" si="3"/>
        <v/>
      </c>
      <c r="L202" s="44" t="str">
        <f t="shared" si="4"/>
        <v/>
      </c>
    </row>
    <row r="203" spans="1:12" ht="15.75" customHeight="1">
      <c r="A203" s="66" t="str">
        <f>IF(E203="","",VLOOKUP('Opći dio'!$C$3,'Opći dio'!$L$6:$U$137,10,FALSE))</f>
        <v/>
      </c>
      <c r="B203" s="66" t="str">
        <f>IF(E203="","",VLOOKUP('Opći dio'!$C$3,'Opći dio'!$L$6:$U$137,9,FALSE))</f>
        <v/>
      </c>
      <c r="C203" s="55" t="str">
        <f t="shared" si="11"/>
        <v/>
      </c>
      <c r="D203" s="56" t="str">
        <f t="shared" si="12"/>
        <v/>
      </c>
      <c r="E203" s="61"/>
      <c r="F203" s="58" t="str">
        <f t="shared" si="13"/>
        <v/>
      </c>
      <c r="G203" s="59"/>
      <c r="H203" s="59"/>
      <c r="I203" s="59"/>
      <c r="K203" s="44" t="str">
        <f t="shared" si="3"/>
        <v/>
      </c>
      <c r="L203" s="44" t="str">
        <f t="shared" si="4"/>
        <v/>
      </c>
    </row>
    <row r="204" spans="1:12" ht="15.75" customHeight="1">
      <c r="A204" s="66" t="str">
        <f>IF(E204="","",VLOOKUP('Opći dio'!$C$3,'Opći dio'!$L$6:$U$137,10,FALSE))</f>
        <v/>
      </c>
      <c r="B204" s="66" t="str">
        <f>IF(E204="","",VLOOKUP('Opći dio'!$C$3,'Opći dio'!$L$6:$U$137,9,FALSE))</f>
        <v/>
      </c>
      <c r="C204" s="55" t="str">
        <f t="shared" si="11"/>
        <v/>
      </c>
      <c r="D204" s="56" t="str">
        <f t="shared" si="12"/>
        <v/>
      </c>
      <c r="E204" s="61"/>
      <c r="F204" s="58" t="str">
        <f t="shared" si="13"/>
        <v/>
      </c>
      <c r="G204" s="59"/>
      <c r="H204" s="59"/>
      <c r="I204" s="59"/>
      <c r="K204" s="44" t="str">
        <f t="shared" si="3"/>
        <v/>
      </c>
      <c r="L204" s="44" t="str">
        <f t="shared" si="4"/>
        <v/>
      </c>
    </row>
    <row r="205" spans="1:12" ht="15.75" customHeight="1">
      <c r="A205" s="66" t="str">
        <f>IF(E205="","",VLOOKUP('Opći dio'!$C$3,'Opći dio'!$L$6:$U$137,10,FALSE))</f>
        <v/>
      </c>
      <c r="B205" s="66" t="str">
        <f>IF(E205="","",VLOOKUP('Opći dio'!$C$3,'Opći dio'!$L$6:$U$137,9,FALSE))</f>
        <v/>
      </c>
      <c r="C205" s="55" t="str">
        <f t="shared" si="11"/>
        <v/>
      </c>
      <c r="D205" s="56" t="str">
        <f t="shared" si="12"/>
        <v/>
      </c>
      <c r="E205" s="61"/>
      <c r="F205" s="58" t="str">
        <f t="shared" si="13"/>
        <v/>
      </c>
      <c r="G205" s="59"/>
      <c r="H205" s="59"/>
      <c r="I205" s="59"/>
      <c r="K205" s="44" t="str">
        <f t="shared" si="3"/>
        <v/>
      </c>
      <c r="L205" s="44" t="str">
        <f t="shared" si="4"/>
        <v/>
      </c>
    </row>
    <row r="206" spans="1:12" ht="15.75" customHeight="1">
      <c r="A206" s="66" t="str">
        <f>IF(E206="","",VLOOKUP('Opći dio'!$C$3,'Opći dio'!$L$6:$U$137,10,FALSE))</f>
        <v/>
      </c>
      <c r="B206" s="66" t="str">
        <f>IF(E206="","",VLOOKUP('Opći dio'!$C$3,'Opći dio'!$L$6:$U$137,9,FALSE))</f>
        <v/>
      </c>
      <c r="C206" s="55" t="str">
        <f t="shared" si="11"/>
        <v/>
      </c>
      <c r="D206" s="56" t="str">
        <f t="shared" si="12"/>
        <v/>
      </c>
      <c r="E206" s="61"/>
      <c r="F206" s="58" t="str">
        <f t="shared" si="13"/>
        <v/>
      </c>
      <c r="G206" s="59"/>
      <c r="H206" s="59"/>
      <c r="I206" s="59"/>
      <c r="K206" s="44" t="str">
        <f t="shared" si="3"/>
        <v/>
      </c>
      <c r="L206" s="44" t="str">
        <f t="shared" si="4"/>
        <v/>
      </c>
    </row>
    <row r="207" spans="1:12" ht="15.75" customHeight="1">
      <c r="A207" s="66" t="str">
        <f>IF(E207="","",VLOOKUP('Opći dio'!$C$3,'Opći dio'!$L$6:$U$137,10,FALSE))</f>
        <v/>
      </c>
      <c r="B207" s="66" t="str">
        <f>IF(E207="","",VLOOKUP('Opći dio'!$C$3,'Opći dio'!$L$6:$U$137,9,FALSE))</f>
        <v/>
      </c>
      <c r="C207" s="55" t="str">
        <f t="shared" si="11"/>
        <v/>
      </c>
      <c r="D207" s="56" t="str">
        <f t="shared" si="12"/>
        <v/>
      </c>
      <c r="E207" s="61"/>
      <c r="F207" s="58" t="str">
        <f t="shared" si="13"/>
        <v/>
      </c>
      <c r="G207" s="59"/>
      <c r="H207" s="59"/>
      <c r="I207" s="59"/>
      <c r="K207" s="44" t="str">
        <f t="shared" si="3"/>
        <v/>
      </c>
      <c r="L207" s="44" t="str">
        <f t="shared" si="4"/>
        <v/>
      </c>
    </row>
    <row r="208" spans="1:12" ht="15.75" customHeight="1">
      <c r="A208" s="66" t="str">
        <f>IF(E208="","",VLOOKUP('Opći dio'!$C$3,'Opći dio'!$L$6:$U$137,10,FALSE))</f>
        <v/>
      </c>
      <c r="B208" s="66" t="str">
        <f>IF(E208="","",VLOOKUP('Opći dio'!$C$3,'Opći dio'!$L$6:$U$137,9,FALSE))</f>
        <v/>
      </c>
      <c r="C208" s="55" t="str">
        <f t="shared" si="11"/>
        <v/>
      </c>
      <c r="D208" s="56" t="str">
        <f t="shared" si="12"/>
        <v/>
      </c>
      <c r="E208" s="61"/>
      <c r="F208" s="58" t="str">
        <f t="shared" si="13"/>
        <v/>
      </c>
      <c r="G208" s="59"/>
      <c r="H208" s="59"/>
      <c r="I208" s="59"/>
      <c r="K208" s="44" t="str">
        <f t="shared" si="3"/>
        <v/>
      </c>
      <c r="L208" s="44" t="str">
        <f t="shared" si="4"/>
        <v/>
      </c>
    </row>
    <row r="209" spans="1:12" ht="15.75" customHeight="1">
      <c r="A209" s="66" t="str">
        <f>IF(E209="","",VLOOKUP('Opći dio'!$C$3,'Opći dio'!$L$6:$U$137,10,FALSE))</f>
        <v/>
      </c>
      <c r="B209" s="66" t="str">
        <f>IF(E209="","",VLOOKUP('Opći dio'!$C$3,'Opći dio'!$L$6:$U$137,9,FALSE))</f>
        <v/>
      </c>
      <c r="C209" s="55" t="str">
        <f t="shared" si="11"/>
        <v/>
      </c>
      <c r="D209" s="56" t="str">
        <f t="shared" si="12"/>
        <v/>
      </c>
      <c r="E209" s="61"/>
      <c r="F209" s="58" t="str">
        <f t="shared" si="13"/>
        <v/>
      </c>
      <c r="G209" s="59"/>
      <c r="H209" s="59"/>
      <c r="I209" s="59"/>
      <c r="K209" s="44" t="str">
        <f t="shared" si="3"/>
        <v/>
      </c>
      <c r="L209" s="44" t="str">
        <f t="shared" si="4"/>
        <v/>
      </c>
    </row>
    <row r="210" spans="1:12" ht="15.75" customHeight="1">
      <c r="A210" s="66" t="str">
        <f>IF(E210="","",VLOOKUP('Opći dio'!$C$3,'Opći dio'!$L$6:$U$137,10,FALSE))</f>
        <v/>
      </c>
      <c r="B210" s="66" t="str">
        <f>IF(E210="","",VLOOKUP('Opći dio'!$C$3,'Opći dio'!$L$6:$U$137,9,FALSE))</f>
        <v/>
      </c>
      <c r="C210" s="55" t="str">
        <f t="shared" si="11"/>
        <v/>
      </c>
      <c r="D210" s="56" t="str">
        <f t="shared" si="12"/>
        <v/>
      </c>
      <c r="E210" s="61"/>
      <c r="F210" s="58" t="str">
        <f t="shared" si="13"/>
        <v/>
      </c>
      <c r="G210" s="59"/>
      <c r="H210" s="59"/>
      <c r="I210" s="59"/>
      <c r="K210" s="44" t="str">
        <f t="shared" si="3"/>
        <v/>
      </c>
      <c r="L210" s="44" t="str">
        <f t="shared" si="4"/>
        <v/>
      </c>
    </row>
    <row r="211" spans="1:12" ht="15.75" customHeight="1">
      <c r="A211" s="66" t="str">
        <f>IF(E211="","",VLOOKUP('Opći dio'!$C$3,'Opći dio'!$L$6:$U$137,10,FALSE))</f>
        <v/>
      </c>
      <c r="B211" s="66" t="str">
        <f>IF(E211="","",VLOOKUP('Opći dio'!$C$3,'Opći dio'!$L$6:$U$137,9,FALSE))</f>
        <v/>
      </c>
      <c r="C211" s="55" t="str">
        <f t="shared" si="11"/>
        <v/>
      </c>
      <c r="D211" s="56" t="str">
        <f t="shared" si="12"/>
        <v/>
      </c>
      <c r="E211" s="61"/>
      <c r="F211" s="58" t="str">
        <f t="shared" si="13"/>
        <v/>
      </c>
      <c r="G211" s="59"/>
      <c r="H211" s="59"/>
      <c r="I211" s="59"/>
      <c r="K211" s="44" t="str">
        <f t="shared" si="3"/>
        <v/>
      </c>
      <c r="L211" s="44" t="str">
        <f t="shared" si="4"/>
        <v/>
      </c>
    </row>
    <row r="212" spans="1:12" ht="15.75" customHeight="1">
      <c r="A212" s="66" t="str">
        <f>IF(E212="","",VLOOKUP('Opći dio'!$C$3,'Opći dio'!$L$6:$U$137,10,FALSE))</f>
        <v/>
      </c>
      <c r="B212" s="66" t="str">
        <f>IF(E212="","",VLOOKUP('Opći dio'!$C$3,'Opći dio'!$L$6:$U$137,9,FALSE))</f>
        <v/>
      </c>
      <c r="C212" s="55" t="str">
        <f t="shared" si="11"/>
        <v/>
      </c>
      <c r="D212" s="56" t="str">
        <f t="shared" si="12"/>
        <v/>
      </c>
      <c r="E212" s="61"/>
      <c r="F212" s="58" t="str">
        <f t="shared" si="13"/>
        <v/>
      </c>
      <c r="G212" s="59"/>
      <c r="H212" s="59"/>
      <c r="I212" s="59"/>
      <c r="K212" s="44" t="str">
        <f t="shared" si="3"/>
        <v/>
      </c>
      <c r="L212" s="44" t="str">
        <f t="shared" si="4"/>
        <v/>
      </c>
    </row>
    <row r="213" spans="1:12" ht="15.75" customHeight="1">
      <c r="A213" s="66" t="str">
        <f>IF(E213="","",VLOOKUP('Opći dio'!$C$3,'Opći dio'!$L$6:$U$137,10,FALSE))</f>
        <v/>
      </c>
      <c r="B213" s="66" t="str">
        <f>IF(E213="","",VLOOKUP('Opći dio'!$C$3,'Opći dio'!$L$6:$U$137,9,FALSE))</f>
        <v/>
      </c>
      <c r="C213" s="55" t="str">
        <f t="shared" si="11"/>
        <v/>
      </c>
      <c r="D213" s="56" t="str">
        <f t="shared" si="12"/>
        <v/>
      </c>
      <c r="E213" s="61"/>
      <c r="F213" s="58" t="str">
        <f t="shared" si="13"/>
        <v/>
      </c>
      <c r="G213" s="59"/>
      <c r="H213" s="59"/>
      <c r="I213" s="59"/>
      <c r="K213" s="44" t="str">
        <f t="shared" si="3"/>
        <v/>
      </c>
      <c r="L213" s="44" t="str">
        <f t="shared" si="4"/>
        <v/>
      </c>
    </row>
    <row r="214" spans="1:12" ht="15.75" customHeight="1">
      <c r="A214" s="66" t="str">
        <f>IF(E214="","",VLOOKUP('Opći dio'!$C$3,'Opći dio'!$L$6:$U$137,10,FALSE))</f>
        <v/>
      </c>
      <c r="B214" s="66" t="str">
        <f>IF(E214="","",VLOOKUP('Opći dio'!$C$3,'Opći dio'!$L$6:$U$137,9,FALSE))</f>
        <v/>
      </c>
      <c r="C214" s="55" t="str">
        <f t="shared" si="11"/>
        <v/>
      </c>
      <c r="D214" s="56" t="str">
        <f t="shared" si="12"/>
        <v/>
      </c>
      <c r="E214" s="61"/>
      <c r="F214" s="58" t="str">
        <f t="shared" si="13"/>
        <v/>
      </c>
      <c r="G214" s="59"/>
      <c r="H214" s="59"/>
      <c r="I214" s="59"/>
      <c r="K214" s="44" t="str">
        <f t="shared" si="3"/>
        <v/>
      </c>
      <c r="L214" s="44" t="str">
        <f t="shared" si="4"/>
        <v/>
      </c>
    </row>
    <row r="215" spans="1:12" ht="15.75" customHeight="1">
      <c r="A215" s="66" t="str">
        <f>IF(E215="","",VLOOKUP('Opći dio'!$C$3,'Opći dio'!$L$6:$U$137,10,FALSE))</f>
        <v/>
      </c>
      <c r="B215" s="66" t="str">
        <f>IF(E215="","",VLOOKUP('Opći dio'!$C$3,'Opći dio'!$L$6:$U$137,9,FALSE))</f>
        <v/>
      </c>
      <c r="C215" s="55" t="str">
        <f t="shared" si="11"/>
        <v/>
      </c>
      <c r="D215" s="56" t="str">
        <f t="shared" si="12"/>
        <v/>
      </c>
      <c r="E215" s="61"/>
      <c r="F215" s="58" t="str">
        <f t="shared" si="13"/>
        <v/>
      </c>
      <c r="G215" s="59"/>
      <c r="H215" s="59"/>
      <c r="I215" s="59"/>
      <c r="K215" s="44" t="str">
        <f t="shared" si="3"/>
        <v/>
      </c>
      <c r="L215" s="44" t="str">
        <f t="shared" si="4"/>
        <v/>
      </c>
    </row>
    <row r="216" spans="1:12" ht="15.75" customHeight="1">
      <c r="A216" s="66" t="str">
        <f>IF(E216="","",VLOOKUP('Opći dio'!$C$3,'Opći dio'!$L$6:$U$137,10,FALSE))</f>
        <v/>
      </c>
      <c r="B216" s="66" t="str">
        <f>IF(E216="","",VLOOKUP('Opći dio'!$C$3,'Opći dio'!$L$6:$U$137,9,FALSE))</f>
        <v/>
      </c>
      <c r="C216" s="55" t="str">
        <f t="shared" si="11"/>
        <v/>
      </c>
      <c r="D216" s="56" t="str">
        <f t="shared" si="12"/>
        <v/>
      </c>
      <c r="E216" s="61"/>
      <c r="F216" s="58" t="str">
        <f t="shared" si="13"/>
        <v/>
      </c>
      <c r="G216" s="59"/>
      <c r="H216" s="59"/>
      <c r="I216" s="59"/>
      <c r="K216" s="44" t="str">
        <f t="shared" si="3"/>
        <v/>
      </c>
      <c r="L216" s="44" t="str">
        <f t="shared" si="4"/>
        <v/>
      </c>
    </row>
    <row r="217" spans="1:12" ht="15.75" customHeight="1">
      <c r="A217" s="66" t="str">
        <f>IF(E217="","",VLOOKUP('Opći dio'!$C$3,'Opći dio'!$L$6:$U$137,10,FALSE))</f>
        <v/>
      </c>
      <c r="B217" s="66" t="str">
        <f>IF(E217="","",VLOOKUP('Opći dio'!$C$3,'Opći dio'!$L$6:$U$137,9,FALSE))</f>
        <v/>
      </c>
      <c r="C217" s="55" t="str">
        <f t="shared" si="11"/>
        <v/>
      </c>
      <c r="D217" s="56" t="str">
        <f t="shared" si="12"/>
        <v/>
      </c>
      <c r="E217" s="61"/>
      <c r="F217" s="58" t="str">
        <f t="shared" si="13"/>
        <v/>
      </c>
      <c r="G217" s="59"/>
      <c r="H217" s="59"/>
      <c r="I217" s="59"/>
      <c r="K217" s="44" t="str">
        <f t="shared" si="3"/>
        <v/>
      </c>
      <c r="L217" s="44" t="str">
        <f t="shared" si="4"/>
        <v/>
      </c>
    </row>
    <row r="218" spans="1:12" ht="15.75" customHeight="1">
      <c r="A218" s="66" t="str">
        <f>IF(E218="","",VLOOKUP('Opći dio'!$C$3,'Opći dio'!$L$6:$U$137,10,FALSE))</f>
        <v/>
      </c>
      <c r="B218" s="66" t="str">
        <f>IF(E218="","",VLOOKUP('Opći dio'!$C$3,'Opći dio'!$L$6:$U$137,9,FALSE))</f>
        <v/>
      </c>
      <c r="C218" s="55" t="str">
        <f t="shared" si="11"/>
        <v/>
      </c>
      <c r="D218" s="56" t="str">
        <f t="shared" si="12"/>
        <v/>
      </c>
      <c r="E218" s="61"/>
      <c r="F218" s="58" t="str">
        <f t="shared" si="13"/>
        <v/>
      </c>
      <c r="G218" s="59"/>
      <c r="H218" s="59"/>
      <c r="I218" s="59"/>
      <c r="K218" s="44" t="str">
        <f t="shared" si="3"/>
        <v/>
      </c>
      <c r="L218" s="44" t="str">
        <f t="shared" si="4"/>
        <v/>
      </c>
    </row>
    <row r="219" spans="1:12" ht="15.75" customHeight="1">
      <c r="A219" s="66" t="str">
        <f>IF(E219="","",VLOOKUP('Opći dio'!$C$3,'Opći dio'!$L$6:$U$137,10,FALSE))</f>
        <v/>
      </c>
      <c r="B219" s="66" t="str">
        <f>IF(E219="","",VLOOKUP('Opći dio'!$C$3,'Opći dio'!$L$6:$U$137,9,FALSE))</f>
        <v/>
      </c>
      <c r="C219" s="55" t="str">
        <f t="shared" si="11"/>
        <v/>
      </c>
      <c r="D219" s="56" t="str">
        <f t="shared" si="12"/>
        <v/>
      </c>
      <c r="E219" s="61"/>
      <c r="F219" s="58" t="str">
        <f t="shared" si="13"/>
        <v/>
      </c>
      <c r="G219" s="59"/>
      <c r="H219" s="59"/>
      <c r="I219" s="59"/>
      <c r="K219" s="44" t="str">
        <f t="shared" si="3"/>
        <v/>
      </c>
      <c r="L219" s="44" t="str">
        <f t="shared" si="4"/>
        <v/>
      </c>
    </row>
    <row r="220" spans="1:12" ht="15.75" customHeight="1">
      <c r="A220" s="66" t="str">
        <f>IF(E220="","",VLOOKUP('Opći dio'!$C$3,'Opći dio'!$L$6:$U$137,10,FALSE))</f>
        <v/>
      </c>
      <c r="B220" s="66" t="str">
        <f>IF(E220="","",VLOOKUP('Opći dio'!$C$3,'Opći dio'!$L$6:$U$137,9,FALSE))</f>
        <v/>
      </c>
      <c r="C220" s="55" t="str">
        <f t="shared" si="11"/>
        <v/>
      </c>
      <c r="D220" s="56" t="str">
        <f t="shared" si="12"/>
        <v/>
      </c>
      <c r="E220" s="61"/>
      <c r="F220" s="58" t="str">
        <f t="shared" si="13"/>
        <v/>
      </c>
      <c r="G220" s="59"/>
      <c r="H220" s="59"/>
      <c r="I220" s="59"/>
      <c r="K220" s="44" t="str">
        <f t="shared" si="3"/>
        <v/>
      </c>
      <c r="L220" s="44" t="str">
        <f t="shared" si="4"/>
        <v/>
      </c>
    </row>
    <row r="221" spans="1:12" ht="15.75" customHeight="1">
      <c r="A221" s="66" t="str">
        <f>IF(E221="","",VLOOKUP('Opći dio'!$C$3,'Opći dio'!$L$6:$U$137,10,FALSE))</f>
        <v/>
      </c>
      <c r="B221" s="66" t="str">
        <f>IF(E221="","",VLOOKUP('Opći dio'!$C$3,'Opći dio'!$L$6:$U$137,9,FALSE))</f>
        <v/>
      </c>
      <c r="C221" s="55" t="str">
        <f t="shared" si="11"/>
        <v/>
      </c>
      <c r="D221" s="56" t="str">
        <f t="shared" si="12"/>
        <v/>
      </c>
      <c r="E221" s="61"/>
      <c r="F221" s="58" t="str">
        <f t="shared" si="13"/>
        <v/>
      </c>
      <c r="G221" s="59"/>
      <c r="H221" s="59"/>
      <c r="I221" s="59"/>
      <c r="K221" s="44" t="str">
        <f t="shared" si="3"/>
        <v/>
      </c>
      <c r="L221" s="44" t="str">
        <f t="shared" si="4"/>
        <v/>
      </c>
    </row>
    <row r="222" spans="1:12" ht="15.75" customHeight="1">
      <c r="A222" s="66" t="str">
        <f>IF(E222="","",VLOOKUP('Opći dio'!$C$3,'Opći dio'!$L$6:$U$137,10,FALSE))</f>
        <v/>
      </c>
      <c r="B222" s="66" t="str">
        <f>IF(E222="","",VLOOKUP('Opći dio'!$C$3,'Opći dio'!$L$6:$U$137,9,FALSE))</f>
        <v/>
      </c>
      <c r="C222" s="55" t="str">
        <f t="shared" si="11"/>
        <v/>
      </c>
      <c r="D222" s="56" t="str">
        <f t="shared" si="12"/>
        <v/>
      </c>
      <c r="E222" s="61"/>
      <c r="F222" s="58" t="str">
        <f t="shared" si="13"/>
        <v/>
      </c>
      <c r="G222" s="59"/>
      <c r="H222" s="59"/>
      <c r="I222" s="59"/>
      <c r="K222" s="44" t="str">
        <f t="shared" si="3"/>
        <v/>
      </c>
      <c r="L222" s="44" t="str">
        <f t="shared" si="4"/>
        <v/>
      </c>
    </row>
    <row r="223" spans="1:12" ht="15.75" customHeight="1">
      <c r="A223" s="66" t="str">
        <f>IF(E223="","",VLOOKUP('Opći dio'!$C$3,'Opći dio'!$L$6:$U$137,10,FALSE))</f>
        <v/>
      </c>
      <c r="B223" s="66" t="str">
        <f>IF(E223="","",VLOOKUP('Opći dio'!$C$3,'Opći dio'!$L$6:$U$137,9,FALSE))</f>
        <v/>
      </c>
      <c r="C223" s="55" t="str">
        <f t="shared" si="11"/>
        <v/>
      </c>
      <c r="D223" s="56" t="str">
        <f t="shared" si="12"/>
        <v/>
      </c>
      <c r="E223" s="61"/>
      <c r="F223" s="58" t="str">
        <f t="shared" si="13"/>
        <v/>
      </c>
      <c r="G223" s="59"/>
      <c r="H223" s="59"/>
      <c r="I223" s="59"/>
      <c r="K223" s="44" t="str">
        <f t="shared" si="3"/>
        <v/>
      </c>
      <c r="L223" s="44" t="str">
        <f t="shared" si="4"/>
        <v/>
      </c>
    </row>
    <row r="224" spans="1:12" ht="15.75" customHeight="1">
      <c r="A224" s="66" t="str">
        <f>IF(E224="","",VLOOKUP('Opći dio'!$C$3,'Opći dio'!$L$6:$U$137,10,FALSE))</f>
        <v/>
      </c>
      <c r="B224" s="66" t="str">
        <f>IF(E224="","",VLOOKUP('Opći dio'!$C$3,'Opći dio'!$L$6:$U$137,9,FALSE))</f>
        <v/>
      </c>
      <c r="C224" s="55" t="str">
        <f t="shared" si="11"/>
        <v/>
      </c>
      <c r="D224" s="56" t="str">
        <f t="shared" si="12"/>
        <v/>
      </c>
      <c r="E224" s="61"/>
      <c r="F224" s="58" t="str">
        <f t="shared" si="13"/>
        <v/>
      </c>
      <c r="G224" s="59"/>
      <c r="H224" s="59"/>
      <c r="I224" s="59"/>
      <c r="K224" s="44" t="str">
        <f t="shared" si="3"/>
        <v/>
      </c>
      <c r="L224" s="44" t="str">
        <f t="shared" si="4"/>
        <v/>
      </c>
    </row>
    <row r="225" spans="1:12" ht="15.75" customHeight="1">
      <c r="A225" s="66" t="str">
        <f>IF(E225="","",VLOOKUP('Opći dio'!$C$3,'Opći dio'!$L$6:$U$137,10,FALSE))</f>
        <v/>
      </c>
      <c r="B225" s="66" t="str">
        <f>IF(E225="","",VLOOKUP('Opći dio'!$C$3,'Opći dio'!$L$6:$U$137,9,FALSE))</f>
        <v/>
      </c>
      <c r="C225" s="55" t="str">
        <f t="shared" si="11"/>
        <v/>
      </c>
      <c r="D225" s="56" t="str">
        <f t="shared" si="12"/>
        <v/>
      </c>
      <c r="E225" s="61"/>
      <c r="F225" s="58" t="str">
        <f t="shared" si="13"/>
        <v/>
      </c>
      <c r="G225" s="59"/>
      <c r="H225" s="59"/>
      <c r="I225" s="59"/>
      <c r="K225" s="44" t="str">
        <f t="shared" si="3"/>
        <v/>
      </c>
      <c r="L225" s="44" t="str">
        <f t="shared" si="4"/>
        <v/>
      </c>
    </row>
    <row r="226" spans="1:12" ht="15.75" customHeight="1">
      <c r="A226" s="66" t="str">
        <f>IF(E226="","",VLOOKUP('Opći dio'!$C$3,'Opći dio'!$L$6:$U$137,10,FALSE))</f>
        <v/>
      </c>
      <c r="B226" s="66" t="str">
        <f>IF(E226="","",VLOOKUP('Opći dio'!$C$3,'Opći dio'!$L$6:$U$137,9,FALSE))</f>
        <v/>
      </c>
      <c r="C226" s="55" t="str">
        <f t="shared" si="11"/>
        <v/>
      </c>
      <c r="D226" s="56" t="str">
        <f t="shared" si="12"/>
        <v/>
      </c>
      <c r="E226" s="61"/>
      <c r="F226" s="58" t="str">
        <f t="shared" si="13"/>
        <v/>
      </c>
      <c r="G226" s="59"/>
      <c r="H226" s="59"/>
      <c r="I226" s="59"/>
      <c r="K226" s="44" t="str">
        <f t="shared" si="3"/>
        <v/>
      </c>
      <c r="L226" s="44" t="str">
        <f t="shared" si="4"/>
        <v/>
      </c>
    </row>
    <row r="227" spans="1:12" ht="15.75" customHeight="1">
      <c r="A227" s="66" t="str">
        <f>IF(E227="","",VLOOKUP('Opći dio'!$C$3,'Opći dio'!$L$6:$U$137,10,FALSE))</f>
        <v/>
      </c>
      <c r="B227" s="66" t="str">
        <f>IF(E227="","",VLOOKUP('Opći dio'!$C$3,'Opći dio'!$L$6:$U$137,9,FALSE))</f>
        <v/>
      </c>
      <c r="C227" s="55" t="str">
        <f t="shared" si="11"/>
        <v/>
      </c>
      <c r="D227" s="56" t="str">
        <f t="shared" si="12"/>
        <v/>
      </c>
      <c r="E227" s="61"/>
      <c r="F227" s="58" t="str">
        <f t="shared" si="13"/>
        <v/>
      </c>
      <c r="G227" s="59"/>
      <c r="H227" s="59"/>
      <c r="I227" s="59"/>
      <c r="K227" s="44" t="str">
        <f t="shared" si="3"/>
        <v/>
      </c>
      <c r="L227" s="44" t="str">
        <f t="shared" si="4"/>
        <v/>
      </c>
    </row>
    <row r="228" spans="1:12" ht="15.75" customHeight="1">
      <c r="A228" s="66" t="str">
        <f>IF(E228="","",VLOOKUP('Opći dio'!$C$3,'Opći dio'!$L$6:$U$137,10,FALSE))</f>
        <v/>
      </c>
      <c r="B228" s="66" t="str">
        <f>IF(E228="","",VLOOKUP('Opći dio'!$C$3,'Opći dio'!$L$6:$U$137,9,FALSE))</f>
        <v/>
      </c>
      <c r="C228" s="55" t="str">
        <f t="shared" si="11"/>
        <v/>
      </c>
      <c r="D228" s="56" t="str">
        <f t="shared" si="12"/>
        <v/>
      </c>
      <c r="E228" s="61"/>
      <c r="F228" s="58" t="str">
        <f t="shared" si="13"/>
        <v/>
      </c>
      <c r="G228" s="59"/>
      <c r="H228" s="59"/>
      <c r="I228" s="59"/>
      <c r="K228" s="44" t="str">
        <f t="shared" si="3"/>
        <v/>
      </c>
      <c r="L228" s="44" t="str">
        <f t="shared" si="4"/>
        <v/>
      </c>
    </row>
    <row r="229" spans="1:12" ht="15.75" customHeight="1">
      <c r="A229" s="66" t="str">
        <f>IF(E229="","",VLOOKUP('Opći dio'!$C$3,'Opći dio'!$L$6:$U$137,10,FALSE))</f>
        <v/>
      </c>
      <c r="B229" s="66" t="str">
        <f>IF(E229="","",VLOOKUP('Opći dio'!$C$3,'Opći dio'!$L$6:$U$137,9,FALSE))</f>
        <v/>
      </c>
      <c r="C229" s="55" t="str">
        <f t="shared" si="11"/>
        <v/>
      </c>
      <c r="D229" s="56" t="str">
        <f t="shared" si="12"/>
        <v/>
      </c>
      <c r="E229" s="61"/>
      <c r="F229" s="58" t="str">
        <f t="shared" si="13"/>
        <v/>
      </c>
      <c r="G229" s="59"/>
      <c r="H229" s="59"/>
      <c r="I229" s="59"/>
      <c r="K229" s="44" t="str">
        <f t="shared" si="3"/>
        <v/>
      </c>
      <c r="L229" s="44" t="str">
        <f t="shared" si="4"/>
        <v/>
      </c>
    </row>
    <row r="230" spans="1:12" ht="15.75" customHeight="1">
      <c r="A230" s="66" t="str">
        <f>IF(E230="","",VLOOKUP('Opći dio'!$C$3,'Opći dio'!$L$6:$U$137,10,FALSE))</f>
        <v/>
      </c>
      <c r="B230" s="66" t="str">
        <f>IF(E230="","",VLOOKUP('Opći dio'!$C$3,'Opći dio'!$L$6:$U$137,9,FALSE))</f>
        <v/>
      </c>
      <c r="C230" s="55" t="str">
        <f t="shared" si="11"/>
        <v/>
      </c>
      <c r="D230" s="56" t="str">
        <f t="shared" si="12"/>
        <v/>
      </c>
      <c r="E230" s="61"/>
      <c r="F230" s="58" t="str">
        <f t="shared" si="13"/>
        <v/>
      </c>
      <c r="G230" s="59"/>
      <c r="H230" s="59"/>
      <c r="I230" s="59"/>
      <c r="K230" s="44" t="str">
        <f t="shared" si="3"/>
        <v/>
      </c>
      <c r="L230" s="44" t="str">
        <f t="shared" si="4"/>
        <v/>
      </c>
    </row>
    <row r="231" spans="1:12" ht="15.75" customHeight="1">
      <c r="A231" s="66" t="str">
        <f>IF(E231="","",VLOOKUP('Opći dio'!$C$3,'Opći dio'!$L$6:$U$137,10,FALSE))</f>
        <v/>
      </c>
      <c r="B231" s="66" t="str">
        <f>IF(E231="","",VLOOKUP('Opći dio'!$C$3,'Opći dio'!$L$6:$U$137,9,FALSE))</f>
        <v/>
      </c>
      <c r="C231" s="55" t="str">
        <f t="shared" si="11"/>
        <v/>
      </c>
      <c r="D231" s="56" t="str">
        <f t="shared" si="12"/>
        <v/>
      </c>
      <c r="E231" s="61"/>
      <c r="F231" s="58" t="str">
        <f t="shared" si="13"/>
        <v/>
      </c>
      <c r="G231" s="59"/>
      <c r="H231" s="59"/>
      <c r="I231" s="59"/>
      <c r="K231" s="44" t="str">
        <f t="shared" si="3"/>
        <v/>
      </c>
      <c r="L231" s="44" t="str">
        <f t="shared" si="4"/>
        <v/>
      </c>
    </row>
    <row r="232" spans="1:12" ht="15.75" customHeight="1">
      <c r="A232" s="66" t="str">
        <f>IF(E232="","",VLOOKUP('Opći dio'!$C$3,'Opći dio'!$L$6:$U$137,10,FALSE))</f>
        <v/>
      </c>
      <c r="B232" s="66" t="str">
        <f>IF(E232="","",VLOOKUP('Opći dio'!$C$3,'Opći dio'!$L$6:$U$137,9,FALSE))</f>
        <v/>
      </c>
      <c r="C232" s="55" t="str">
        <f t="shared" si="11"/>
        <v/>
      </c>
      <c r="D232" s="56" t="str">
        <f t="shared" si="12"/>
        <v/>
      </c>
      <c r="E232" s="61"/>
      <c r="F232" s="58" t="str">
        <f t="shared" si="13"/>
        <v/>
      </c>
      <c r="G232" s="59"/>
      <c r="H232" s="59"/>
      <c r="I232" s="59"/>
      <c r="K232" s="44" t="str">
        <f t="shared" si="3"/>
        <v/>
      </c>
      <c r="L232" s="44" t="str">
        <f t="shared" si="4"/>
        <v/>
      </c>
    </row>
    <row r="233" spans="1:12" ht="15.75" customHeight="1">
      <c r="A233" s="66" t="str">
        <f>IF(E233="","",VLOOKUP('Opći dio'!$C$3,'Opći dio'!$L$6:$U$137,10,FALSE))</f>
        <v/>
      </c>
      <c r="B233" s="66" t="str">
        <f>IF(E233="","",VLOOKUP('Opći dio'!$C$3,'Opći dio'!$L$6:$U$137,9,FALSE))</f>
        <v/>
      </c>
      <c r="C233" s="55" t="str">
        <f t="shared" si="11"/>
        <v/>
      </c>
      <c r="D233" s="56" t="str">
        <f t="shared" si="12"/>
        <v/>
      </c>
      <c r="E233" s="61"/>
      <c r="F233" s="58" t="str">
        <f t="shared" si="13"/>
        <v/>
      </c>
      <c r="G233" s="59"/>
      <c r="H233" s="59"/>
      <c r="I233" s="59"/>
      <c r="K233" s="44" t="str">
        <f t="shared" si="3"/>
        <v/>
      </c>
      <c r="L233" s="44" t="str">
        <f t="shared" si="4"/>
        <v/>
      </c>
    </row>
    <row r="234" spans="1:12" ht="15.75" customHeight="1">
      <c r="A234" s="66" t="str">
        <f>IF(E234="","",VLOOKUP('Opći dio'!$C$3,'Opći dio'!$L$6:$U$137,10,FALSE))</f>
        <v/>
      </c>
      <c r="B234" s="66" t="str">
        <f>IF(E234="","",VLOOKUP('Opći dio'!$C$3,'Opći dio'!$L$6:$U$137,9,FALSE))</f>
        <v/>
      </c>
      <c r="C234" s="55" t="str">
        <f t="shared" si="11"/>
        <v/>
      </c>
      <c r="D234" s="56" t="str">
        <f t="shared" si="12"/>
        <v/>
      </c>
      <c r="E234" s="61"/>
      <c r="F234" s="58" t="str">
        <f t="shared" si="13"/>
        <v/>
      </c>
      <c r="G234" s="59"/>
      <c r="H234" s="59"/>
      <c r="I234" s="59"/>
      <c r="K234" s="44" t="str">
        <f t="shared" si="3"/>
        <v/>
      </c>
      <c r="L234" s="44" t="str">
        <f t="shared" si="4"/>
        <v/>
      </c>
    </row>
    <row r="235" spans="1:12" ht="15.75" customHeight="1">
      <c r="A235" s="66" t="str">
        <f>IF(E235="","",VLOOKUP('Opći dio'!$C$3,'Opći dio'!$L$6:$U$137,10,FALSE))</f>
        <v/>
      </c>
      <c r="B235" s="66" t="str">
        <f>IF(E235="","",VLOOKUP('Opći dio'!$C$3,'Opći dio'!$L$6:$U$137,9,FALSE))</f>
        <v/>
      </c>
      <c r="C235" s="55" t="str">
        <f t="shared" si="11"/>
        <v/>
      </c>
      <c r="D235" s="56" t="str">
        <f t="shared" si="12"/>
        <v/>
      </c>
      <c r="E235" s="61"/>
      <c r="F235" s="58" t="str">
        <f t="shared" si="13"/>
        <v/>
      </c>
      <c r="G235" s="59"/>
      <c r="H235" s="59"/>
      <c r="I235" s="59"/>
      <c r="K235" s="44" t="str">
        <f t="shared" si="3"/>
        <v/>
      </c>
      <c r="L235" s="44" t="str">
        <f t="shared" si="4"/>
        <v/>
      </c>
    </row>
    <row r="236" spans="1:12" ht="15.75" customHeight="1">
      <c r="A236" s="66" t="str">
        <f>IF(E236="","",VLOOKUP('Opći dio'!$C$3,'Opći dio'!$L$6:$U$137,10,FALSE))</f>
        <v/>
      </c>
      <c r="B236" s="66" t="str">
        <f>IF(E236="","",VLOOKUP('Opći dio'!$C$3,'Opći dio'!$L$6:$U$137,9,FALSE))</f>
        <v/>
      </c>
      <c r="C236" s="55" t="str">
        <f t="shared" si="11"/>
        <v/>
      </c>
      <c r="D236" s="56" t="str">
        <f t="shared" si="12"/>
        <v/>
      </c>
      <c r="E236" s="61"/>
      <c r="F236" s="58" t="str">
        <f t="shared" si="13"/>
        <v/>
      </c>
      <c r="G236" s="59"/>
      <c r="H236" s="59"/>
      <c r="I236" s="59"/>
      <c r="K236" s="44" t="str">
        <f t="shared" si="3"/>
        <v/>
      </c>
      <c r="L236" s="44" t="str">
        <f t="shared" si="4"/>
        <v/>
      </c>
    </row>
    <row r="237" spans="1:12" ht="15.75" customHeight="1">
      <c r="A237" s="66" t="str">
        <f>IF(E237="","",VLOOKUP('Opći dio'!$C$3,'Opći dio'!$L$6:$U$137,10,FALSE))</f>
        <v/>
      </c>
      <c r="B237" s="66" t="str">
        <f>IF(E237="","",VLOOKUP('Opći dio'!$C$3,'Opći dio'!$L$6:$U$137,9,FALSE))</f>
        <v/>
      </c>
      <c r="C237" s="55" t="str">
        <f t="shared" si="11"/>
        <v/>
      </c>
      <c r="D237" s="56" t="str">
        <f t="shared" si="12"/>
        <v/>
      </c>
      <c r="E237" s="61"/>
      <c r="F237" s="58" t="str">
        <f t="shared" si="13"/>
        <v/>
      </c>
      <c r="G237" s="59"/>
      <c r="H237" s="59"/>
      <c r="I237" s="59"/>
      <c r="K237" s="44" t="str">
        <f t="shared" si="3"/>
        <v/>
      </c>
      <c r="L237" s="44" t="str">
        <f t="shared" si="4"/>
        <v/>
      </c>
    </row>
    <row r="238" spans="1:12" ht="15.75" customHeight="1">
      <c r="A238" s="66" t="str">
        <f>IF(E238="","",VLOOKUP('Opći dio'!$C$3,'Opći dio'!$L$6:$U$137,10,FALSE))</f>
        <v/>
      </c>
      <c r="B238" s="66" t="str">
        <f>IF(E238="","",VLOOKUP('Opći dio'!$C$3,'Opći dio'!$L$6:$U$137,9,FALSE))</f>
        <v/>
      </c>
      <c r="C238" s="55" t="str">
        <f t="shared" si="11"/>
        <v/>
      </c>
      <c r="D238" s="56" t="str">
        <f t="shared" si="12"/>
        <v/>
      </c>
      <c r="E238" s="61"/>
      <c r="F238" s="58" t="str">
        <f t="shared" si="13"/>
        <v/>
      </c>
      <c r="G238" s="59"/>
      <c r="H238" s="59"/>
      <c r="I238" s="59"/>
      <c r="K238" s="44" t="str">
        <f t="shared" si="3"/>
        <v/>
      </c>
      <c r="L238" s="44" t="str">
        <f t="shared" si="4"/>
        <v/>
      </c>
    </row>
    <row r="239" spans="1:12" ht="15.75" customHeight="1">
      <c r="A239" s="66" t="str">
        <f>IF(E239="","",VLOOKUP('Opći dio'!$C$3,'Opći dio'!$L$6:$U$137,10,FALSE))</f>
        <v/>
      </c>
      <c r="B239" s="66" t="str">
        <f>IF(E239="","",VLOOKUP('Opći dio'!$C$3,'Opći dio'!$L$6:$U$137,9,FALSE))</f>
        <v/>
      </c>
      <c r="C239" s="55" t="str">
        <f t="shared" si="11"/>
        <v/>
      </c>
      <c r="D239" s="56" t="str">
        <f t="shared" si="12"/>
        <v/>
      </c>
      <c r="E239" s="61"/>
      <c r="F239" s="58" t="str">
        <f t="shared" si="13"/>
        <v/>
      </c>
      <c r="G239" s="59"/>
      <c r="H239" s="59"/>
      <c r="I239" s="59"/>
      <c r="K239" s="44" t="str">
        <f t="shared" si="3"/>
        <v/>
      </c>
      <c r="L239" s="44" t="str">
        <f t="shared" si="4"/>
        <v/>
      </c>
    </row>
    <row r="240" spans="1:12" ht="15.75" customHeight="1">
      <c r="A240" s="66" t="str">
        <f>IF(E240="","",VLOOKUP('Opći dio'!$C$3,'Opći dio'!$L$6:$U$137,10,FALSE))</f>
        <v/>
      </c>
      <c r="B240" s="66" t="str">
        <f>IF(E240="","",VLOOKUP('Opći dio'!$C$3,'Opći dio'!$L$6:$U$137,9,FALSE))</f>
        <v/>
      </c>
      <c r="C240" s="55" t="str">
        <f t="shared" si="11"/>
        <v/>
      </c>
      <c r="D240" s="56" t="str">
        <f t="shared" si="12"/>
        <v/>
      </c>
      <c r="E240" s="61"/>
      <c r="F240" s="58" t="str">
        <f t="shared" si="13"/>
        <v/>
      </c>
      <c r="G240" s="59"/>
      <c r="H240" s="59"/>
      <c r="I240" s="59"/>
      <c r="K240" s="44" t="str">
        <f t="shared" si="3"/>
        <v/>
      </c>
      <c r="L240" s="44" t="str">
        <f t="shared" si="4"/>
        <v/>
      </c>
    </row>
    <row r="241" spans="1:12" ht="15.75" customHeight="1">
      <c r="A241" s="66" t="str">
        <f>IF(E241="","",VLOOKUP('Opći dio'!$C$3,'Opći dio'!$L$6:$U$137,10,FALSE))</f>
        <v/>
      </c>
      <c r="B241" s="66" t="str">
        <f>IF(E241="","",VLOOKUP('Opći dio'!$C$3,'Opći dio'!$L$6:$U$137,9,FALSE))</f>
        <v/>
      </c>
      <c r="C241" s="55" t="str">
        <f t="shared" si="11"/>
        <v/>
      </c>
      <c r="D241" s="56" t="str">
        <f t="shared" si="12"/>
        <v/>
      </c>
      <c r="E241" s="61"/>
      <c r="F241" s="58" t="str">
        <f t="shared" si="13"/>
        <v/>
      </c>
      <c r="G241" s="59"/>
      <c r="H241" s="59"/>
      <c r="I241" s="59"/>
      <c r="K241" s="44" t="str">
        <f t="shared" si="3"/>
        <v/>
      </c>
      <c r="L241" s="44" t="str">
        <f t="shared" si="4"/>
        <v/>
      </c>
    </row>
    <row r="242" spans="1:12" ht="15.75" customHeight="1">
      <c r="A242" s="66" t="str">
        <f>IF(E242="","",VLOOKUP('Opći dio'!$C$3,'Opći dio'!$L$6:$U$137,10,FALSE))</f>
        <v/>
      </c>
      <c r="B242" s="66" t="str">
        <f>IF(E242="","",VLOOKUP('Opći dio'!$C$3,'Opći dio'!$L$6:$U$137,9,FALSE))</f>
        <v/>
      </c>
      <c r="C242" s="55" t="str">
        <f t="shared" si="11"/>
        <v/>
      </c>
      <c r="D242" s="56" t="str">
        <f t="shared" si="12"/>
        <v/>
      </c>
      <c r="E242" s="61"/>
      <c r="F242" s="58" t="str">
        <f t="shared" si="13"/>
        <v/>
      </c>
      <c r="G242" s="59"/>
      <c r="H242" s="59"/>
      <c r="I242" s="59"/>
      <c r="K242" s="44" t="str">
        <f t="shared" si="3"/>
        <v/>
      </c>
      <c r="L242" s="44" t="str">
        <f t="shared" si="4"/>
        <v/>
      </c>
    </row>
    <row r="243" spans="1:12" ht="15.75" customHeight="1">
      <c r="A243" s="66" t="str">
        <f>IF(E243="","",VLOOKUP('Opći dio'!$C$3,'Opći dio'!$L$6:$U$137,10,FALSE))</f>
        <v/>
      </c>
      <c r="B243" s="66" t="str">
        <f>IF(E243="","",VLOOKUP('Opći dio'!$C$3,'Opći dio'!$L$6:$U$137,9,FALSE))</f>
        <v/>
      </c>
      <c r="C243" s="55" t="str">
        <f t="shared" si="11"/>
        <v/>
      </c>
      <c r="D243" s="56" t="str">
        <f t="shared" si="12"/>
        <v/>
      </c>
      <c r="E243" s="61"/>
      <c r="F243" s="58" t="str">
        <f t="shared" si="13"/>
        <v/>
      </c>
      <c r="G243" s="59"/>
      <c r="H243" s="59"/>
      <c r="I243" s="59"/>
      <c r="K243" s="44" t="str">
        <f t="shared" si="3"/>
        <v/>
      </c>
      <c r="L243" s="44" t="str">
        <f t="shared" si="4"/>
        <v/>
      </c>
    </row>
    <row r="244" spans="1:12" ht="15.75" customHeight="1">
      <c r="A244" s="66" t="str">
        <f>IF(E244="","",VLOOKUP('Opći dio'!$C$3,'Opći dio'!$L$6:$U$137,10,FALSE))</f>
        <v/>
      </c>
      <c r="B244" s="66" t="str">
        <f>IF(E244="","",VLOOKUP('Opći dio'!$C$3,'Opći dio'!$L$6:$U$137,9,FALSE))</f>
        <v/>
      </c>
      <c r="C244" s="55" t="str">
        <f t="shared" si="11"/>
        <v/>
      </c>
      <c r="D244" s="56" t="str">
        <f t="shared" si="12"/>
        <v/>
      </c>
      <c r="E244" s="61"/>
      <c r="F244" s="58" t="str">
        <f t="shared" si="13"/>
        <v/>
      </c>
      <c r="G244" s="59"/>
      <c r="H244" s="59"/>
      <c r="I244" s="59"/>
      <c r="K244" s="44" t="str">
        <f t="shared" si="3"/>
        <v/>
      </c>
      <c r="L244" s="44" t="str">
        <f t="shared" si="4"/>
        <v/>
      </c>
    </row>
    <row r="245" spans="1:12" ht="15.75" customHeight="1">
      <c r="A245" s="66" t="str">
        <f>IF(E245="","",VLOOKUP('Opći dio'!$C$3,'Opći dio'!$L$6:$U$137,10,FALSE))</f>
        <v/>
      </c>
      <c r="B245" s="66" t="str">
        <f>IF(E245="","",VLOOKUP('Opći dio'!$C$3,'Opći dio'!$L$6:$U$137,9,FALSE))</f>
        <v/>
      </c>
      <c r="C245" s="55" t="str">
        <f t="shared" si="11"/>
        <v/>
      </c>
      <c r="D245" s="56" t="str">
        <f t="shared" si="12"/>
        <v/>
      </c>
      <c r="E245" s="61"/>
      <c r="F245" s="58" t="str">
        <f t="shared" si="13"/>
        <v/>
      </c>
      <c r="G245" s="59"/>
      <c r="H245" s="59"/>
      <c r="I245" s="59"/>
      <c r="K245" s="44" t="str">
        <f t="shared" si="3"/>
        <v/>
      </c>
      <c r="L245" s="44" t="str">
        <f t="shared" si="4"/>
        <v/>
      </c>
    </row>
    <row r="246" spans="1:12" ht="15.75" customHeight="1">
      <c r="A246" s="66" t="str">
        <f>IF(E246="","",VLOOKUP('Opći dio'!$C$3,'Opći dio'!$L$6:$U$137,10,FALSE))</f>
        <v/>
      </c>
      <c r="B246" s="66" t="str">
        <f>IF(E246="","",VLOOKUP('Opći dio'!$C$3,'Opći dio'!$L$6:$U$137,9,FALSE))</f>
        <v/>
      </c>
      <c r="C246" s="55" t="str">
        <f t="shared" si="11"/>
        <v/>
      </c>
      <c r="D246" s="56" t="str">
        <f t="shared" si="12"/>
        <v/>
      </c>
      <c r="E246" s="61"/>
      <c r="F246" s="58" t="str">
        <f t="shared" si="13"/>
        <v/>
      </c>
      <c r="G246" s="59"/>
      <c r="H246" s="59"/>
      <c r="I246" s="59"/>
      <c r="K246" s="44" t="str">
        <f t="shared" si="3"/>
        <v/>
      </c>
      <c r="L246" s="44" t="str">
        <f t="shared" si="4"/>
        <v/>
      </c>
    </row>
    <row r="247" spans="1:12" ht="15.75" customHeight="1">
      <c r="A247" s="66" t="str">
        <f>IF(E247="","",VLOOKUP('Opći dio'!$C$3,'Opći dio'!$L$6:$U$137,10,FALSE))</f>
        <v/>
      </c>
      <c r="B247" s="66" t="str">
        <f>IF(E247="","",VLOOKUP('Opći dio'!$C$3,'Opći dio'!$L$6:$U$137,9,FALSE))</f>
        <v/>
      </c>
      <c r="C247" s="55" t="str">
        <f t="shared" si="11"/>
        <v/>
      </c>
      <c r="D247" s="56" t="str">
        <f t="shared" si="12"/>
        <v/>
      </c>
      <c r="E247" s="61"/>
      <c r="F247" s="58" t="str">
        <f t="shared" si="13"/>
        <v/>
      </c>
      <c r="G247" s="59"/>
      <c r="H247" s="59"/>
      <c r="I247" s="59"/>
      <c r="K247" s="44" t="str">
        <f t="shared" si="3"/>
        <v/>
      </c>
      <c r="L247" s="44" t="str">
        <f t="shared" si="4"/>
        <v/>
      </c>
    </row>
    <row r="248" spans="1:12" ht="15.75" customHeight="1">
      <c r="A248" s="66" t="str">
        <f>IF(E248="","",VLOOKUP('Opći dio'!$C$3,'Opći dio'!$L$6:$U$137,10,FALSE))</f>
        <v/>
      </c>
      <c r="B248" s="66" t="str">
        <f>IF(E248="","",VLOOKUP('Opći dio'!$C$3,'Opći dio'!$L$6:$U$137,9,FALSE))</f>
        <v/>
      </c>
      <c r="C248" s="55" t="str">
        <f t="shared" si="11"/>
        <v/>
      </c>
      <c r="D248" s="56" t="str">
        <f t="shared" si="12"/>
        <v/>
      </c>
      <c r="E248" s="61"/>
      <c r="F248" s="58" t="str">
        <f t="shared" si="13"/>
        <v/>
      </c>
      <c r="G248" s="59"/>
      <c r="H248" s="59"/>
      <c r="I248" s="59"/>
      <c r="K248" s="44" t="str">
        <f t="shared" si="3"/>
        <v/>
      </c>
      <c r="L248" s="44" t="str">
        <f t="shared" si="4"/>
        <v/>
      </c>
    </row>
    <row r="249" spans="1:12" ht="15.75" customHeight="1">
      <c r="A249" s="66" t="str">
        <f>IF(E249="","",VLOOKUP('Opći dio'!$C$3,'Opći dio'!$L$6:$U$137,10,FALSE))</f>
        <v/>
      </c>
      <c r="B249" s="66" t="str">
        <f>IF(E249="","",VLOOKUP('Opći dio'!$C$3,'Opći dio'!$L$6:$U$137,9,FALSE))</f>
        <v/>
      </c>
      <c r="C249" s="55" t="str">
        <f t="shared" si="11"/>
        <v/>
      </c>
      <c r="D249" s="56" t="str">
        <f t="shared" si="12"/>
        <v/>
      </c>
      <c r="E249" s="61"/>
      <c r="F249" s="58" t="str">
        <f t="shared" si="13"/>
        <v/>
      </c>
      <c r="G249" s="59"/>
      <c r="H249" s="59"/>
      <c r="I249" s="59"/>
      <c r="K249" s="44" t="str">
        <f t="shared" si="3"/>
        <v/>
      </c>
      <c r="L249" s="44" t="str">
        <f t="shared" si="4"/>
        <v/>
      </c>
    </row>
    <row r="250" spans="1:12" ht="15.75" customHeight="1">
      <c r="A250" s="66" t="str">
        <f>IF(E250="","",VLOOKUP('Opći dio'!$C$3,'Opći dio'!$L$6:$U$137,10,FALSE))</f>
        <v/>
      </c>
      <c r="B250" s="66" t="str">
        <f>IF(E250="","",VLOOKUP('Opći dio'!$C$3,'Opći dio'!$L$6:$U$137,9,FALSE))</f>
        <v/>
      </c>
      <c r="C250" s="55" t="str">
        <f t="shared" si="11"/>
        <v/>
      </c>
      <c r="D250" s="56" t="str">
        <f t="shared" si="12"/>
        <v/>
      </c>
      <c r="E250" s="61"/>
      <c r="F250" s="58" t="str">
        <f t="shared" si="13"/>
        <v/>
      </c>
      <c r="G250" s="59"/>
      <c r="H250" s="59"/>
      <c r="I250" s="59"/>
      <c r="K250" s="44" t="str">
        <f t="shared" si="3"/>
        <v/>
      </c>
      <c r="L250" s="44" t="str">
        <f t="shared" si="4"/>
        <v/>
      </c>
    </row>
    <row r="251" spans="1:12" ht="15.75" customHeight="1">
      <c r="A251" s="66" t="str">
        <f>IF(E251="","",VLOOKUP('Opći dio'!$C$3,'Opći dio'!$L$6:$U$137,10,FALSE))</f>
        <v/>
      </c>
      <c r="B251" s="66" t="str">
        <f>IF(E251="","",VLOOKUP('Opći dio'!$C$3,'Opći dio'!$L$6:$U$137,9,FALSE))</f>
        <v/>
      </c>
      <c r="C251" s="55" t="str">
        <f t="shared" si="11"/>
        <v/>
      </c>
      <c r="D251" s="56" t="str">
        <f t="shared" si="12"/>
        <v/>
      </c>
      <c r="E251" s="61"/>
      <c r="F251" s="58" t="str">
        <f t="shared" si="13"/>
        <v/>
      </c>
      <c r="G251" s="59"/>
      <c r="H251" s="59"/>
      <c r="I251" s="59"/>
      <c r="K251" s="44" t="str">
        <f t="shared" si="3"/>
        <v/>
      </c>
      <c r="L251" s="44" t="str">
        <f t="shared" si="4"/>
        <v/>
      </c>
    </row>
    <row r="252" spans="1:12" ht="15.75" customHeight="1">
      <c r="A252" s="66" t="str">
        <f>IF(E252="","",VLOOKUP('Opći dio'!$C$3,'Opći dio'!$L$6:$U$137,10,FALSE))</f>
        <v/>
      </c>
      <c r="B252" s="66" t="str">
        <f>IF(E252="","",VLOOKUP('Opći dio'!$C$3,'Opći dio'!$L$6:$U$137,9,FALSE))</f>
        <v/>
      </c>
      <c r="C252" s="55" t="str">
        <f t="shared" si="11"/>
        <v/>
      </c>
      <c r="D252" s="56" t="str">
        <f t="shared" si="12"/>
        <v/>
      </c>
      <c r="E252" s="61"/>
      <c r="F252" s="58" t="str">
        <f t="shared" si="13"/>
        <v/>
      </c>
      <c r="G252" s="59"/>
      <c r="H252" s="59"/>
      <c r="I252" s="59"/>
      <c r="K252" s="44" t="str">
        <f t="shared" si="3"/>
        <v/>
      </c>
      <c r="L252" s="44" t="str">
        <f t="shared" si="4"/>
        <v/>
      </c>
    </row>
    <row r="253" spans="1:12" ht="15.75" customHeight="1">
      <c r="A253" s="66" t="str">
        <f>IF(E253="","",VLOOKUP('Opći dio'!$C$3,'Opći dio'!$L$6:$U$137,10,FALSE))</f>
        <v/>
      </c>
      <c r="B253" s="66" t="str">
        <f>IF(E253="","",VLOOKUP('Opći dio'!$C$3,'Opći dio'!$L$6:$U$137,9,FALSE))</f>
        <v/>
      </c>
      <c r="C253" s="55" t="str">
        <f t="shared" si="11"/>
        <v/>
      </c>
      <c r="D253" s="56" t="str">
        <f t="shared" si="12"/>
        <v/>
      </c>
      <c r="E253" s="61"/>
      <c r="F253" s="58" t="str">
        <f t="shared" si="13"/>
        <v/>
      </c>
      <c r="G253" s="59"/>
      <c r="H253" s="59"/>
      <c r="I253" s="59"/>
      <c r="K253" s="44" t="str">
        <f t="shared" si="3"/>
        <v/>
      </c>
      <c r="L253" s="44" t="str">
        <f t="shared" si="4"/>
        <v/>
      </c>
    </row>
    <row r="254" spans="1:12" ht="15.75" customHeight="1">
      <c r="A254" s="66" t="str">
        <f>IF(E254="","",VLOOKUP('Opći dio'!$C$3,'Opći dio'!$L$6:$U$137,10,FALSE))</f>
        <v/>
      </c>
      <c r="B254" s="66" t="str">
        <f>IF(E254="","",VLOOKUP('Opći dio'!$C$3,'Opći dio'!$L$6:$U$137,9,FALSE))</f>
        <v/>
      </c>
      <c r="C254" s="55" t="str">
        <f t="shared" si="11"/>
        <v/>
      </c>
      <c r="D254" s="56" t="str">
        <f t="shared" si="12"/>
        <v/>
      </c>
      <c r="E254" s="61"/>
      <c r="F254" s="58" t="str">
        <f t="shared" si="13"/>
        <v/>
      </c>
      <c r="G254" s="59"/>
      <c r="H254" s="59"/>
      <c r="I254" s="59"/>
      <c r="K254" s="44" t="str">
        <f t="shared" si="3"/>
        <v/>
      </c>
      <c r="L254" s="44" t="str">
        <f t="shared" si="4"/>
        <v/>
      </c>
    </row>
    <row r="255" spans="1:12" ht="15.75" customHeight="1">
      <c r="A255" s="66" t="str">
        <f>IF(E255="","",VLOOKUP('Opći dio'!$C$3,'Opći dio'!$L$6:$U$137,10,FALSE))</f>
        <v/>
      </c>
      <c r="B255" s="66" t="str">
        <f>IF(E255="","",VLOOKUP('Opći dio'!$C$3,'Opći dio'!$L$6:$U$137,9,FALSE))</f>
        <v/>
      </c>
      <c r="C255" s="55" t="str">
        <f t="shared" si="11"/>
        <v/>
      </c>
      <c r="D255" s="56" t="str">
        <f t="shared" si="12"/>
        <v/>
      </c>
      <c r="E255" s="61"/>
      <c r="F255" s="58" t="str">
        <f t="shared" si="13"/>
        <v/>
      </c>
      <c r="G255" s="59"/>
      <c r="H255" s="59"/>
      <c r="I255" s="59"/>
      <c r="K255" s="44" t="str">
        <f t="shared" si="3"/>
        <v/>
      </c>
      <c r="L255" s="44" t="str">
        <f t="shared" si="4"/>
        <v/>
      </c>
    </row>
    <row r="256" spans="1:12" ht="15.75" customHeight="1">
      <c r="A256" s="66" t="str">
        <f>IF(E256="","",VLOOKUP('Opći dio'!$C$3,'Opći dio'!$L$6:$U$137,10,FALSE))</f>
        <v/>
      </c>
      <c r="B256" s="66" t="str">
        <f>IF(E256="","",VLOOKUP('Opći dio'!$C$3,'Opći dio'!$L$6:$U$137,9,FALSE))</f>
        <v/>
      </c>
      <c r="C256" s="55" t="str">
        <f t="shared" si="11"/>
        <v/>
      </c>
      <c r="D256" s="56" t="str">
        <f t="shared" si="12"/>
        <v/>
      </c>
      <c r="E256" s="61"/>
      <c r="F256" s="58" t="str">
        <f t="shared" si="13"/>
        <v/>
      </c>
      <c r="G256" s="59"/>
      <c r="H256" s="59"/>
      <c r="I256" s="59"/>
      <c r="K256" s="44" t="str">
        <f t="shared" si="3"/>
        <v/>
      </c>
      <c r="L256" s="44" t="str">
        <f t="shared" si="4"/>
        <v/>
      </c>
    </row>
    <row r="257" spans="1:12" ht="15.75" customHeight="1">
      <c r="A257" s="66" t="str">
        <f>IF(E257="","",VLOOKUP('Opći dio'!$C$3,'Opći dio'!$L$6:$U$137,10,FALSE))</f>
        <v/>
      </c>
      <c r="B257" s="66" t="str">
        <f>IF(E257="","",VLOOKUP('Opći dio'!$C$3,'Opći dio'!$L$6:$U$137,9,FALSE))</f>
        <v/>
      </c>
      <c r="C257" s="55" t="str">
        <f t="shared" si="11"/>
        <v/>
      </c>
      <c r="D257" s="56" t="str">
        <f t="shared" si="12"/>
        <v/>
      </c>
      <c r="E257" s="61"/>
      <c r="F257" s="58" t="str">
        <f t="shared" si="13"/>
        <v/>
      </c>
      <c r="G257" s="59"/>
      <c r="H257" s="59"/>
      <c r="I257" s="59"/>
      <c r="K257" s="44" t="str">
        <f t="shared" si="3"/>
        <v/>
      </c>
      <c r="L257" s="44" t="str">
        <f t="shared" si="4"/>
        <v/>
      </c>
    </row>
    <row r="258" spans="1:12" ht="15.75" customHeight="1">
      <c r="A258" s="66" t="str">
        <f>IF(E258="","",VLOOKUP('Opći dio'!$C$3,'Opći dio'!$L$6:$U$137,10,FALSE))</f>
        <v/>
      </c>
      <c r="B258" s="66" t="str">
        <f>IF(E258="","",VLOOKUP('Opći dio'!$C$3,'Opći dio'!$L$6:$U$137,9,FALSE))</f>
        <v/>
      </c>
      <c r="C258" s="55" t="str">
        <f t="shared" si="11"/>
        <v/>
      </c>
      <c r="D258" s="56" t="str">
        <f t="shared" si="12"/>
        <v/>
      </c>
      <c r="E258" s="61"/>
      <c r="F258" s="58" t="str">
        <f t="shared" si="13"/>
        <v/>
      </c>
      <c r="G258" s="59"/>
      <c r="H258" s="59"/>
      <c r="I258" s="59"/>
      <c r="K258" s="44" t="str">
        <f t="shared" si="3"/>
        <v/>
      </c>
      <c r="L258" s="44" t="str">
        <f t="shared" si="4"/>
        <v/>
      </c>
    </row>
    <row r="259" spans="1:12" ht="15.75" customHeight="1">
      <c r="A259" s="66" t="str">
        <f>IF(E259="","",VLOOKUP('Opći dio'!$C$3,'Opći dio'!$L$6:$U$137,10,FALSE))</f>
        <v/>
      </c>
      <c r="B259" s="66" t="str">
        <f>IF(E259="","",VLOOKUP('Opći dio'!$C$3,'Opći dio'!$L$6:$U$137,9,FALSE))</f>
        <v/>
      </c>
      <c r="C259" s="55" t="str">
        <f t="shared" ref="C259:C322" si="14">IFERROR(VLOOKUP(E259,$Q$6:$T$104,3,FALSE),"")</f>
        <v/>
      </c>
      <c r="D259" s="56" t="str">
        <f t="shared" ref="D259:D322" si="15">IFERROR(VLOOKUP(E259,$Q$6:$T$104,4,FALSE),"")</f>
        <v/>
      </c>
      <c r="E259" s="61"/>
      <c r="F259" s="58" t="str">
        <f t="shared" ref="F259:F322" si="16">IFERROR(VLOOKUP(E259,$Q$6:$T$104,2,FALSE),"")</f>
        <v/>
      </c>
      <c r="G259" s="59"/>
      <c r="H259" s="59"/>
      <c r="I259" s="59"/>
      <c r="K259" s="44" t="str">
        <f t="shared" si="3"/>
        <v/>
      </c>
      <c r="L259" s="44" t="str">
        <f t="shared" si="4"/>
        <v/>
      </c>
    </row>
    <row r="260" spans="1:12" ht="15.75" customHeight="1">
      <c r="A260" s="66" t="str">
        <f>IF(E260="","",VLOOKUP('Opći dio'!$C$3,'Opći dio'!$L$6:$U$137,10,FALSE))</f>
        <v/>
      </c>
      <c r="B260" s="66" t="str">
        <f>IF(E260="","",VLOOKUP('Opći dio'!$C$3,'Opći dio'!$L$6:$U$137,9,FALSE))</f>
        <v/>
      </c>
      <c r="C260" s="55" t="str">
        <f t="shared" si="14"/>
        <v/>
      </c>
      <c r="D260" s="56" t="str">
        <f t="shared" si="15"/>
        <v/>
      </c>
      <c r="E260" s="61"/>
      <c r="F260" s="58" t="str">
        <f t="shared" si="16"/>
        <v/>
      </c>
      <c r="G260" s="59"/>
      <c r="H260" s="59"/>
      <c r="I260" s="59"/>
      <c r="K260" s="44" t="str">
        <f t="shared" si="3"/>
        <v/>
      </c>
      <c r="L260" s="44" t="str">
        <f t="shared" si="4"/>
        <v/>
      </c>
    </row>
    <row r="261" spans="1:12" ht="15.75" customHeight="1">
      <c r="A261" s="66" t="str">
        <f>IF(E261="","",VLOOKUP('Opći dio'!$C$3,'Opći dio'!$L$6:$U$137,10,FALSE))</f>
        <v/>
      </c>
      <c r="B261" s="66" t="str">
        <f>IF(E261="","",VLOOKUP('Opći dio'!$C$3,'Opći dio'!$L$6:$U$137,9,FALSE))</f>
        <v/>
      </c>
      <c r="C261" s="55" t="str">
        <f t="shared" si="14"/>
        <v/>
      </c>
      <c r="D261" s="56" t="str">
        <f t="shared" si="15"/>
        <v/>
      </c>
      <c r="E261" s="61"/>
      <c r="F261" s="58" t="str">
        <f t="shared" si="16"/>
        <v/>
      </c>
      <c r="G261" s="59"/>
      <c r="H261" s="59"/>
      <c r="I261" s="59"/>
      <c r="K261" s="44" t="str">
        <f t="shared" si="3"/>
        <v/>
      </c>
      <c r="L261" s="44" t="str">
        <f t="shared" si="4"/>
        <v/>
      </c>
    </row>
    <row r="262" spans="1:12" ht="15.75" customHeight="1">
      <c r="A262" s="66" t="str">
        <f>IF(E262="","",VLOOKUP('Opći dio'!$C$3,'Opći dio'!$L$6:$U$137,10,FALSE))</f>
        <v/>
      </c>
      <c r="B262" s="66" t="str">
        <f>IF(E262="","",VLOOKUP('Opći dio'!$C$3,'Opći dio'!$L$6:$U$137,9,FALSE))</f>
        <v/>
      </c>
      <c r="C262" s="55" t="str">
        <f t="shared" si="14"/>
        <v/>
      </c>
      <c r="D262" s="56" t="str">
        <f t="shared" si="15"/>
        <v/>
      </c>
      <c r="E262" s="61"/>
      <c r="F262" s="58" t="str">
        <f t="shared" si="16"/>
        <v/>
      </c>
      <c r="G262" s="59"/>
      <c r="H262" s="59"/>
      <c r="I262" s="59"/>
      <c r="K262" s="44" t="str">
        <f t="shared" si="3"/>
        <v/>
      </c>
      <c r="L262" s="44" t="str">
        <f t="shared" si="4"/>
        <v/>
      </c>
    </row>
    <row r="263" spans="1:12" ht="15.75" customHeight="1">
      <c r="A263" s="66" t="str">
        <f>IF(E263="","",VLOOKUP('Opći dio'!$C$3,'Opći dio'!$L$6:$U$137,10,FALSE))</f>
        <v/>
      </c>
      <c r="B263" s="66" t="str">
        <f>IF(E263="","",VLOOKUP('Opći dio'!$C$3,'Opći dio'!$L$6:$U$137,9,FALSE))</f>
        <v/>
      </c>
      <c r="C263" s="55" t="str">
        <f t="shared" si="14"/>
        <v/>
      </c>
      <c r="D263" s="56" t="str">
        <f t="shared" si="15"/>
        <v/>
      </c>
      <c r="E263" s="61"/>
      <c r="F263" s="58" t="str">
        <f t="shared" si="16"/>
        <v/>
      </c>
      <c r="G263" s="59"/>
      <c r="H263" s="59"/>
      <c r="I263" s="59"/>
      <c r="K263" s="44" t="str">
        <f t="shared" si="3"/>
        <v/>
      </c>
      <c r="L263" s="44" t="str">
        <f t="shared" si="4"/>
        <v/>
      </c>
    </row>
    <row r="264" spans="1:12" ht="15.75" customHeight="1">
      <c r="A264" s="66" t="str">
        <f>IF(E264="","",VLOOKUP('Opći dio'!$C$3,'Opći dio'!$L$6:$U$137,10,FALSE))</f>
        <v/>
      </c>
      <c r="B264" s="66" t="str">
        <f>IF(E264="","",VLOOKUP('Opći dio'!$C$3,'Opći dio'!$L$6:$U$137,9,FALSE))</f>
        <v/>
      </c>
      <c r="C264" s="55" t="str">
        <f t="shared" si="14"/>
        <v/>
      </c>
      <c r="D264" s="56" t="str">
        <f t="shared" si="15"/>
        <v/>
      </c>
      <c r="E264" s="61"/>
      <c r="F264" s="58" t="str">
        <f t="shared" si="16"/>
        <v/>
      </c>
      <c r="G264" s="59"/>
      <c r="H264" s="59"/>
      <c r="I264" s="59"/>
      <c r="K264" s="44" t="str">
        <f t="shared" si="3"/>
        <v/>
      </c>
      <c r="L264" s="44" t="str">
        <f t="shared" si="4"/>
        <v/>
      </c>
    </row>
    <row r="265" spans="1:12" ht="15.75" customHeight="1">
      <c r="A265" s="66" t="str">
        <f>IF(E265="","",VLOOKUP('Opći dio'!$C$3,'Opći dio'!$L$6:$U$137,10,FALSE))</f>
        <v/>
      </c>
      <c r="B265" s="66" t="str">
        <f>IF(E265="","",VLOOKUP('Opći dio'!$C$3,'Opći dio'!$L$6:$U$137,9,FALSE))</f>
        <v/>
      </c>
      <c r="C265" s="55" t="str">
        <f t="shared" si="14"/>
        <v/>
      </c>
      <c r="D265" s="56" t="str">
        <f t="shared" si="15"/>
        <v/>
      </c>
      <c r="E265" s="61"/>
      <c r="F265" s="58" t="str">
        <f t="shared" si="16"/>
        <v/>
      </c>
      <c r="G265" s="59"/>
      <c r="H265" s="59"/>
      <c r="I265" s="59"/>
      <c r="K265" s="44" t="str">
        <f t="shared" si="3"/>
        <v/>
      </c>
      <c r="L265" s="44" t="str">
        <f t="shared" si="4"/>
        <v/>
      </c>
    </row>
    <row r="266" spans="1:12" ht="15.75" customHeight="1">
      <c r="A266" s="66" t="str">
        <f>IF(E266="","",VLOOKUP('Opći dio'!$C$3,'Opći dio'!$L$6:$U$137,10,FALSE))</f>
        <v/>
      </c>
      <c r="B266" s="66" t="str">
        <f>IF(E266="","",VLOOKUP('Opći dio'!$C$3,'Opći dio'!$L$6:$U$137,9,FALSE))</f>
        <v/>
      </c>
      <c r="C266" s="55" t="str">
        <f t="shared" si="14"/>
        <v/>
      </c>
      <c r="D266" s="56" t="str">
        <f t="shared" si="15"/>
        <v/>
      </c>
      <c r="E266" s="61"/>
      <c r="F266" s="58" t="str">
        <f t="shared" si="16"/>
        <v/>
      </c>
      <c r="G266" s="59"/>
      <c r="H266" s="59"/>
      <c r="I266" s="59"/>
      <c r="K266" s="44" t="str">
        <f t="shared" si="3"/>
        <v/>
      </c>
      <c r="L266" s="44" t="str">
        <f t="shared" si="4"/>
        <v/>
      </c>
    </row>
    <row r="267" spans="1:12" ht="15.75" customHeight="1">
      <c r="A267" s="66" t="str">
        <f>IF(E267="","",VLOOKUP('Opći dio'!$C$3,'Opći dio'!$L$6:$U$137,10,FALSE))</f>
        <v/>
      </c>
      <c r="B267" s="66" t="str">
        <f>IF(E267="","",VLOOKUP('Opći dio'!$C$3,'Opći dio'!$L$6:$U$137,9,FALSE))</f>
        <v/>
      </c>
      <c r="C267" s="55" t="str">
        <f t="shared" si="14"/>
        <v/>
      </c>
      <c r="D267" s="56" t="str">
        <f t="shared" si="15"/>
        <v/>
      </c>
      <c r="E267" s="61"/>
      <c r="F267" s="58" t="str">
        <f t="shared" si="16"/>
        <v/>
      </c>
      <c r="G267" s="59"/>
      <c r="H267" s="59"/>
      <c r="I267" s="59"/>
      <c r="K267" s="44" t="str">
        <f t="shared" si="3"/>
        <v/>
      </c>
      <c r="L267" s="44" t="str">
        <f t="shared" si="4"/>
        <v/>
      </c>
    </row>
    <row r="268" spans="1:12" ht="15.75" customHeight="1">
      <c r="A268" s="66" t="str">
        <f>IF(E268="","",VLOOKUP('Opći dio'!$C$3,'Opći dio'!$L$6:$U$137,10,FALSE))</f>
        <v/>
      </c>
      <c r="B268" s="66" t="str">
        <f>IF(E268="","",VLOOKUP('Opći dio'!$C$3,'Opći dio'!$L$6:$U$137,9,FALSE))</f>
        <v/>
      </c>
      <c r="C268" s="55" t="str">
        <f t="shared" si="14"/>
        <v/>
      </c>
      <c r="D268" s="56" t="str">
        <f t="shared" si="15"/>
        <v/>
      </c>
      <c r="E268" s="61"/>
      <c r="F268" s="58" t="str">
        <f t="shared" si="16"/>
        <v/>
      </c>
      <c r="G268" s="59"/>
      <c r="H268" s="59"/>
      <c r="I268" s="59"/>
      <c r="K268" s="44" t="str">
        <f t="shared" si="3"/>
        <v/>
      </c>
      <c r="L268" s="44" t="str">
        <f t="shared" si="4"/>
        <v/>
      </c>
    </row>
    <row r="269" spans="1:12" ht="15.75" customHeight="1">
      <c r="A269" s="66" t="str">
        <f>IF(E269="","",VLOOKUP('Opći dio'!$C$3,'Opći dio'!$L$6:$U$137,10,FALSE))</f>
        <v/>
      </c>
      <c r="B269" s="66" t="str">
        <f>IF(E269="","",VLOOKUP('Opći dio'!$C$3,'Opći dio'!$L$6:$U$137,9,FALSE))</f>
        <v/>
      </c>
      <c r="C269" s="55" t="str">
        <f t="shared" si="14"/>
        <v/>
      </c>
      <c r="D269" s="56" t="str">
        <f t="shared" si="15"/>
        <v/>
      </c>
      <c r="E269" s="61"/>
      <c r="F269" s="58" t="str">
        <f t="shared" si="16"/>
        <v/>
      </c>
      <c r="G269" s="59"/>
      <c r="H269" s="59"/>
      <c r="I269" s="59"/>
      <c r="K269" s="44" t="str">
        <f t="shared" si="3"/>
        <v/>
      </c>
      <c r="L269" s="44" t="str">
        <f t="shared" si="4"/>
        <v/>
      </c>
    </row>
    <row r="270" spans="1:12" ht="15.75" customHeight="1">
      <c r="A270" s="66" t="str">
        <f>IF(E270="","",VLOOKUP('Opći dio'!$C$3,'Opći dio'!$L$6:$U$137,10,FALSE))</f>
        <v/>
      </c>
      <c r="B270" s="66" t="str">
        <f>IF(E270="","",VLOOKUP('Opći dio'!$C$3,'Opći dio'!$L$6:$U$137,9,FALSE))</f>
        <v/>
      </c>
      <c r="C270" s="55" t="str">
        <f t="shared" si="14"/>
        <v/>
      </c>
      <c r="D270" s="56" t="str">
        <f t="shared" si="15"/>
        <v/>
      </c>
      <c r="E270" s="61"/>
      <c r="F270" s="58" t="str">
        <f t="shared" si="16"/>
        <v/>
      </c>
      <c r="G270" s="59"/>
      <c r="H270" s="59"/>
      <c r="I270" s="59"/>
      <c r="K270" s="44" t="str">
        <f t="shared" si="3"/>
        <v/>
      </c>
      <c r="L270" s="44" t="str">
        <f t="shared" si="4"/>
        <v/>
      </c>
    </row>
    <row r="271" spans="1:12" ht="15.75" customHeight="1">
      <c r="A271" s="66" t="str">
        <f>IF(E271="","",VLOOKUP('Opći dio'!$C$3,'Opći dio'!$L$6:$U$137,10,FALSE))</f>
        <v/>
      </c>
      <c r="B271" s="66" t="str">
        <f>IF(E271="","",VLOOKUP('Opći dio'!$C$3,'Opći dio'!$L$6:$U$137,9,FALSE))</f>
        <v/>
      </c>
      <c r="C271" s="55" t="str">
        <f t="shared" si="14"/>
        <v/>
      </c>
      <c r="D271" s="56" t="str">
        <f t="shared" si="15"/>
        <v/>
      </c>
      <c r="E271" s="61"/>
      <c r="F271" s="58" t="str">
        <f t="shared" si="16"/>
        <v/>
      </c>
      <c r="G271" s="59"/>
      <c r="H271" s="59"/>
      <c r="I271" s="59"/>
      <c r="K271" s="44" t="str">
        <f t="shared" si="3"/>
        <v/>
      </c>
      <c r="L271" s="44" t="str">
        <f t="shared" si="4"/>
        <v/>
      </c>
    </row>
    <row r="272" spans="1:12" ht="15.75" customHeight="1">
      <c r="A272" s="66" t="str">
        <f>IF(E272="","",VLOOKUP('Opći dio'!$C$3,'Opći dio'!$L$6:$U$137,10,FALSE))</f>
        <v/>
      </c>
      <c r="B272" s="66" t="str">
        <f>IF(E272="","",VLOOKUP('Opći dio'!$C$3,'Opći dio'!$L$6:$U$137,9,FALSE))</f>
        <v/>
      </c>
      <c r="C272" s="55" t="str">
        <f t="shared" si="14"/>
        <v/>
      </c>
      <c r="D272" s="56" t="str">
        <f t="shared" si="15"/>
        <v/>
      </c>
      <c r="E272" s="61"/>
      <c r="F272" s="58" t="str">
        <f t="shared" si="16"/>
        <v/>
      </c>
      <c r="G272" s="59"/>
      <c r="H272" s="59"/>
      <c r="I272" s="59"/>
      <c r="K272" s="44" t="str">
        <f t="shared" si="3"/>
        <v/>
      </c>
      <c r="L272" s="44" t="str">
        <f t="shared" si="4"/>
        <v/>
      </c>
    </row>
    <row r="273" spans="1:12" ht="15.75" customHeight="1">
      <c r="A273" s="66" t="str">
        <f>IF(E273="","",VLOOKUP('Opći dio'!$C$3,'Opći dio'!$L$6:$U$137,10,FALSE))</f>
        <v/>
      </c>
      <c r="B273" s="66" t="str">
        <f>IF(E273="","",VLOOKUP('Opći dio'!$C$3,'Opći dio'!$L$6:$U$137,9,FALSE))</f>
        <v/>
      </c>
      <c r="C273" s="55" t="str">
        <f t="shared" si="14"/>
        <v/>
      </c>
      <c r="D273" s="56" t="str">
        <f t="shared" si="15"/>
        <v/>
      </c>
      <c r="E273" s="61"/>
      <c r="F273" s="58" t="str">
        <f t="shared" si="16"/>
        <v/>
      </c>
      <c r="G273" s="59"/>
      <c r="H273" s="59"/>
      <c r="I273" s="59"/>
      <c r="K273" s="44" t="str">
        <f t="shared" si="3"/>
        <v/>
      </c>
      <c r="L273" s="44" t="str">
        <f t="shared" si="4"/>
        <v/>
      </c>
    </row>
    <row r="274" spans="1:12" ht="15.75" customHeight="1">
      <c r="A274" s="66" t="str">
        <f>IF(E274="","",VLOOKUP('Opći dio'!$C$3,'Opći dio'!$L$6:$U$137,10,FALSE))</f>
        <v/>
      </c>
      <c r="B274" s="66" t="str">
        <f>IF(E274="","",VLOOKUP('Opći dio'!$C$3,'Opći dio'!$L$6:$U$137,9,FALSE))</f>
        <v/>
      </c>
      <c r="C274" s="55" t="str">
        <f t="shared" si="14"/>
        <v/>
      </c>
      <c r="D274" s="56" t="str">
        <f t="shared" si="15"/>
        <v/>
      </c>
      <c r="E274" s="61"/>
      <c r="F274" s="58" t="str">
        <f t="shared" si="16"/>
        <v/>
      </c>
      <c r="G274" s="59"/>
      <c r="H274" s="59"/>
      <c r="I274" s="59"/>
      <c r="K274" s="44" t="str">
        <f t="shared" si="3"/>
        <v/>
      </c>
      <c r="L274" s="44" t="str">
        <f t="shared" si="4"/>
        <v/>
      </c>
    </row>
    <row r="275" spans="1:12" ht="15.75" customHeight="1">
      <c r="A275" s="66" t="str">
        <f>IF(E275="","",VLOOKUP('Opći dio'!$C$3,'Opći dio'!$L$6:$U$137,10,FALSE))</f>
        <v/>
      </c>
      <c r="B275" s="66" t="str">
        <f>IF(E275="","",VLOOKUP('Opći dio'!$C$3,'Opći dio'!$L$6:$U$137,9,FALSE))</f>
        <v/>
      </c>
      <c r="C275" s="55" t="str">
        <f t="shared" si="14"/>
        <v/>
      </c>
      <c r="D275" s="56" t="str">
        <f t="shared" si="15"/>
        <v/>
      </c>
      <c r="E275" s="61"/>
      <c r="F275" s="58" t="str">
        <f t="shared" si="16"/>
        <v/>
      </c>
      <c r="G275" s="59"/>
      <c r="H275" s="59"/>
      <c r="I275" s="59"/>
      <c r="K275" s="44" t="str">
        <f t="shared" si="3"/>
        <v/>
      </c>
      <c r="L275" s="44" t="str">
        <f t="shared" si="4"/>
        <v/>
      </c>
    </row>
    <row r="276" spans="1:12" ht="15.75" customHeight="1">
      <c r="A276" s="66" t="str">
        <f>IF(E276="","",VLOOKUP('Opći dio'!$C$3,'Opći dio'!$L$6:$U$137,10,FALSE))</f>
        <v/>
      </c>
      <c r="B276" s="66" t="str">
        <f>IF(E276="","",VLOOKUP('Opći dio'!$C$3,'Opći dio'!$L$6:$U$137,9,FALSE))</f>
        <v/>
      </c>
      <c r="C276" s="55" t="str">
        <f t="shared" si="14"/>
        <v/>
      </c>
      <c r="D276" s="56" t="str">
        <f t="shared" si="15"/>
        <v/>
      </c>
      <c r="E276" s="61"/>
      <c r="F276" s="58" t="str">
        <f t="shared" si="16"/>
        <v/>
      </c>
      <c r="G276" s="59"/>
      <c r="H276" s="59"/>
      <c r="I276" s="59"/>
      <c r="K276" s="44" t="str">
        <f t="shared" si="3"/>
        <v/>
      </c>
      <c r="L276" s="44" t="str">
        <f t="shared" si="4"/>
        <v/>
      </c>
    </row>
    <row r="277" spans="1:12" ht="15.75" customHeight="1">
      <c r="A277" s="66" t="str">
        <f>IF(E277="","",VLOOKUP('Opći dio'!$C$3,'Opći dio'!$L$6:$U$137,10,FALSE))</f>
        <v/>
      </c>
      <c r="B277" s="66" t="str">
        <f>IF(E277="","",VLOOKUP('Opći dio'!$C$3,'Opći dio'!$L$6:$U$137,9,FALSE))</f>
        <v/>
      </c>
      <c r="C277" s="55" t="str">
        <f t="shared" si="14"/>
        <v/>
      </c>
      <c r="D277" s="56" t="str">
        <f t="shared" si="15"/>
        <v/>
      </c>
      <c r="E277" s="61"/>
      <c r="F277" s="58" t="str">
        <f t="shared" si="16"/>
        <v/>
      </c>
      <c r="G277" s="59"/>
      <c r="H277" s="59"/>
      <c r="I277" s="59"/>
      <c r="K277" s="44" t="str">
        <f t="shared" si="3"/>
        <v/>
      </c>
      <c r="L277" s="44" t="str">
        <f t="shared" si="4"/>
        <v/>
      </c>
    </row>
    <row r="278" spans="1:12" ht="15.75" customHeight="1">
      <c r="A278" s="66" t="str">
        <f>IF(E278="","",VLOOKUP('Opći dio'!$C$3,'Opći dio'!$L$6:$U$137,10,FALSE))</f>
        <v/>
      </c>
      <c r="B278" s="66" t="str">
        <f>IF(E278="","",VLOOKUP('Opći dio'!$C$3,'Opći dio'!$L$6:$U$137,9,FALSE))</f>
        <v/>
      </c>
      <c r="C278" s="55" t="str">
        <f t="shared" si="14"/>
        <v/>
      </c>
      <c r="D278" s="56" t="str">
        <f t="shared" si="15"/>
        <v/>
      </c>
      <c r="E278" s="61"/>
      <c r="F278" s="58" t="str">
        <f t="shared" si="16"/>
        <v/>
      </c>
      <c r="G278" s="59"/>
      <c r="H278" s="59"/>
      <c r="I278" s="59"/>
      <c r="K278" s="44" t="str">
        <f t="shared" si="3"/>
        <v/>
      </c>
      <c r="L278" s="44" t="str">
        <f t="shared" si="4"/>
        <v/>
      </c>
    </row>
    <row r="279" spans="1:12" ht="15.75" customHeight="1">
      <c r="A279" s="66" t="str">
        <f>IF(E279="","",VLOOKUP('Opći dio'!$C$3,'Opći dio'!$L$6:$U$137,10,FALSE))</f>
        <v/>
      </c>
      <c r="B279" s="66" t="str">
        <f>IF(E279="","",VLOOKUP('Opći dio'!$C$3,'Opći dio'!$L$6:$U$137,9,FALSE))</f>
        <v/>
      </c>
      <c r="C279" s="55" t="str">
        <f t="shared" si="14"/>
        <v/>
      </c>
      <c r="D279" s="56" t="str">
        <f t="shared" si="15"/>
        <v/>
      </c>
      <c r="E279" s="61"/>
      <c r="F279" s="58" t="str">
        <f t="shared" si="16"/>
        <v/>
      </c>
      <c r="G279" s="59"/>
      <c r="H279" s="59"/>
      <c r="I279" s="59"/>
      <c r="K279" s="44" t="str">
        <f t="shared" si="3"/>
        <v/>
      </c>
      <c r="L279" s="44" t="str">
        <f t="shared" si="4"/>
        <v/>
      </c>
    </row>
    <row r="280" spans="1:12" ht="15.75" customHeight="1">
      <c r="A280" s="66" t="str">
        <f>IF(E280="","",VLOOKUP('Opći dio'!$C$3,'Opći dio'!$L$6:$U$137,10,FALSE))</f>
        <v/>
      </c>
      <c r="B280" s="66" t="str">
        <f>IF(E280="","",VLOOKUP('Opći dio'!$C$3,'Opći dio'!$L$6:$U$137,9,FALSE))</f>
        <v/>
      </c>
      <c r="C280" s="55" t="str">
        <f t="shared" si="14"/>
        <v/>
      </c>
      <c r="D280" s="56" t="str">
        <f t="shared" si="15"/>
        <v/>
      </c>
      <c r="E280" s="61"/>
      <c r="F280" s="58" t="str">
        <f t="shared" si="16"/>
        <v/>
      </c>
      <c r="G280" s="59"/>
      <c r="H280" s="59"/>
      <c r="I280" s="59"/>
      <c r="K280" s="44" t="str">
        <f t="shared" si="3"/>
        <v/>
      </c>
      <c r="L280" s="44" t="str">
        <f t="shared" si="4"/>
        <v/>
      </c>
    </row>
    <row r="281" spans="1:12" ht="15.75" customHeight="1">
      <c r="A281" s="66" t="str">
        <f>IF(E281="","",VLOOKUP('Opći dio'!$C$3,'Opći dio'!$L$6:$U$137,10,FALSE))</f>
        <v/>
      </c>
      <c r="B281" s="66" t="str">
        <f>IF(E281="","",VLOOKUP('Opći dio'!$C$3,'Opći dio'!$L$6:$U$137,9,FALSE))</f>
        <v/>
      </c>
      <c r="C281" s="55" t="str">
        <f t="shared" si="14"/>
        <v/>
      </c>
      <c r="D281" s="56" t="str">
        <f t="shared" si="15"/>
        <v/>
      </c>
      <c r="E281" s="61"/>
      <c r="F281" s="58" t="str">
        <f t="shared" si="16"/>
        <v/>
      </c>
      <c r="G281" s="59"/>
      <c r="H281" s="59"/>
      <c r="I281" s="59"/>
      <c r="K281" s="44" t="str">
        <f t="shared" si="3"/>
        <v/>
      </c>
      <c r="L281" s="44" t="str">
        <f t="shared" si="4"/>
        <v/>
      </c>
    </row>
    <row r="282" spans="1:12" ht="15.75" customHeight="1">
      <c r="A282" s="66" t="str">
        <f>IF(E282="","",VLOOKUP('Opći dio'!$C$3,'Opći dio'!$L$6:$U$137,10,FALSE))</f>
        <v/>
      </c>
      <c r="B282" s="66" t="str">
        <f>IF(E282="","",VLOOKUP('Opći dio'!$C$3,'Opći dio'!$L$6:$U$137,9,FALSE))</f>
        <v/>
      </c>
      <c r="C282" s="55" t="str">
        <f t="shared" si="14"/>
        <v/>
      </c>
      <c r="D282" s="56" t="str">
        <f t="shared" si="15"/>
        <v/>
      </c>
      <c r="E282" s="61"/>
      <c r="F282" s="58" t="str">
        <f t="shared" si="16"/>
        <v/>
      </c>
      <c r="G282" s="59"/>
      <c r="H282" s="59"/>
      <c r="I282" s="59"/>
      <c r="K282" s="44" t="str">
        <f t="shared" si="3"/>
        <v/>
      </c>
      <c r="L282" s="44" t="str">
        <f t="shared" si="4"/>
        <v/>
      </c>
    </row>
    <row r="283" spans="1:12" ht="15.75" customHeight="1">
      <c r="A283" s="66" t="str">
        <f>IF(E283="","",VLOOKUP('Opći dio'!$C$3,'Opći dio'!$L$6:$U$137,10,FALSE))</f>
        <v/>
      </c>
      <c r="B283" s="66" t="str">
        <f>IF(E283="","",VLOOKUP('Opći dio'!$C$3,'Opći dio'!$L$6:$U$137,9,FALSE))</f>
        <v/>
      </c>
      <c r="C283" s="55" t="str">
        <f t="shared" si="14"/>
        <v/>
      </c>
      <c r="D283" s="56" t="str">
        <f t="shared" si="15"/>
        <v/>
      </c>
      <c r="E283" s="61"/>
      <c r="F283" s="58" t="str">
        <f t="shared" si="16"/>
        <v/>
      </c>
      <c r="G283" s="59"/>
      <c r="H283" s="59"/>
      <c r="I283" s="59"/>
      <c r="K283" s="44" t="str">
        <f t="shared" si="3"/>
        <v/>
      </c>
      <c r="L283" s="44" t="str">
        <f t="shared" si="4"/>
        <v/>
      </c>
    </row>
    <row r="284" spans="1:12" ht="15.75" customHeight="1">
      <c r="A284" s="66" t="str">
        <f>IF(E284="","",VLOOKUP('Opći dio'!$C$3,'Opći dio'!$L$6:$U$137,10,FALSE))</f>
        <v/>
      </c>
      <c r="B284" s="66" t="str">
        <f>IF(E284="","",VLOOKUP('Opći dio'!$C$3,'Opći dio'!$L$6:$U$137,9,FALSE))</f>
        <v/>
      </c>
      <c r="C284" s="55" t="str">
        <f t="shared" si="14"/>
        <v/>
      </c>
      <c r="D284" s="56" t="str">
        <f t="shared" si="15"/>
        <v/>
      </c>
      <c r="E284" s="61"/>
      <c r="F284" s="58" t="str">
        <f t="shared" si="16"/>
        <v/>
      </c>
      <c r="G284" s="59"/>
      <c r="H284" s="59"/>
      <c r="I284" s="59"/>
      <c r="K284" s="44" t="str">
        <f t="shared" si="3"/>
        <v/>
      </c>
      <c r="L284" s="44" t="str">
        <f t="shared" si="4"/>
        <v/>
      </c>
    </row>
    <row r="285" spans="1:12" ht="15.75" customHeight="1">
      <c r="A285" s="66" t="str">
        <f>IF(E285="","",VLOOKUP('Opći dio'!$C$3,'Opći dio'!$L$6:$U$137,10,FALSE))</f>
        <v/>
      </c>
      <c r="B285" s="66" t="str">
        <f>IF(E285="","",VLOOKUP('Opći dio'!$C$3,'Opći dio'!$L$6:$U$137,9,FALSE))</f>
        <v/>
      </c>
      <c r="C285" s="55" t="str">
        <f t="shared" si="14"/>
        <v/>
      </c>
      <c r="D285" s="56" t="str">
        <f t="shared" si="15"/>
        <v/>
      </c>
      <c r="E285" s="61"/>
      <c r="F285" s="58" t="str">
        <f t="shared" si="16"/>
        <v/>
      </c>
      <c r="G285" s="59"/>
      <c r="H285" s="59"/>
      <c r="I285" s="59"/>
      <c r="K285" s="44" t="str">
        <f t="shared" si="3"/>
        <v/>
      </c>
      <c r="L285" s="44" t="str">
        <f t="shared" si="4"/>
        <v/>
      </c>
    </row>
    <row r="286" spans="1:12" ht="15.75" customHeight="1">
      <c r="A286" s="66" t="str">
        <f>IF(E286="","",VLOOKUP('Opći dio'!$C$3,'Opći dio'!$L$6:$U$137,10,FALSE))</f>
        <v/>
      </c>
      <c r="B286" s="66" t="str">
        <f>IF(E286="","",VLOOKUP('Opći dio'!$C$3,'Opći dio'!$L$6:$U$137,9,FALSE))</f>
        <v/>
      </c>
      <c r="C286" s="55" t="str">
        <f t="shared" si="14"/>
        <v/>
      </c>
      <c r="D286" s="56" t="str">
        <f t="shared" si="15"/>
        <v/>
      </c>
      <c r="E286" s="61"/>
      <c r="F286" s="58" t="str">
        <f t="shared" si="16"/>
        <v/>
      </c>
      <c r="G286" s="59"/>
      <c r="H286" s="59"/>
      <c r="I286" s="59"/>
      <c r="K286" s="44" t="str">
        <f t="shared" si="3"/>
        <v/>
      </c>
      <c r="L286" s="44" t="str">
        <f t="shared" si="4"/>
        <v/>
      </c>
    </row>
    <row r="287" spans="1:12" ht="15.75" customHeight="1">
      <c r="A287" s="66" t="str">
        <f>IF(E287="","",VLOOKUP('Opći dio'!$C$3,'Opći dio'!$L$6:$U$137,10,FALSE))</f>
        <v/>
      </c>
      <c r="B287" s="66" t="str">
        <f>IF(E287="","",VLOOKUP('Opći dio'!$C$3,'Opći dio'!$L$6:$U$137,9,FALSE))</f>
        <v/>
      </c>
      <c r="C287" s="55" t="str">
        <f t="shared" si="14"/>
        <v/>
      </c>
      <c r="D287" s="56" t="str">
        <f t="shared" si="15"/>
        <v/>
      </c>
      <c r="E287" s="61"/>
      <c r="F287" s="58" t="str">
        <f t="shared" si="16"/>
        <v/>
      </c>
      <c r="G287" s="59"/>
      <c r="H287" s="59"/>
      <c r="I287" s="59"/>
      <c r="K287" s="44" t="str">
        <f t="shared" si="3"/>
        <v/>
      </c>
      <c r="L287" s="44" t="str">
        <f t="shared" si="4"/>
        <v/>
      </c>
    </row>
    <row r="288" spans="1:12" ht="15.75" customHeight="1">
      <c r="A288" s="66" t="str">
        <f>IF(E288="","",VLOOKUP('Opći dio'!$C$3,'Opći dio'!$L$6:$U$137,10,FALSE))</f>
        <v/>
      </c>
      <c r="B288" s="66" t="str">
        <f>IF(E288="","",VLOOKUP('Opći dio'!$C$3,'Opći dio'!$L$6:$U$137,9,FALSE))</f>
        <v/>
      </c>
      <c r="C288" s="55" t="str">
        <f t="shared" si="14"/>
        <v/>
      </c>
      <c r="D288" s="56" t="str">
        <f t="shared" si="15"/>
        <v/>
      </c>
      <c r="E288" s="61"/>
      <c r="F288" s="58" t="str">
        <f t="shared" si="16"/>
        <v/>
      </c>
      <c r="G288" s="59"/>
      <c r="H288" s="59"/>
      <c r="I288" s="59"/>
      <c r="K288" s="44" t="str">
        <f t="shared" si="3"/>
        <v/>
      </c>
      <c r="L288" s="44" t="str">
        <f t="shared" si="4"/>
        <v/>
      </c>
    </row>
    <row r="289" spans="1:12" ht="15.75" customHeight="1">
      <c r="A289" s="66" t="str">
        <f>IF(E289="","",VLOOKUP('Opći dio'!$C$3,'Opći dio'!$L$6:$U$137,10,FALSE))</f>
        <v/>
      </c>
      <c r="B289" s="66" t="str">
        <f>IF(E289="","",VLOOKUP('Opći dio'!$C$3,'Opći dio'!$L$6:$U$137,9,FALSE))</f>
        <v/>
      </c>
      <c r="C289" s="55" t="str">
        <f t="shared" si="14"/>
        <v/>
      </c>
      <c r="D289" s="56" t="str">
        <f t="shared" si="15"/>
        <v/>
      </c>
      <c r="E289" s="61"/>
      <c r="F289" s="58" t="str">
        <f t="shared" si="16"/>
        <v/>
      </c>
      <c r="G289" s="59"/>
      <c r="H289" s="59"/>
      <c r="I289" s="59"/>
      <c r="K289" s="44" t="str">
        <f t="shared" si="3"/>
        <v/>
      </c>
      <c r="L289" s="44" t="str">
        <f t="shared" si="4"/>
        <v/>
      </c>
    </row>
    <row r="290" spans="1:12" ht="15.75" customHeight="1">
      <c r="A290" s="66" t="str">
        <f>IF(E290="","",VLOOKUP('Opći dio'!$C$3,'Opći dio'!$L$6:$U$137,10,FALSE))</f>
        <v/>
      </c>
      <c r="B290" s="66" t="str">
        <f>IF(E290="","",VLOOKUP('Opći dio'!$C$3,'Opći dio'!$L$6:$U$137,9,FALSE))</f>
        <v/>
      </c>
      <c r="C290" s="55" t="str">
        <f t="shared" si="14"/>
        <v/>
      </c>
      <c r="D290" s="56" t="str">
        <f t="shared" si="15"/>
        <v/>
      </c>
      <c r="E290" s="61"/>
      <c r="F290" s="58" t="str">
        <f t="shared" si="16"/>
        <v/>
      </c>
      <c r="G290" s="59"/>
      <c r="H290" s="59"/>
      <c r="I290" s="59"/>
      <c r="K290" s="44" t="str">
        <f t="shared" si="3"/>
        <v/>
      </c>
      <c r="L290" s="44" t="str">
        <f t="shared" si="4"/>
        <v/>
      </c>
    </row>
    <row r="291" spans="1:12" ht="15.75" customHeight="1">
      <c r="A291" s="66" t="str">
        <f>IF(E291="","",VLOOKUP('Opći dio'!$C$3,'Opći dio'!$L$6:$U$137,10,FALSE))</f>
        <v/>
      </c>
      <c r="B291" s="66" t="str">
        <f>IF(E291="","",VLOOKUP('Opći dio'!$C$3,'Opći dio'!$L$6:$U$137,9,FALSE))</f>
        <v/>
      </c>
      <c r="C291" s="55" t="str">
        <f t="shared" si="14"/>
        <v/>
      </c>
      <c r="D291" s="56" t="str">
        <f t="shared" si="15"/>
        <v/>
      </c>
      <c r="E291" s="61"/>
      <c r="F291" s="58" t="str">
        <f t="shared" si="16"/>
        <v/>
      </c>
      <c r="G291" s="59"/>
      <c r="H291" s="59"/>
      <c r="I291" s="59"/>
      <c r="K291" s="44" t="str">
        <f t="shared" si="3"/>
        <v/>
      </c>
      <c r="L291" s="44" t="str">
        <f t="shared" si="4"/>
        <v/>
      </c>
    </row>
    <row r="292" spans="1:12" ht="15.75" customHeight="1">
      <c r="A292" s="66" t="str">
        <f>IF(E292="","",VLOOKUP('Opći dio'!$C$3,'Opći dio'!$L$6:$U$137,10,FALSE))</f>
        <v/>
      </c>
      <c r="B292" s="66" t="str">
        <f>IF(E292="","",VLOOKUP('Opći dio'!$C$3,'Opći dio'!$L$6:$U$137,9,FALSE))</f>
        <v/>
      </c>
      <c r="C292" s="55" t="str">
        <f t="shared" si="14"/>
        <v/>
      </c>
      <c r="D292" s="56" t="str">
        <f t="shared" si="15"/>
        <v/>
      </c>
      <c r="E292" s="61"/>
      <c r="F292" s="58" t="str">
        <f t="shared" si="16"/>
        <v/>
      </c>
      <c r="G292" s="59"/>
      <c r="H292" s="59"/>
      <c r="I292" s="59"/>
      <c r="K292" s="44" t="str">
        <f t="shared" si="3"/>
        <v/>
      </c>
      <c r="L292" s="44" t="str">
        <f t="shared" si="4"/>
        <v/>
      </c>
    </row>
    <row r="293" spans="1:12" ht="15.75" customHeight="1">
      <c r="A293" s="66" t="str">
        <f>IF(E293="","",VLOOKUP('Opći dio'!$C$3,'Opći dio'!$L$6:$U$137,10,FALSE))</f>
        <v/>
      </c>
      <c r="B293" s="66" t="str">
        <f>IF(E293="","",VLOOKUP('Opći dio'!$C$3,'Opći dio'!$L$6:$U$137,9,FALSE))</f>
        <v/>
      </c>
      <c r="C293" s="55" t="str">
        <f t="shared" si="14"/>
        <v/>
      </c>
      <c r="D293" s="56" t="str">
        <f t="shared" si="15"/>
        <v/>
      </c>
      <c r="E293" s="61"/>
      <c r="F293" s="58" t="str">
        <f t="shared" si="16"/>
        <v/>
      </c>
      <c r="G293" s="59"/>
      <c r="H293" s="59"/>
      <c r="I293" s="59"/>
      <c r="K293" s="44" t="str">
        <f t="shared" si="3"/>
        <v/>
      </c>
      <c r="L293" s="44" t="str">
        <f t="shared" si="4"/>
        <v/>
      </c>
    </row>
    <row r="294" spans="1:12" ht="15.75" customHeight="1">
      <c r="A294" s="66" t="str">
        <f>IF(E294="","",VLOOKUP('Opći dio'!$C$3,'Opći dio'!$L$6:$U$137,10,FALSE))</f>
        <v/>
      </c>
      <c r="B294" s="66" t="str">
        <f>IF(E294="","",VLOOKUP('Opći dio'!$C$3,'Opći dio'!$L$6:$U$137,9,FALSE))</f>
        <v/>
      </c>
      <c r="C294" s="55" t="str">
        <f t="shared" si="14"/>
        <v/>
      </c>
      <c r="D294" s="56" t="str">
        <f t="shared" si="15"/>
        <v/>
      </c>
      <c r="E294" s="61"/>
      <c r="F294" s="58" t="str">
        <f t="shared" si="16"/>
        <v/>
      </c>
      <c r="G294" s="59"/>
      <c r="H294" s="59"/>
      <c r="I294" s="59"/>
      <c r="K294" s="44" t="str">
        <f t="shared" si="3"/>
        <v/>
      </c>
      <c r="L294" s="44" t="str">
        <f t="shared" si="4"/>
        <v/>
      </c>
    </row>
    <row r="295" spans="1:12" ht="15.75" customHeight="1">
      <c r="A295" s="66" t="str">
        <f>IF(E295="","",VLOOKUP('Opći dio'!$C$3,'Opći dio'!$L$6:$U$137,10,FALSE))</f>
        <v/>
      </c>
      <c r="B295" s="66" t="str">
        <f>IF(E295="","",VLOOKUP('Opći dio'!$C$3,'Opći dio'!$L$6:$U$137,9,FALSE))</f>
        <v/>
      </c>
      <c r="C295" s="55" t="str">
        <f t="shared" si="14"/>
        <v/>
      </c>
      <c r="D295" s="56" t="str">
        <f t="shared" si="15"/>
        <v/>
      </c>
      <c r="E295" s="61"/>
      <c r="F295" s="58" t="str">
        <f t="shared" si="16"/>
        <v/>
      </c>
      <c r="G295" s="59"/>
      <c r="H295" s="59"/>
      <c r="I295" s="59"/>
      <c r="K295" s="44" t="str">
        <f t="shared" si="3"/>
        <v/>
      </c>
      <c r="L295" s="44" t="str">
        <f t="shared" si="4"/>
        <v/>
      </c>
    </row>
    <row r="296" spans="1:12" ht="15.75" customHeight="1">
      <c r="A296" s="66" t="str">
        <f>IF(E296="","",VLOOKUP('Opći dio'!$C$3,'Opći dio'!$L$6:$U$137,10,FALSE))</f>
        <v/>
      </c>
      <c r="B296" s="66" t="str">
        <f>IF(E296="","",VLOOKUP('Opći dio'!$C$3,'Opći dio'!$L$6:$U$137,9,FALSE))</f>
        <v/>
      </c>
      <c r="C296" s="55" t="str">
        <f t="shared" si="14"/>
        <v/>
      </c>
      <c r="D296" s="56" t="str">
        <f t="shared" si="15"/>
        <v/>
      </c>
      <c r="E296" s="61"/>
      <c r="F296" s="58" t="str">
        <f t="shared" si="16"/>
        <v/>
      </c>
      <c r="G296" s="59"/>
      <c r="H296" s="59"/>
      <c r="I296" s="59"/>
      <c r="K296" s="44" t="str">
        <f t="shared" si="3"/>
        <v/>
      </c>
      <c r="L296" s="44" t="str">
        <f t="shared" si="4"/>
        <v/>
      </c>
    </row>
    <row r="297" spans="1:12" ht="15.75" customHeight="1">
      <c r="A297" s="66" t="str">
        <f>IF(E297="","",VLOOKUP('Opći dio'!$C$3,'Opći dio'!$L$6:$U$137,10,FALSE))</f>
        <v/>
      </c>
      <c r="B297" s="66" t="str">
        <f>IF(E297="","",VLOOKUP('Opći dio'!$C$3,'Opći dio'!$L$6:$U$137,9,FALSE))</f>
        <v/>
      </c>
      <c r="C297" s="55" t="str">
        <f t="shared" si="14"/>
        <v/>
      </c>
      <c r="D297" s="56" t="str">
        <f t="shared" si="15"/>
        <v/>
      </c>
      <c r="E297" s="61"/>
      <c r="F297" s="58" t="str">
        <f t="shared" si="16"/>
        <v/>
      </c>
      <c r="G297" s="59"/>
      <c r="H297" s="59"/>
      <c r="I297" s="59"/>
      <c r="K297" s="44" t="str">
        <f t="shared" si="3"/>
        <v/>
      </c>
      <c r="L297" s="44" t="str">
        <f t="shared" si="4"/>
        <v/>
      </c>
    </row>
    <row r="298" spans="1:12" ht="15.75" customHeight="1">
      <c r="A298" s="66" t="str">
        <f>IF(E298="","",VLOOKUP('Opći dio'!$C$3,'Opći dio'!$L$6:$U$137,10,FALSE))</f>
        <v/>
      </c>
      <c r="B298" s="66" t="str">
        <f>IF(E298="","",VLOOKUP('Opći dio'!$C$3,'Opći dio'!$L$6:$U$137,9,FALSE))</f>
        <v/>
      </c>
      <c r="C298" s="55" t="str">
        <f t="shared" si="14"/>
        <v/>
      </c>
      <c r="D298" s="56" t="str">
        <f t="shared" si="15"/>
        <v/>
      </c>
      <c r="E298" s="61"/>
      <c r="F298" s="58" t="str">
        <f t="shared" si="16"/>
        <v/>
      </c>
      <c r="G298" s="59"/>
      <c r="H298" s="59"/>
      <c r="I298" s="59"/>
      <c r="K298" s="44" t="str">
        <f t="shared" si="3"/>
        <v/>
      </c>
      <c r="L298" s="44" t="str">
        <f t="shared" si="4"/>
        <v/>
      </c>
    </row>
    <row r="299" spans="1:12" ht="15.75" customHeight="1">
      <c r="A299" s="66" t="str">
        <f>IF(E299="","",VLOOKUP('Opći dio'!$C$3,'Opći dio'!$L$6:$U$137,10,FALSE))</f>
        <v/>
      </c>
      <c r="B299" s="66" t="str">
        <f>IF(E299="","",VLOOKUP('Opći dio'!$C$3,'Opći dio'!$L$6:$U$137,9,FALSE))</f>
        <v/>
      </c>
      <c r="C299" s="55" t="str">
        <f t="shared" si="14"/>
        <v/>
      </c>
      <c r="D299" s="56" t="str">
        <f t="shared" si="15"/>
        <v/>
      </c>
      <c r="E299" s="61"/>
      <c r="F299" s="58" t="str">
        <f t="shared" si="16"/>
        <v/>
      </c>
      <c r="G299" s="59"/>
      <c r="H299" s="59"/>
      <c r="I299" s="59"/>
      <c r="K299" s="44" t="str">
        <f t="shared" si="3"/>
        <v/>
      </c>
      <c r="L299" s="44" t="str">
        <f t="shared" si="4"/>
        <v/>
      </c>
    </row>
    <row r="300" spans="1:12" ht="15.75" customHeight="1">
      <c r="A300" s="66" t="str">
        <f>IF(E300="","",VLOOKUP('Opći dio'!$C$3,'Opći dio'!$L$6:$U$137,10,FALSE))</f>
        <v/>
      </c>
      <c r="B300" s="66" t="str">
        <f>IF(E300="","",VLOOKUP('Opći dio'!$C$3,'Opći dio'!$L$6:$U$137,9,FALSE))</f>
        <v/>
      </c>
      <c r="C300" s="55" t="str">
        <f t="shared" si="14"/>
        <v/>
      </c>
      <c r="D300" s="56" t="str">
        <f t="shared" si="15"/>
        <v/>
      </c>
      <c r="E300" s="61"/>
      <c r="F300" s="58" t="str">
        <f t="shared" si="16"/>
        <v/>
      </c>
      <c r="G300" s="59"/>
      <c r="H300" s="59"/>
      <c r="I300" s="59"/>
      <c r="K300" s="44" t="str">
        <f t="shared" si="3"/>
        <v/>
      </c>
      <c r="L300" s="44" t="str">
        <f t="shared" si="4"/>
        <v/>
      </c>
    </row>
    <row r="301" spans="1:12" ht="15.75" customHeight="1">
      <c r="A301" s="66" t="str">
        <f>IF(E301="","",VLOOKUP('Opći dio'!$C$3,'Opći dio'!$L$6:$U$137,10,FALSE))</f>
        <v/>
      </c>
      <c r="B301" s="66" t="str">
        <f>IF(E301="","",VLOOKUP('Opći dio'!$C$3,'Opći dio'!$L$6:$U$137,9,FALSE))</f>
        <v/>
      </c>
      <c r="C301" s="55" t="str">
        <f t="shared" si="14"/>
        <v/>
      </c>
      <c r="D301" s="56" t="str">
        <f t="shared" si="15"/>
        <v/>
      </c>
      <c r="E301" s="61"/>
      <c r="F301" s="58" t="str">
        <f t="shared" si="16"/>
        <v/>
      </c>
      <c r="G301" s="59"/>
      <c r="H301" s="59"/>
      <c r="I301" s="59"/>
      <c r="K301" s="44" t="str">
        <f t="shared" si="3"/>
        <v/>
      </c>
      <c r="L301" s="44" t="str">
        <f t="shared" si="4"/>
        <v/>
      </c>
    </row>
    <row r="302" spans="1:12" ht="15.75" customHeight="1">
      <c r="A302" s="66" t="str">
        <f>IF(E302="","",VLOOKUP('Opći dio'!$C$3,'Opći dio'!$L$6:$U$137,10,FALSE))</f>
        <v/>
      </c>
      <c r="B302" s="66" t="str">
        <f>IF(E302="","",VLOOKUP('Opći dio'!$C$3,'Opći dio'!$L$6:$U$137,9,FALSE))</f>
        <v/>
      </c>
      <c r="C302" s="55" t="str">
        <f t="shared" si="14"/>
        <v/>
      </c>
      <c r="D302" s="56" t="str">
        <f t="shared" si="15"/>
        <v/>
      </c>
      <c r="E302" s="61"/>
      <c r="F302" s="58" t="str">
        <f t="shared" si="16"/>
        <v/>
      </c>
      <c r="G302" s="59"/>
      <c r="H302" s="59"/>
      <c r="I302" s="59"/>
      <c r="K302" s="44" t="str">
        <f t="shared" si="3"/>
        <v/>
      </c>
      <c r="L302" s="44" t="str">
        <f t="shared" si="4"/>
        <v/>
      </c>
    </row>
    <row r="303" spans="1:12" ht="15.75" customHeight="1">
      <c r="A303" s="66" t="str">
        <f>IF(E303="","",VLOOKUP('Opći dio'!$C$3,'Opći dio'!$L$6:$U$137,10,FALSE))</f>
        <v/>
      </c>
      <c r="B303" s="66" t="str">
        <f>IF(E303="","",VLOOKUP('Opći dio'!$C$3,'Opći dio'!$L$6:$U$137,9,FALSE))</f>
        <v/>
      </c>
      <c r="C303" s="55" t="str">
        <f t="shared" si="14"/>
        <v/>
      </c>
      <c r="D303" s="56" t="str">
        <f t="shared" si="15"/>
        <v/>
      </c>
      <c r="E303" s="61"/>
      <c r="F303" s="58" t="str">
        <f t="shared" si="16"/>
        <v/>
      </c>
      <c r="G303" s="59"/>
      <c r="H303" s="59"/>
      <c r="I303" s="59"/>
      <c r="K303" s="44" t="str">
        <f t="shared" si="3"/>
        <v/>
      </c>
      <c r="L303" s="44" t="str">
        <f t="shared" si="4"/>
        <v/>
      </c>
    </row>
    <row r="304" spans="1:12" ht="15.75" customHeight="1">
      <c r="A304" s="66" t="str">
        <f>IF(E304="","",VLOOKUP('Opći dio'!$C$3,'Opći dio'!$L$6:$U$137,10,FALSE))</f>
        <v/>
      </c>
      <c r="B304" s="66" t="str">
        <f>IF(E304="","",VLOOKUP('Opći dio'!$C$3,'Opći dio'!$L$6:$U$137,9,FALSE))</f>
        <v/>
      </c>
      <c r="C304" s="55" t="str">
        <f t="shared" si="14"/>
        <v/>
      </c>
      <c r="D304" s="56" t="str">
        <f t="shared" si="15"/>
        <v/>
      </c>
      <c r="E304" s="61"/>
      <c r="F304" s="58" t="str">
        <f t="shared" si="16"/>
        <v/>
      </c>
      <c r="G304" s="59"/>
      <c r="H304" s="59"/>
      <c r="I304" s="59"/>
      <c r="K304" s="44" t="str">
        <f t="shared" si="3"/>
        <v/>
      </c>
      <c r="L304" s="44" t="str">
        <f t="shared" si="4"/>
        <v/>
      </c>
    </row>
    <row r="305" spans="1:12" ht="15.75" customHeight="1">
      <c r="A305" s="66" t="str">
        <f>IF(E305="","",VLOOKUP('Opći dio'!$C$3,'Opći dio'!$L$6:$U$137,10,FALSE))</f>
        <v/>
      </c>
      <c r="B305" s="66" t="str">
        <f>IF(E305="","",VLOOKUP('Opći dio'!$C$3,'Opći dio'!$L$6:$U$137,9,FALSE))</f>
        <v/>
      </c>
      <c r="C305" s="55" t="str">
        <f t="shared" si="14"/>
        <v/>
      </c>
      <c r="D305" s="56" t="str">
        <f t="shared" si="15"/>
        <v/>
      </c>
      <c r="E305" s="61"/>
      <c r="F305" s="58" t="str">
        <f t="shared" si="16"/>
        <v/>
      </c>
      <c r="G305" s="59"/>
      <c r="H305" s="59"/>
      <c r="I305" s="59"/>
      <c r="K305" s="44" t="str">
        <f t="shared" si="3"/>
        <v/>
      </c>
      <c r="L305" s="44" t="str">
        <f t="shared" si="4"/>
        <v/>
      </c>
    </row>
    <row r="306" spans="1:12" ht="15.75" customHeight="1">
      <c r="A306" s="66" t="str">
        <f>IF(E306="","",VLOOKUP('Opći dio'!$C$3,'Opći dio'!$L$6:$U$137,10,FALSE))</f>
        <v/>
      </c>
      <c r="B306" s="66" t="str">
        <f>IF(E306="","",VLOOKUP('Opći dio'!$C$3,'Opći dio'!$L$6:$U$137,9,FALSE))</f>
        <v/>
      </c>
      <c r="C306" s="55" t="str">
        <f t="shared" si="14"/>
        <v/>
      </c>
      <c r="D306" s="56" t="str">
        <f t="shared" si="15"/>
        <v/>
      </c>
      <c r="E306" s="61"/>
      <c r="F306" s="58" t="str">
        <f t="shared" si="16"/>
        <v/>
      </c>
      <c r="G306" s="59"/>
      <c r="H306" s="59"/>
      <c r="I306" s="59"/>
      <c r="K306" s="44" t="str">
        <f t="shared" si="3"/>
        <v/>
      </c>
      <c r="L306" s="44" t="str">
        <f t="shared" si="4"/>
        <v/>
      </c>
    </row>
    <row r="307" spans="1:12" ht="15.75" customHeight="1">
      <c r="A307" s="66" t="str">
        <f>IF(E307="","",VLOOKUP('Opći dio'!$C$3,'Opći dio'!$L$6:$U$137,10,FALSE))</f>
        <v/>
      </c>
      <c r="B307" s="66" t="str">
        <f>IF(E307="","",VLOOKUP('Opći dio'!$C$3,'Opći dio'!$L$6:$U$137,9,FALSE))</f>
        <v/>
      </c>
      <c r="C307" s="55" t="str">
        <f t="shared" si="14"/>
        <v/>
      </c>
      <c r="D307" s="56" t="str">
        <f t="shared" si="15"/>
        <v/>
      </c>
      <c r="E307" s="61"/>
      <c r="F307" s="58" t="str">
        <f t="shared" si="16"/>
        <v/>
      </c>
      <c r="G307" s="59"/>
      <c r="H307" s="59"/>
      <c r="I307" s="59"/>
      <c r="K307" s="44" t="str">
        <f t="shared" si="3"/>
        <v/>
      </c>
      <c r="L307" s="44" t="str">
        <f t="shared" si="4"/>
        <v/>
      </c>
    </row>
    <row r="308" spans="1:12" ht="15.75" customHeight="1">
      <c r="A308" s="66" t="str">
        <f>IF(E308="","",VLOOKUP('Opći dio'!$C$3,'Opći dio'!$L$6:$U$137,10,FALSE))</f>
        <v/>
      </c>
      <c r="B308" s="66" t="str">
        <f>IF(E308="","",VLOOKUP('Opći dio'!$C$3,'Opći dio'!$L$6:$U$137,9,FALSE))</f>
        <v/>
      </c>
      <c r="C308" s="55" t="str">
        <f t="shared" si="14"/>
        <v/>
      </c>
      <c r="D308" s="56" t="str">
        <f t="shared" si="15"/>
        <v/>
      </c>
      <c r="E308" s="61"/>
      <c r="F308" s="58" t="str">
        <f t="shared" si="16"/>
        <v/>
      </c>
      <c r="G308" s="59"/>
      <c r="H308" s="59"/>
      <c r="I308" s="59"/>
      <c r="K308" s="44" t="str">
        <f t="shared" si="3"/>
        <v/>
      </c>
      <c r="L308" s="44" t="str">
        <f t="shared" si="4"/>
        <v/>
      </c>
    </row>
    <row r="309" spans="1:12" ht="15.75" customHeight="1">
      <c r="A309" s="66" t="str">
        <f>IF(E309="","",VLOOKUP('Opći dio'!$C$3,'Opći dio'!$L$6:$U$137,10,FALSE))</f>
        <v/>
      </c>
      <c r="B309" s="66" t="str">
        <f>IF(E309="","",VLOOKUP('Opći dio'!$C$3,'Opći dio'!$L$6:$U$137,9,FALSE))</f>
        <v/>
      </c>
      <c r="C309" s="55" t="str">
        <f t="shared" si="14"/>
        <v/>
      </c>
      <c r="D309" s="56" t="str">
        <f t="shared" si="15"/>
        <v/>
      </c>
      <c r="E309" s="61"/>
      <c r="F309" s="58" t="str">
        <f t="shared" si="16"/>
        <v/>
      </c>
      <c r="G309" s="59"/>
      <c r="H309" s="59"/>
      <c r="I309" s="59"/>
      <c r="K309" s="44" t="str">
        <f t="shared" si="3"/>
        <v/>
      </c>
      <c r="L309" s="44" t="str">
        <f t="shared" si="4"/>
        <v/>
      </c>
    </row>
    <row r="310" spans="1:12" ht="15.75" customHeight="1">
      <c r="A310" s="66" t="str">
        <f>IF(E310="","",VLOOKUP('Opći dio'!$C$3,'Opći dio'!$L$6:$U$137,10,FALSE))</f>
        <v/>
      </c>
      <c r="B310" s="66" t="str">
        <f>IF(E310="","",VLOOKUP('Opći dio'!$C$3,'Opći dio'!$L$6:$U$137,9,FALSE))</f>
        <v/>
      </c>
      <c r="C310" s="55" t="str">
        <f t="shared" si="14"/>
        <v/>
      </c>
      <c r="D310" s="56" t="str">
        <f t="shared" si="15"/>
        <v/>
      </c>
      <c r="E310" s="61"/>
      <c r="F310" s="58" t="str">
        <f t="shared" si="16"/>
        <v/>
      </c>
      <c r="G310" s="59"/>
      <c r="H310" s="59"/>
      <c r="I310" s="59"/>
      <c r="K310" s="44" t="str">
        <f t="shared" si="3"/>
        <v/>
      </c>
      <c r="L310" s="44" t="str">
        <f t="shared" si="4"/>
        <v/>
      </c>
    </row>
    <row r="311" spans="1:12" ht="15.75" customHeight="1">
      <c r="A311" s="66" t="str">
        <f>IF(E311="","",VLOOKUP('Opći dio'!$C$3,'Opći dio'!$L$6:$U$137,10,FALSE))</f>
        <v/>
      </c>
      <c r="B311" s="66" t="str">
        <f>IF(E311="","",VLOOKUP('Opći dio'!$C$3,'Opći dio'!$L$6:$U$137,9,FALSE))</f>
        <v/>
      </c>
      <c r="C311" s="55" t="str">
        <f t="shared" si="14"/>
        <v/>
      </c>
      <c r="D311" s="56" t="str">
        <f t="shared" si="15"/>
        <v/>
      </c>
      <c r="E311" s="61"/>
      <c r="F311" s="58" t="str">
        <f t="shared" si="16"/>
        <v/>
      </c>
      <c r="G311" s="59"/>
      <c r="H311" s="59"/>
      <c r="I311" s="59"/>
      <c r="K311" s="44" t="str">
        <f t="shared" si="3"/>
        <v/>
      </c>
      <c r="L311" s="44" t="str">
        <f t="shared" si="4"/>
        <v/>
      </c>
    </row>
    <row r="312" spans="1:12" ht="15.75" customHeight="1">
      <c r="A312" s="66" t="str">
        <f>IF(E312="","",VLOOKUP('Opći dio'!$C$3,'Opći dio'!$L$6:$U$137,10,FALSE))</f>
        <v/>
      </c>
      <c r="B312" s="66" t="str">
        <f>IF(E312="","",VLOOKUP('Opći dio'!$C$3,'Opći dio'!$L$6:$U$137,9,FALSE))</f>
        <v/>
      </c>
      <c r="C312" s="55" t="str">
        <f t="shared" si="14"/>
        <v/>
      </c>
      <c r="D312" s="56" t="str">
        <f t="shared" si="15"/>
        <v/>
      </c>
      <c r="E312" s="61"/>
      <c r="F312" s="58" t="str">
        <f t="shared" si="16"/>
        <v/>
      </c>
      <c r="G312" s="59"/>
      <c r="H312" s="59"/>
      <c r="I312" s="59"/>
      <c r="K312" s="44" t="str">
        <f t="shared" si="3"/>
        <v/>
      </c>
      <c r="L312" s="44" t="str">
        <f t="shared" si="4"/>
        <v/>
      </c>
    </row>
    <row r="313" spans="1:12" ht="15.75" customHeight="1">
      <c r="A313" s="66" t="str">
        <f>IF(E313="","",VLOOKUP('Opći dio'!$C$3,'Opći dio'!$L$6:$U$137,10,FALSE))</f>
        <v/>
      </c>
      <c r="B313" s="66" t="str">
        <f>IF(E313="","",VLOOKUP('Opći dio'!$C$3,'Opći dio'!$L$6:$U$137,9,FALSE))</f>
        <v/>
      </c>
      <c r="C313" s="55" t="str">
        <f t="shared" si="14"/>
        <v/>
      </c>
      <c r="D313" s="56" t="str">
        <f t="shared" si="15"/>
        <v/>
      </c>
      <c r="E313" s="61"/>
      <c r="F313" s="58" t="str">
        <f t="shared" si="16"/>
        <v/>
      </c>
      <c r="G313" s="59"/>
      <c r="H313" s="59"/>
      <c r="I313" s="59"/>
      <c r="K313" s="44" t="str">
        <f t="shared" si="3"/>
        <v/>
      </c>
      <c r="L313" s="44" t="str">
        <f t="shared" si="4"/>
        <v/>
      </c>
    </row>
    <row r="314" spans="1:12" ht="15.75" customHeight="1">
      <c r="A314" s="66" t="str">
        <f>IF(E314="","",VLOOKUP('Opći dio'!$C$3,'Opći dio'!$L$6:$U$137,10,FALSE))</f>
        <v/>
      </c>
      <c r="B314" s="66" t="str">
        <f>IF(E314="","",VLOOKUP('Opći dio'!$C$3,'Opći dio'!$L$6:$U$137,9,FALSE))</f>
        <v/>
      </c>
      <c r="C314" s="55" t="str">
        <f t="shared" si="14"/>
        <v/>
      </c>
      <c r="D314" s="56" t="str">
        <f t="shared" si="15"/>
        <v/>
      </c>
      <c r="E314" s="61"/>
      <c r="F314" s="58" t="str">
        <f t="shared" si="16"/>
        <v/>
      </c>
      <c r="G314" s="59"/>
      <c r="H314" s="59"/>
      <c r="I314" s="59"/>
      <c r="K314" s="44" t="str">
        <f t="shared" si="3"/>
        <v/>
      </c>
      <c r="L314" s="44" t="str">
        <f t="shared" si="4"/>
        <v/>
      </c>
    </row>
    <row r="315" spans="1:12" ht="15.75" customHeight="1">
      <c r="A315" s="66" t="str">
        <f>IF(E315="","",VLOOKUP('Opći dio'!$C$3,'Opći dio'!$L$6:$U$137,10,FALSE))</f>
        <v/>
      </c>
      <c r="B315" s="66" t="str">
        <f>IF(E315="","",VLOOKUP('Opći dio'!$C$3,'Opći dio'!$L$6:$U$137,9,FALSE))</f>
        <v/>
      </c>
      <c r="C315" s="55" t="str">
        <f t="shared" si="14"/>
        <v/>
      </c>
      <c r="D315" s="56" t="str">
        <f t="shared" si="15"/>
        <v/>
      </c>
      <c r="E315" s="61"/>
      <c r="F315" s="58" t="str">
        <f t="shared" si="16"/>
        <v/>
      </c>
      <c r="G315" s="59"/>
      <c r="H315" s="59"/>
      <c r="I315" s="59"/>
      <c r="K315" s="44" t="str">
        <f t="shared" si="3"/>
        <v/>
      </c>
      <c r="L315" s="44" t="str">
        <f t="shared" si="4"/>
        <v/>
      </c>
    </row>
    <row r="316" spans="1:12" ht="15.75" customHeight="1">
      <c r="A316" s="66" t="str">
        <f>IF(E316="","",VLOOKUP('Opći dio'!$C$3,'Opći dio'!$L$6:$U$137,10,FALSE))</f>
        <v/>
      </c>
      <c r="B316" s="66" t="str">
        <f>IF(E316="","",VLOOKUP('Opći dio'!$C$3,'Opći dio'!$L$6:$U$137,9,FALSE))</f>
        <v/>
      </c>
      <c r="C316" s="55" t="str">
        <f t="shared" si="14"/>
        <v/>
      </c>
      <c r="D316" s="56" t="str">
        <f t="shared" si="15"/>
        <v/>
      </c>
      <c r="E316" s="61"/>
      <c r="F316" s="58" t="str">
        <f t="shared" si="16"/>
        <v/>
      </c>
      <c r="G316" s="59"/>
      <c r="H316" s="59"/>
      <c r="I316" s="59"/>
      <c r="K316" s="44" t="str">
        <f t="shared" si="3"/>
        <v/>
      </c>
      <c r="L316" s="44" t="str">
        <f t="shared" si="4"/>
        <v/>
      </c>
    </row>
    <row r="317" spans="1:12" ht="15.75" customHeight="1">
      <c r="A317" s="66" t="str">
        <f>IF(E317="","",VLOOKUP('Opći dio'!$C$3,'Opći dio'!$L$6:$U$137,10,FALSE))</f>
        <v/>
      </c>
      <c r="B317" s="66" t="str">
        <f>IF(E317="","",VLOOKUP('Opći dio'!$C$3,'Opći dio'!$L$6:$U$137,9,FALSE))</f>
        <v/>
      </c>
      <c r="C317" s="55" t="str">
        <f t="shared" si="14"/>
        <v/>
      </c>
      <c r="D317" s="56" t="str">
        <f t="shared" si="15"/>
        <v/>
      </c>
      <c r="E317" s="61"/>
      <c r="F317" s="58" t="str">
        <f t="shared" si="16"/>
        <v/>
      </c>
      <c r="G317" s="59"/>
      <c r="H317" s="59"/>
      <c r="I317" s="59"/>
      <c r="K317" s="44" t="str">
        <f t="shared" si="3"/>
        <v/>
      </c>
      <c r="L317" s="44" t="str">
        <f t="shared" si="4"/>
        <v/>
      </c>
    </row>
    <row r="318" spans="1:12" ht="15.75" customHeight="1">
      <c r="A318" s="66" t="str">
        <f>IF(E318="","",VLOOKUP('Opći dio'!$C$3,'Opći dio'!$L$6:$U$137,10,FALSE))</f>
        <v/>
      </c>
      <c r="B318" s="66" t="str">
        <f>IF(E318="","",VLOOKUP('Opći dio'!$C$3,'Opći dio'!$L$6:$U$137,9,FALSE))</f>
        <v/>
      </c>
      <c r="C318" s="55" t="str">
        <f t="shared" si="14"/>
        <v/>
      </c>
      <c r="D318" s="56" t="str">
        <f t="shared" si="15"/>
        <v/>
      </c>
      <c r="E318" s="61"/>
      <c r="F318" s="58" t="str">
        <f t="shared" si="16"/>
        <v/>
      </c>
      <c r="G318" s="59"/>
      <c r="H318" s="59"/>
      <c r="I318" s="59"/>
      <c r="K318" s="44" t="str">
        <f t="shared" si="3"/>
        <v/>
      </c>
      <c r="L318" s="44" t="str">
        <f t="shared" si="4"/>
        <v/>
      </c>
    </row>
    <row r="319" spans="1:12" ht="15.75" customHeight="1">
      <c r="A319" s="66" t="str">
        <f>IF(E319="","",VLOOKUP('Opći dio'!$C$3,'Opći dio'!$L$6:$U$137,10,FALSE))</f>
        <v/>
      </c>
      <c r="B319" s="66" t="str">
        <f>IF(E319="","",VLOOKUP('Opći dio'!$C$3,'Opći dio'!$L$6:$U$137,9,FALSE))</f>
        <v/>
      </c>
      <c r="C319" s="55" t="str">
        <f t="shared" si="14"/>
        <v/>
      </c>
      <c r="D319" s="56" t="str">
        <f t="shared" si="15"/>
        <v/>
      </c>
      <c r="E319" s="61"/>
      <c r="F319" s="58" t="str">
        <f t="shared" si="16"/>
        <v/>
      </c>
      <c r="G319" s="59"/>
      <c r="H319" s="59"/>
      <c r="I319" s="59"/>
      <c r="K319" s="44" t="str">
        <f t="shared" si="3"/>
        <v/>
      </c>
      <c r="L319" s="44" t="str">
        <f t="shared" si="4"/>
        <v/>
      </c>
    </row>
    <row r="320" spans="1:12" ht="15.75" customHeight="1">
      <c r="A320" s="66" t="str">
        <f>IF(E320="","",VLOOKUP('Opći dio'!$C$3,'Opći dio'!$L$6:$U$137,10,FALSE))</f>
        <v/>
      </c>
      <c r="B320" s="66" t="str">
        <f>IF(E320="","",VLOOKUP('Opći dio'!$C$3,'Opći dio'!$L$6:$U$137,9,FALSE))</f>
        <v/>
      </c>
      <c r="C320" s="55" t="str">
        <f t="shared" si="14"/>
        <v/>
      </c>
      <c r="D320" s="56" t="str">
        <f t="shared" si="15"/>
        <v/>
      </c>
      <c r="E320" s="61"/>
      <c r="F320" s="58" t="str">
        <f t="shared" si="16"/>
        <v/>
      </c>
      <c r="G320" s="59"/>
      <c r="H320" s="59"/>
      <c r="I320" s="59"/>
      <c r="K320" s="44" t="str">
        <f t="shared" si="3"/>
        <v/>
      </c>
      <c r="L320" s="44" t="str">
        <f t="shared" si="4"/>
        <v/>
      </c>
    </row>
    <row r="321" spans="1:12" ht="15.75" customHeight="1">
      <c r="A321" s="66" t="str">
        <f>IF(E321="","",VLOOKUP('Opći dio'!$C$3,'Opći dio'!$L$6:$U$137,10,FALSE))</f>
        <v/>
      </c>
      <c r="B321" s="66" t="str">
        <f>IF(E321="","",VLOOKUP('Opći dio'!$C$3,'Opći dio'!$L$6:$U$137,9,FALSE))</f>
        <v/>
      </c>
      <c r="C321" s="55" t="str">
        <f t="shared" si="14"/>
        <v/>
      </c>
      <c r="D321" s="56" t="str">
        <f t="shared" si="15"/>
        <v/>
      </c>
      <c r="E321" s="61"/>
      <c r="F321" s="58" t="str">
        <f t="shared" si="16"/>
        <v/>
      </c>
      <c r="G321" s="59"/>
      <c r="H321" s="59"/>
      <c r="I321" s="59"/>
      <c r="K321" s="44" t="str">
        <f t="shared" si="3"/>
        <v/>
      </c>
      <c r="L321" s="44" t="str">
        <f t="shared" si="4"/>
        <v/>
      </c>
    </row>
    <row r="322" spans="1:12" ht="15.75" customHeight="1">
      <c r="A322" s="66" t="str">
        <f>IF(E322="","",VLOOKUP('Opći dio'!$C$3,'Opći dio'!$L$6:$U$137,10,FALSE))</f>
        <v/>
      </c>
      <c r="B322" s="66" t="str">
        <f>IF(E322="","",VLOOKUP('Opći dio'!$C$3,'Opći dio'!$L$6:$U$137,9,FALSE))</f>
        <v/>
      </c>
      <c r="C322" s="55" t="str">
        <f t="shared" si="14"/>
        <v/>
      </c>
      <c r="D322" s="56" t="str">
        <f t="shared" si="15"/>
        <v/>
      </c>
      <c r="E322" s="61"/>
      <c r="F322" s="58" t="str">
        <f t="shared" si="16"/>
        <v/>
      </c>
      <c r="G322" s="59"/>
      <c r="H322" s="59"/>
      <c r="I322" s="59"/>
      <c r="K322" s="44" t="str">
        <f t="shared" si="3"/>
        <v/>
      </c>
      <c r="L322" s="44" t="str">
        <f t="shared" si="4"/>
        <v/>
      </c>
    </row>
    <row r="323" spans="1:12" ht="15.75" customHeight="1">
      <c r="A323" s="66" t="str">
        <f>IF(E323="","",VLOOKUP('Opći dio'!$C$3,'Opći dio'!$L$6:$U$137,10,FALSE))</f>
        <v/>
      </c>
      <c r="B323" s="66" t="str">
        <f>IF(E323="","",VLOOKUP('Opći dio'!$C$3,'Opći dio'!$L$6:$U$137,9,FALSE))</f>
        <v/>
      </c>
      <c r="C323" s="55" t="str">
        <f t="shared" ref="C323:C386" si="17">IFERROR(VLOOKUP(E323,$Q$6:$T$104,3,FALSE),"")</f>
        <v/>
      </c>
      <c r="D323" s="56" t="str">
        <f t="shared" ref="D323:D386" si="18">IFERROR(VLOOKUP(E323,$Q$6:$T$104,4,FALSE),"")</f>
        <v/>
      </c>
      <c r="E323" s="61"/>
      <c r="F323" s="58" t="str">
        <f t="shared" ref="F323:F386" si="19">IFERROR(VLOOKUP(E323,$Q$6:$T$104,2,FALSE),"")</f>
        <v/>
      </c>
      <c r="G323" s="59"/>
      <c r="H323" s="59"/>
      <c r="I323" s="59"/>
      <c r="K323" s="44" t="str">
        <f t="shared" si="3"/>
        <v/>
      </c>
      <c r="L323" s="44" t="str">
        <f t="shared" si="4"/>
        <v/>
      </c>
    </row>
    <row r="324" spans="1:12" ht="15.75" customHeight="1">
      <c r="A324" s="66" t="str">
        <f>IF(E324="","",VLOOKUP('Opći dio'!$C$3,'Opći dio'!$L$6:$U$137,10,FALSE))</f>
        <v/>
      </c>
      <c r="B324" s="66" t="str">
        <f>IF(E324="","",VLOOKUP('Opći dio'!$C$3,'Opći dio'!$L$6:$U$137,9,FALSE))</f>
        <v/>
      </c>
      <c r="C324" s="55" t="str">
        <f t="shared" si="17"/>
        <v/>
      </c>
      <c r="D324" s="56" t="str">
        <f t="shared" si="18"/>
        <v/>
      </c>
      <c r="E324" s="61"/>
      <c r="F324" s="58" t="str">
        <f t="shared" si="19"/>
        <v/>
      </c>
      <c r="G324" s="59"/>
      <c r="H324" s="59"/>
      <c r="I324" s="59"/>
      <c r="K324" s="44" t="str">
        <f t="shared" si="3"/>
        <v/>
      </c>
      <c r="L324" s="44" t="str">
        <f t="shared" si="4"/>
        <v/>
      </c>
    </row>
    <row r="325" spans="1:12" ht="15.75" customHeight="1">
      <c r="A325" s="66" t="str">
        <f>IF(E325="","",VLOOKUP('Opći dio'!$C$3,'Opći dio'!$L$6:$U$137,10,FALSE))</f>
        <v/>
      </c>
      <c r="B325" s="66" t="str">
        <f>IF(E325="","",VLOOKUP('Opći dio'!$C$3,'Opći dio'!$L$6:$U$137,9,FALSE))</f>
        <v/>
      </c>
      <c r="C325" s="55" t="str">
        <f t="shared" si="17"/>
        <v/>
      </c>
      <c r="D325" s="56" t="str">
        <f t="shared" si="18"/>
        <v/>
      </c>
      <c r="E325" s="61"/>
      <c r="F325" s="58" t="str">
        <f t="shared" si="19"/>
        <v/>
      </c>
      <c r="G325" s="59"/>
      <c r="H325" s="59"/>
      <c r="I325" s="59"/>
      <c r="K325" s="44" t="str">
        <f t="shared" si="3"/>
        <v/>
      </c>
      <c r="L325" s="44" t="str">
        <f t="shared" si="4"/>
        <v/>
      </c>
    </row>
    <row r="326" spans="1:12" ht="15.75" customHeight="1">
      <c r="A326" s="66" t="str">
        <f>IF(E326="","",VLOOKUP('Opći dio'!$C$3,'Opći dio'!$L$6:$U$137,10,FALSE))</f>
        <v/>
      </c>
      <c r="B326" s="66" t="str">
        <f>IF(E326="","",VLOOKUP('Opći dio'!$C$3,'Opći dio'!$L$6:$U$137,9,FALSE))</f>
        <v/>
      </c>
      <c r="C326" s="55" t="str">
        <f t="shared" si="17"/>
        <v/>
      </c>
      <c r="D326" s="56" t="str">
        <f t="shared" si="18"/>
        <v/>
      </c>
      <c r="E326" s="61"/>
      <c r="F326" s="58" t="str">
        <f t="shared" si="19"/>
        <v/>
      </c>
      <c r="G326" s="59"/>
      <c r="H326" s="59"/>
      <c r="I326" s="59"/>
      <c r="K326" s="44" t="str">
        <f t="shared" si="3"/>
        <v/>
      </c>
      <c r="L326" s="44" t="str">
        <f t="shared" si="4"/>
        <v/>
      </c>
    </row>
    <row r="327" spans="1:12" ht="15.75" customHeight="1">
      <c r="A327" s="66" t="str">
        <f>IF(E327="","",VLOOKUP('Opći dio'!$C$3,'Opći dio'!$L$6:$U$137,10,FALSE))</f>
        <v/>
      </c>
      <c r="B327" s="66" t="str">
        <f>IF(E327="","",VLOOKUP('Opći dio'!$C$3,'Opći dio'!$L$6:$U$137,9,FALSE))</f>
        <v/>
      </c>
      <c r="C327" s="55" t="str">
        <f t="shared" si="17"/>
        <v/>
      </c>
      <c r="D327" s="56" t="str">
        <f t="shared" si="18"/>
        <v/>
      </c>
      <c r="E327" s="61"/>
      <c r="F327" s="58" t="str">
        <f t="shared" si="19"/>
        <v/>
      </c>
      <c r="G327" s="59"/>
      <c r="H327" s="59"/>
      <c r="I327" s="59"/>
      <c r="K327" s="44" t="str">
        <f t="shared" si="3"/>
        <v/>
      </c>
      <c r="L327" s="44" t="str">
        <f t="shared" si="4"/>
        <v/>
      </c>
    </row>
    <row r="328" spans="1:12" ht="15.75" customHeight="1">
      <c r="A328" s="66" t="str">
        <f>IF(E328="","",VLOOKUP('Opći dio'!$C$3,'Opći dio'!$L$6:$U$137,10,FALSE))</f>
        <v/>
      </c>
      <c r="B328" s="66" t="str">
        <f>IF(E328="","",VLOOKUP('Opći dio'!$C$3,'Opći dio'!$L$6:$U$137,9,FALSE))</f>
        <v/>
      </c>
      <c r="C328" s="55" t="str">
        <f t="shared" si="17"/>
        <v/>
      </c>
      <c r="D328" s="56" t="str">
        <f t="shared" si="18"/>
        <v/>
      </c>
      <c r="E328" s="61"/>
      <c r="F328" s="58" t="str">
        <f t="shared" si="19"/>
        <v/>
      </c>
      <c r="G328" s="59"/>
      <c r="H328" s="59"/>
      <c r="I328" s="59"/>
      <c r="K328" s="44" t="str">
        <f t="shared" si="3"/>
        <v/>
      </c>
      <c r="L328" s="44" t="str">
        <f t="shared" si="4"/>
        <v/>
      </c>
    </row>
    <row r="329" spans="1:12" ht="15.75" customHeight="1">
      <c r="A329" s="66" t="str">
        <f>IF(E329="","",VLOOKUP('Opći dio'!$C$3,'Opći dio'!$L$6:$U$137,10,FALSE))</f>
        <v/>
      </c>
      <c r="B329" s="66" t="str">
        <f>IF(E329="","",VLOOKUP('Opći dio'!$C$3,'Opći dio'!$L$6:$U$137,9,FALSE))</f>
        <v/>
      </c>
      <c r="C329" s="55" t="str">
        <f t="shared" si="17"/>
        <v/>
      </c>
      <c r="D329" s="56" t="str">
        <f t="shared" si="18"/>
        <v/>
      </c>
      <c r="E329" s="61"/>
      <c r="F329" s="58" t="str">
        <f t="shared" si="19"/>
        <v/>
      </c>
      <c r="G329" s="59"/>
      <c r="H329" s="59"/>
      <c r="I329" s="59"/>
      <c r="K329" s="44" t="str">
        <f t="shared" si="3"/>
        <v/>
      </c>
      <c r="L329" s="44" t="str">
        <f t="shared" si="4"/>
        <v/>
      </c>
    </row>
    <row r="330" spans="1:12" ht="15.75" customHeight="1">
      <c r="A330" s="66" t="str">
        <f>IF(E330="","",VLOOKUP('Opći dio'!$C$3,'Opći dio'!$L$6:$U$137,10,FALSE))</f>
        <v/>
      </c>
      <c r="B330" s="66" t="str">
        <f>IF(E330="","",VLOOKUP('Opći dio'!$C$3,'Opći dio'!$L$6:$U$137,9,FALSE))</f>
        <v/>
      </c>
      <c r="C330" s="55" t="str">
        <f t="shared" si="17"/>
        <v/>
      </c>
      <c r="D330" s="56" t="str">
        <f t="shared" si="18"/>
        <v/>
      </c>
      <c r="E330" s="61"/>
      <c r="F330" s="58" t="str">
        <f t="shared" si="19"/>
        <v/>
      </c>
      <c r="G330" s="59"/>
      <c r="H330" s="59"/>
      <c r="I330" s="59"/>
      <c r="K330" s="44" t="str">
        <f t="shared" si="3"/>
        <v/>
      </c>
      <c r="L330" s="44" t="str">
        <f t="shared" si="4"/>
        <v/>
      </c>
    </row>
    <row r="331" spans="1:12" ht="15.75" customHeight="1">
      <c r="A331" s="66" t="str">
        <f>IF(E331="","",VLOOKUP('Opći dio'!$C$3,'Opći dio'!$L$6:$U$137,10,FALSE))</f>
        <v/>
      </c>
      <c r="B331" s="66" t="str">
        <f>IF(E331="","",VLOOKUP('Opći dio'!$C$3,'Opći dio'!$L$6:$U$137,9,FALSE))</f>
        <v/>
      </c>
      <c r="C331" s="55" t="str">
        <f t="shared" si="17"/>
        <v/>
      </c>
      <c r="D331" s="56" t="str">
        <f t="shared" si="18"/>
        <v/>
      </c>
      <c r="E331" s="61"/>
      <c r="F331" s="58" t="str">
        <f t="shared" si="19"/>
        <v/>
      </c>
      <c r="G331" s="59"/>
      <c r="H331" s="59"/>
      <c r="I331" s="59"/>
      <c r="K331" s="44" t="str">
        <f t="shared" si="3"/>
        <v/>
      </c>
      <c r="L331" s="44" t="str">
        <f t="shared" si="4"/>
        <v/>
      </c>
    </row>
    <row r="332" spans="1:12" ht="15.75" customHeight="1">
      <c r="A332" s="66" t="str">
        <f>IF(E332="","",VLOOKUP('Opći dio'!$C$3,'Opći dio'!$L$6:$U$137,10,FALSE))</f>
        <v/>
      </c>
      <c r="B332" s="66" t="str">
        <f>IF(E332="","",VLOOKUP('Opći dio'!$C$3,'Opći dio'!$L$6:$U$137,9,FALSE))</f>
        <v/>
      </c>
      <c r="C332" s="55" t="str">
        <f t="shared" si="17"/>
        <v/>
      </c>
      <c r="D332" s="56" t="str">
        <f t="shared" si="18"/>
        <v/>
      </c>
      <c r="E332" s="61"/>
      <c r="F332" s="58" t="str">
        <f t="shared" si="19"/>
        <v/>
      </c>
      <c r="G332" s="59"/>
      <c r="H332" s="59"/>
      <c r="I332" s="59"/>
      <c r="K332" s="44" t="str">
        <f t="shared" si="3"/>
        <v/>
      </c>
      <c r="L332" s="44" t="str">
        <f t="shared" si="4"/>
        <v/>
      </c>
    </row>
    <row r="333" spans="1:12" ht="15.75" customHeight="1">
      <c r="A333" s="66" t="str">
        <f>IF(E333="","",VLOOKUP('Opći dio'!$C$3,'Opći dio'!$L$6:$U$137,10,FALSE))</f>
        <v/>
      </c>
      <c r="B333" s="66" t="str">
        <f>IF(E333="","",VLOOKUP('Opći dio'!$C$3,'Opći dio'!$L$6:$U$137,9,FALSE))</f>
        <v/>
      </c>
      <c r="C333" s="55" t="str">
        <f t="shared" si="17"/>
        <v/>
      </c>
      <c r="D333" s="56" t="str">
        <f t="shared" si="18"/>
        <v/>
      </c>
      <c r="E333" s="61"/>
      <c r="F333" s="58" t="str">
        <f t="shared" si="19"/>
        <v/>
      </c>
      <c r="G333" s="59"/>
      <c r="H333" s="59"/>
      <c r="I333" s="59"/>
      <c r="K333" s="44" t="str">
        <f t="shared" si="3"/>
        <v/>
      </c>
      <c r="L333" s="44" t="str">
        <f t="shared" si="4"/>
        <v/>
      </c>
    </row>
    <row r="334" spans="1:12" ht="15.75" customHeight="1">
      <c r="A334" s="66" t="str">
        <f>IF(E334="","",VLOOKUP('Opći dio'!$C$3,'Opći dio'!$L$6:$U$137,10,FALSE))</f>
        <v/>
      </c>
      <c r="B334" s="66" t="str">
        <f>IF(E334="","",VLOOKUP('Opći dio'!$C$3,'Opći dio'!$L$6:$U$137,9,FALSE))</f>
        <v/>
      </c>
      <c r="C334" s="55" t="str">
        <f t="shared" si="17"/>
        <v/>
      </c>
      <c r="D334" s="56" t="str">
        <f t="shared" si="18"/>
        <v/>
      </c>
      <c r="E334" s="61"/>
      <c r="F334" s="58" t="str">
        <f t="shared" si="19"/>
        <v/>
      </c>
      <c r="G334" s="59"/>
      <c r="H334" s="59"/>
      <c r="I334" s="59"/>
      <c r="K334" s="44" t="str">
        <f t="shared" si="3"/>
        <v/>
      </c>
      <c r="L334" s="44" t="str">
        <f t="shared" si="4"/>
        <v/>
      </c>
    </row>
    <row r="335" spans="1:12" ht="15.75" customHeight="1">
      <c r="A335" s="66" t="str">
        <f>IF(E335="","",VLOOKUP('Opći dio'!$C$3,'Opći dio'!$L$6:$U$137,10,FALSE))</f>
        <v/>
      </c>
      <c r="B335" s="66" t="str">
        <f>IF(E335="","",VLOOKUP('Opći dio'!$C$3,'Opći dio'!$L$6:$U$137,9,FALSE))</f>
        <v/>
      </c>
      <c r="C335" s="55" t="str">
        <f t="shared" si="17"/>
        <v/>
      </c>
      <c r="D335" s="56" t="str">
        <f t="shared" si="18"/>
        <v/>
      </c>
      <c r="E335" s="61"/>
      <c r="F335" s="58" t="str">
        <f t="shared" si="19"/>
        <v/>
      </c>
      <c r="G335" s="59"/>
      <c r="H335" s="59"/>
      <c r="I335" s="59"/>
      <c r="K335" s="44" t="str">
        <f t="shared" si="3"/>
        <v/>
      </c>
      <c r="L335" s="44" t="str">
        <f t="shared" si="4"/>
        <v/>
      </c>
    </row>
    <row r="336" spans="1:12" ht="15.75" customHeight="1">
      <c r="A336" s="66" t="str">
        <f>IF(E336="","",VLOOKUP('Opći dio'!$C$3,'Opći dio'!$L$6:$U$137,10,FALSE))</f>
        <v/>
      </c>
      <c r="B336" s="66" t="str">
        <f>IF(E336="","",VLOOKUP('Opći dio'!$C$3,'Opći dio'!$L$6:$U$137,9,FALSE))</f>
        <v/>
      </c>
      <c r="C336" s="55" t="str">
        <f t="shared" si="17"/>
        <v/>
      </c>
      <c r="D336" s="56" t="str">
        <f t="shared" si="18"/>
        <v/>
      </c>
      <c r="E336" s="61"/>
      <c r="F336" s="58" t="str">
        <f t="shared" si="19"/>
        <v/>
      </c>
      <c r="G336" s="59"/>
      <c r="H336" s="59"/>
      <c r="I336" s="59"/>
      <c r="K336" s="44" t="str">
        <f t="shared" si="3"/>
        <v/>
      </c>
      <c r="L336" s="44" t="str">
        <f t="shared" si="4"/>
        <v/>
      </c>
    </row>
    <row r="337" spans="1:12" ht="15.75" customHeight="1">
      <c r="A337" s="66" t="str">
        <f>IF(E337="","",VLOOKUP('Opći dio'!$C$3,'Opći dio'!$L$6:$U$137,10,FALSE))</f>
        <v/>
      </c>
      <c r="B337" s="66" t="str">
        <f>IF(E337="","",VLOOKUP('Opći dio'!$C$3,'Opći dio'!$L$6:$U$137,9,FALSE))</f>
        <v/>
      </c>
      <c r="C337" s="55" t="str">
        <f t="shared" si="17"/>
        <v/>
      </c>
      <c r="D337" s="56" t="str">
        <f t="shared" si="18"/>
        <v/>
      </c>
      <c r="E337" s="61"/>
      <c r="F337" s="58" t="str">
        <f t="shared" si="19"/>
        <v/>
      </c>
      <c r="G337" s="59"/>
      <c r="H337" s="59"/>
      <c r="I337" s="59"/>
      <c r="K337" s="44" t="str">
        <f t="shared" si="3"/>
        <v/>
      </c>
      <c r="L337" s="44" t="str">
        <f t="shared" si="4"/>
        <v/>
      </c>
    </row>
    <row r="338" spans="1:12" ht="15.75" customHeight="1">
      <c r="A338" s="66" t="str">
        <f>IF(E338="","",VLOOKUP('Opći dio'!$C$3,'Opći dio'!$L$6:$U$137,10,FALSE))</f>
        <v/>
      </c>
      <c r="B338" s="66" t="str">
        <f>IF(E338="","",VLOOKUP('Opći dio'!$C$3,'Opći dio'!$L$6:$U$137,9,FALSE))</f>
        <v/>
      </c>
      <c r="C338" s="55" t="str">
        <f t="shared" si="17"/>
        <v/>
      </c>
      <c r="D338" s="56" t="str">
        <f t="shared" si="18"/>
        <v/>
      </c>
      <c r="E338" s="61"/>
      <c r="F338" s="58" t="str">
        <f t="shared" si="19"/>
        <v/>
      </c>
      <c r="G338" s="59"/>
      <c r="H338" s="59"/>
      <c r="I338" s="59"/>
      <c r="K338" s="44" t="str">
        <f t="shared" si="3"/>
        <v/>
      </c>
      <c r="L338" s="44" t="str">
        <f t="shared" si="4"/>
        <v/>
      </c>
    </row>
    <row r="339" spans="1:12" ht="15.75" customHeight="1">
      <c r="A339" s="66" t="str">
        <f>IF(E339="","",VLOOKUP('Opći dio'!$C$3,'Opći dio'!$L$6:$U$137,10,FALSE))</f>
        <v/>
      </c>
      <c r="B339" s="66" t="str">
        <f>IF(E339="","",VLOOKUP('Opći dio'!$C$3,'Opći dio'!$L$6:$U$137,9,FALSE))</f>
        <v/>
      </c>
      <c r="C339" s="55" t="str">
        <f t="shared" si="17"/>
        <v/>
      </c>
      <c r="D339" s="56" t="str">
        <f t="shared" si="18"/>
        <v/>
      </c>
      <c r="E339" s="61"/>
      <c r="F339" s="58" t="str">
        <f t="shared" si="19"/>
        <v/>
      </c>
      <c r="G339" s="59"/>
      <c r="H339" s="59"/>
      <c r="I339" s="59"/>
      <c r="K339" s="44" t="str">
        <f t="shared" si="3"/>
        <v/>
      </c>
      <c r="L339" s="44" t="str">
        <f t="shared" si="4"/>
        <v/>
      </c>
    </row>
    <row r="340" spans="1:12" ht="15.75" customHeight="1">
      <c r="A340" s="66" t="str">
        <f>IF(E340="","",VLOOKUP('Opći dio'!$C$3,'Opći dio'!$L$6:$U$137,10,FALSE))</f>
        <v/>
      </c>
      <c r="B340" s="66" t="str">
        <f>IF(E340="","",VLOOKUP('Opći dio'!$C$3,'Opći dio'!$L$6:$U$137,9,FALSE))</f>
        <v/>
      </c>
      <c r="C340" s="55" t="str">
        <f t="shared" si="17"/>
        <v/>
      </c>
      <c r="D340" s="56" t="str">
        <f t="shared" si="18"/>
        <v/>
      </c>
      <c r="E340" s="61"/>
      <c r="F340" s="58" t="str">
        <f t="shared" si="19"/>
        <v/>
      </c>
      <c r="G340" s="59"/>
      <c r="H340" s="59"/>
      <c r="I340" s="59"/>
      <c r="K340" s="44" t="str">
        <f t="shared" si="3"/>
        <v/>
      </c>
      <c r="L340" s="44" t="str">
        <f t="shared" si="4"/>
        <v/>
      </c>
    </row>
    <row r="341" spans="1:12" ht="15.75" customHeight="1">
      <c r="A341" s="66" t="str">
        <f>IF(E341="","",VLOOKUP('Opći dio'!$C$3,'Opći dio'!$L$6:$U$137,10,FALSE))</f>
        <v/>
      </c>
      <c r="B341" s="66" t="str">
        <f>IF(E341="","",VLOOKUP('Opći dio'!$C$3,'Opći dio'!$L$6:$U$137,9,FALSE))</f>
        <v/>
      </c>
      <c r="C341" s="55" t="str">
        <f t="shared" si="17"/>
        <v/>
      </c>
      <c r="D341" s="56" t="str">
        <f t="shared" si="18"/>
        <v/>
      </c>
      <c r="E341" s="61"/>
      <c r="F341" s="58" t="str">
        <f t="shared" si="19"/>
        <v/>
      </c>
      <c r="G341" s="59"/>
      <c r="H341" s="59"/>
      <c r="I341" s="59"/>
      <c r="K341" s="44" t="str">
        <f t="shared" si="3"/>
        <v/>
      </c>
      <c r="L341" s="44" t="str">
        <f t="shared" si="4"/>
        <v/>
      </c>
    </row>
    <row r="342" spans="1:12" ht="15.75" customHeight="1">
      <c r="A342" s="66" t="str">
        <f>IF(E342="","",VLOOKUP('Opći dio'!$C$3,'Opći dio'!$L$6:$U$137,10,FALSE))</f>
        <v/>
      </c>
      <c r="B342" s="66" t="str">
        <f>IF(E342="","",VLOOKUP('Opći dio'!$C$3,'Opći dio'!$L$6:$U$137,9,FALSE))</f>
        <v/>
      </c>
      <c r="C342" s="55" t="str">
        <f t="shared" si="17"/>
        <v/>
      </c>
      <c r="D342" s="56" t="str">
        <f t="shared" si="18"/>
        <v/>
      </c>
      <c r="E342" s="61"/>
      <c r="F342" s="58" t="str">
        <f t="shared" si="19"/>
        <v/>
      </c>
      <c r="G342" s="59"/>
      <c r="H342" s="59"/>
      <c r="I342" s="59"/>
      <c r="K342" s="44" t="str">
        <f t="shared" si="3"/>
        <v/>
      </c>
      <c r="L342" s="44" t="str">
        <f t="shared" si="4"/>
        <v/>
      </c>
    </row>
    <row r="343" spans="1:12" ht="15.75" customHeight="1">
      <c r="A343" s="66" t="str">
        <f>IF(E343="","",VLOOKUP('Opći dio'!$C$3,'Opći dio'!$L$6:$U$137,10,FALSE))</f>
        <v/>
      </c>
      <c r="B343" s="66" t="str">
        <f>IF(E343="","",VLOOKUP('Opći dio'!$C$3,'Opći dio'!$L$6:$U$137,9,FALSE))</f>
        <v/>
      </c>
      <c r="C343" s="55" t="str">
        <f t="shared" si="17"/>
        <v/>
      </c>
      <c r="D343" s="56" t="str">
        <f t="shared" si="18"/>
        <v/>
      </c>
      <c r="E343" s="61"/>
      <c r="F343" s="58" t="str">
        <f t="shared" si="19"/>
        <v/>
      </c>
      <c r="G343" s="59"/>
      <c r="H343" s="59"/>
      <c r="I343" s="59"/>
      <c r="K343" s="44" t="str">
        <f t="shared" si="3"/>
        <v/>
      </c>
      <c r="L343" s="44" t="str">
        <f t="shared" si="4"/>
        <v/>
      </c>
    </row>
    <row r="344" spans="1:12" ht="15.75" customHeight="1">
      <c r="A344" s="66" t="str">
        <f>IF(E344="","",VLOOKUP('Opći dio'!$C$3,'Opći dio'!$L$6:$U$137,10,FALSE))</f>
        <v/>
      </c>
      <c r="B344" s="66" t="str">
        <f>IF(E344="","",VLOOKUP('Opći dio'!$C$3,'Opći dio'!$L$6:$U$137,9,FALSE))</f>
        <v/>
      </c>
      <c r="C344" s="55" t="str">
        <f t="shared" si="17"/>
        <v/>
      </c>
      <c r="D344" s="56" t="str">
        <f t="shared" si="18"/>
        <v/>
      </c>
      <c r="E344" s="61"/>
      <c r="F344" s="58" t="str">
        <f t="shared" si="19"/>
        <v/>
      </c>
      <c r="G344" s="59"/>
      <c r="H344" s="59"/>
      <c r="I344" s="59"/>
      <c r="K344" s="44" t="str">
        <f t="shared" si="3"/>
        <v/>
      </c>
      <c r="L344" s="44" t="str">
        <f t="shared" si="4"/>
        <v/>
      </c>
    </row>
    <row r="345" spans="1:12" ht="15.75" customHeight="1">
      <c r="A345" s="66" t="str">
        <f>IF(E345="","",VLOOKUP('Opći dio'!$C$3,'Opći dio'!$L$6:$U$137,10,FALSE))</f>
        <v/>
      </c>
      <c r="B345" s="66" t="str">
        <f>IF(E345="","",VLOOKUP('Opći dio'!$C$3,'Opći dio'!$L$6:$U$137,9,FALSE))</f>
        <v/>
      </c>
      <c r="C345" s="55" t="str">
        <f t="shared" si="17"/>
        <v/>
      </c>
      <c r="D345" s="56" t="str">
        <f t="shared" si="18"/>
        <v/>
      </c>
      <c r="E345" s="61"/>
      <c r="F345" s="58" t="str">
        <f t="shared" si="19"/>
        <v/>
      </c>
      <c r="G345" s="59"/>
      <c r="H345" s="59"/>
      <c r="I345" s="59"/>
      <c r="K345" s="44" t="str">
        <f t="shared" si="3"/>
        <v/>
      </c>
      <c r="L345" s="44" t="str">
        <f t="shared" si="4"/>
        <v/>
      </c>
    </row>
    <row r="346" spans="1:12" ht="15.75" customHeight="1">
      <c r="A346" s="66" t="str">
        <f>IF(E346="","",VLOOKUP('Opći dio'!$C$3,'Opći dio'!$L$6:$U$137,10,FALSE))</f>
        <v/>
      </c>
      <c r="B346" s="66" t="str">
        <f>IF(E346="","",VLOOKUP('Opći dio'!$C$3,'Opći dio'!$L$6:$U$137,9,FALSE))</f>
        <v/>
      </c>
      <c r="C346" s="55" t="str">
        <f t="shared" si="17"/>
        <v/>
      </c>
      <c r="D346" s="56" t="str">
        <f t="shared" si="18"/>
        <v/>
      </c>
      <c r="E346" s="61"/>
      <c r="F346" s="58" t="str">
        <f t="shared" si="19"/>
        <v/>
      </c>
      <c r="G346" s="59"/>
      <c r="H346" s="59"/>
      <c r="I346" s="59"/>
      <c r="K346" s="44" t="str">
        <f t="shared" si="3"/>
        <v/>
      </c>
      <c r="L346" s="44" t="str">
        <f t="shared" si="4"/>
        <v/>
      </c>
    </row>
    <row r="347" spans="1:12" ht="15.75" customHeight="1">
      <c r="A347" s="66" t="str">
        <f>IF(E347="","",VLOOKUP('Opći dio'!$C$3,'Opći dio'!$L$6:$U$137,10,FALSE))</f>
        <v/>
      </c>
      <c r="B347" s="66" t="str">
        <f>IF(E347="","",VLOOKUP('Opći dio'!$C$3,'Opći dio'!$L$6:$U$137,9,FALSE))</f>
        <v/>
      </c>
      <c r="C347" s="55" t="str">
        <f t="shared" si="17"/>
        <v/>
      </c>
      <c r="D347" s="56" t="str">
        <f t="shared" si="18"/>
        <v/>
      </c>
      <c r="E347" s="61"/>
      <c r="F347" s="58" t="str">
        <f t="shared" si="19"/>
        <v/>
      </c>
      <c r="G347" s="59"/>
      <c r="H347" s="59"/>
      <c r="I347" s="59"/>
      <c r="K347" s="44" t="str">
        <f t="shared" si="3"/>
        <v/>
      </c>
      <c r="L347" s="44" t="str">
        <f t="shared" si="4"/>
        <v/>
      </c>
    </row>
    <row r="348" spans="1:12" ht="15.75" customHeight="1">
      <c r="A348" s="66" t="str">
        <f>IF(E348="","",VLOOKUP('Opći dio'!$C$3,'Opći dio'!$L$6:$U$137,10,FALSE))</f>
        <v/>
      </c>
      <c r="B348" s="66" t="str">
        <f>IF(E348="","",VLOOKUP('Opći dio'!$C$3,'Opći dio'!$L$6:$U$137,9,FALSE))</f>
        <v/>
      </c>
      <c r="C348" s="55" t="str">
        <f t="shared" si="17"/>
        <v/>
      </c>
      <c r="D348" s="56" t="str">
        <f t="shared" si="18"/>
        <v/>
      </c>
      <c r="E348" s="61"/>
      <c r="F348" s="58" t="str">
        <f t="shared" si="19"/>
        <v/>
      </c>
      <c r="G348" s="59"/>
      <c r="H348" s="59"/>
      <c r="I348" s="59"/>
      <c r="K348" s="44" t="str">
        <f t="shared" si="3"/>
        <v/>
      </c>
      <c r="L348" s="44" t="str">
        <f t="shared" si="4"/>
        <v/>
      </c>
    </row>
    <row r="349" spans="1:12" ht="15.75" customHeight="1">
      <c r="A349" s="66" t="str">
        <f>IF(E349="","",VLOOKUP('Opći dio'!$C$3,'Opći dio'!$L$6:$U$137,10,FALSE))</f>
        <v/>
      </c>
      <c r="B349" s="66" t="str">
        <f>IF(E349="","",VLOOKUP('Opći dio'!$C$3,'Opći dio'!$L$6:$U$137,9,FALSE))</f>
        <v/>
      </c>
      <c r="C349" s="55" t="str">
        <f t="shared" si="17"/>
        <v/>
      </c>
      <c r="D349" s="56" t="str">
        <f t="shared" si="18"/>
        <v/>
      </c>
      <c r="E349" s="61"/>
      <c r="F349" s="58" t="str">
        <f t="shared" si="19"/>
        <v/>
      </c>
      <c r="G349" s="59"/>
      <c r="H349" s="59"/>
      <c r="I349" s="59"/>
      <c r="K349" s="44" t="str">
        <f t="shared" si="3"/>
        <v/>
      </c>
      <c r="L349" s="44" t="str">
        <f t="shared" si="4"/>
        <v/>
      </c>
    </row>
    <row r="350" spans="1:12" ht="15.75" customHeight="1">
      <c r="A350" s="66" t="str">
        <f>IF(E350="","",VLOOKUP('Opći dio'!$C$3,'Opći dio'!$L$6:$U$137,10,FALSE))</f>
        <v/>
      </c>
      <c r="B350" s="66" t="str">
        <f>IF(E350="","",VLOOKUP('Opći dio'!$C$3,'Opći dio'!$L$6:$U$137,9,FALSE))</f>
        <v/>
      </c>
      <c r="C350" s="55" t="str">
        <f t="shared" si="17"/>
        <v/>
      </c>
      <c r="D350" s="56" t="str">
        <f t="shared" si="18"/>
        <v/>
      </c>
      <c r="E350" s="61"/>
      <c r="F350" s="58" t="str">
        <f t="shared" si="19"/>
        <v/>
      </c>
      <c r="G350" s="59"/>
      <c r="H350" s="59"/>
      <c r="I350" s="59"/>
      <c r="K350" s="44" t="str">
        <f t="shared" si="3"/>
        <v/>
      </c>
      <c r="L350" s="44" t="str">
        <f t="shared" si="4"/>
        <v/>
      </c>
    </row>
    <row r="351" spans="1:12" ht="15.75" customHeight="1">
      <c r="A351" s="66" t="str">
        <f>IF(E351="","",VLOOKUP('Opći dio'!$C$3,'Opći dio'!$L$6:$U$137,10,FALSE))</f>
        <v/>
      </c>
      <c r="B351" s="66" t="str">
        <f>IF(E351="","",VLOOKUP('Opći dio'!$C$3,'Opći dio'!$L$6:$U$137,9,FALSE))</f>
        <v/>
      </c>
      <c r="C351" s="55" t="str">
        <f t="shared" si="17"/>
        <v/>
      </c>
      <c r="D351" s="56" t="str">
        <f t="shared" si="18"/>
        <v/>
      </c>
      <c r="E351" s="61"/>
      <c r="F351" s="58" t="str">
        <f t="shared" si="19"/>
        <v/>
      </c>
      <c r="G351" s="59"/>
      <c r="H351" s="59"/>
      <c r="I351" s="59"/>
      <c r="K351" s="44" t="str">
        <f t="shared" si="3"/>
        <v/>
      </c>
      <c r="L351" s="44" t="str">
        <f t="shared" si="4"/>
        <v/>
      </c>
    </row>
    <row r="352" spans="1:12" ht="15.75" customHeight="1">
      <c r="A352" s="66" t="str">
        <f>IF(E352="","",VLOOKUP('Opći dio'!$C$3,'Opći dio'!$L$6:$U$137,10,FALSE))</f>
        <v/>
      </c>
      <c r="B352" s="66" t="str">
        <f>IF(E352="","",VLOOKUP('Opći dio'!$C$3,'Opći dio'!$L$6:$U$137,9,FALSE))</f>
        <v/>
      </c>
      <c r="C352" s="55" t="str">
        <f t="shared" si="17"/>
        <v/>
      </c>
      <c r="D352" s="56" t="str">
        <f t="shared" si="18"/>
        <v/>
      </c>
      <c r="E352" s="61"/>
      <c r="F352" s="58" t="str">
        <f t="shared" si="19"/>
        <v/>
      </c>
      <c r="G352" s="59"/>
      <c r="H352" s="59"/>
      <c r="I352" s="59"/>
      <c r="K352" s="44" t="str">
        <f t="shared" si="3"/>
        <v/>
      </c>
      <c r="L352" s="44" t="str">
        <f t="shared" si="4"/>
        <v/>
      </c>
    </row>
    <row r="353" spans="1:12" ht="15.75" customHeight="1">
      <c r="A353" s="66" t="str">
        <f>IF(E353="","",VLOOKUP('Opći dio'!$C$3,'Opći dio'!$L$6:$U$137,10,FALSE))</f>
        <v/>
      </c>
      <c r="B353" s="66" t="str">
        <f>IF(E353="","",VLOOKUP('Opći dio'!$C$3,'Opći dio'!$L$6:$U$137,9,FALSE))</f>
        <v/>
      </c>
      <c r="C353" s="55" t="str">
        <f t="shared" si="17"/>
        <v/>
      </c>
      <c r="D353" s="56" t="str">
        <f t="shared" si="18"/>
        <v/>
      </c>
      <c r="E353" s="61"/>
      <c r="F353" s="58" t="str">
        <f t="shared" si="19"/>
        <v/>
      </c>
      <c r="G353" s="59"/>
      <c r="H353" s="59"/>
      <c r="I353" s="59"/>
      <c r="K353" s="44" t="str">
        <f t="shared" si="3"/>
        <v/>
      </c>
      <c r="L353" s="44" t="str">
        <f t="shared" si="4"/>
        <v/>
      </c>
    </row>
    <row r="354" spans="1:12" ht="15.75" customHeight="1">
      <c r="A354" s="66" t="str">
        <f>IF(E354="","",VLOOKUP('Opći dio'!$C$3,'Opći dio'!$L$6:$U$137,10,FALSE))</f>
        <v/>
      </c>
      <c r="B354" s="66" t="str">
        <f>IF(E354="","",VLOOKUP('Opći dio'!$C$3,'Opći dio'!$L$6:$U$137,9,FALSE))</f>
        <v/>
      </c>
      <c r="C354" s="55" t="str">
        <f t="shared" si="17"/>
        <v/>
      </c>
      <c r="D354" s="56" t="str">
        <f t="shared" si="18"/>
        <v/>
      </c>
      <c r="E354" s="61"/>
      <c r="F354" s="58" t="str">
        <f t="shared" si="19"/>
        <v/>
      </c>
      <c r="G354" s="59"/>
      <c r="H354" s="59"/>
      <c r="I354" s="59"/>
      <c r="K354" s="44" t="str">
        <f t="shared" si="3"/>
        <v/>
      </c>
      <c r="L354" s="44" t="str">
        <f t="shared" si="4"/>
        <v/>
      </c>
    </row>
    <row r="355" spans="1:12" ht="15.75" customHeight="1">
      <c r="A355" s="66" t="str">
        <f>IF(E355="","",VLOOKUP('Opći dio'!$C$3,'Opći dio'!$L$6:$U$137,10,FALSE))</f>
        <v/>
      </c>
      <c r="B355" s="66" t="str">
        <f>IF(E355="","",VLOOKUP('Opći dio'!$C$3,'Opći dio'!$L$6:$U$137,9,FALSE))</f>
        <v/>
      </c>
      <c r="C355" s="55" t="str">
        <f t="shared" si="17"/>
        <v/>
      </c>
      <c r="D355" s="56" t="str">
        <f t="shared" si="18"/>
        <v/>
      </c>
      <c r="E355" s="61"/>
      <c r="F355" s="58" t="str">
        <f t="shared" si="19"/>
        <v/>
      </c>
      <c r="G355" s="59"/>
      <c r="H355" s="59"/>
      <c r="I355" s="59"/>
      <c r="K355" s="44" t="str">
        <f t="shared" si="3"/>
        <v/>
      </c>
      <c r="L355" s="44" t="str">
        <f t="shared" si="4"/>
        <v/>
      </c>
    </row>
    <row r="356" spans="1:12" ht="15.75" customHeight="1">
      <c r="A356" s="66" t="str">
        <f>IF(E356="","",VLOOKUP('Opći dio'!$C$3,'Opći dio'!$L$6:$U$137,10,FALSE))</f>
        <v/>
      </c>
      <c r="B356" s="66" t="str">
        <f>IF(E356="","",VLOOKUP('Opći dio'!$C$3,'Opći dio'!$L$6:$U$137,9,FALSE))</f>
        <v/>
      </c>
      <c r="C356" s="55" t="str">
        <f t="shared" si="17"/>
        <v/>
      </c>
      <c r="D356" s="56" t="str">
        <f t="shared" si="18"/>
        <v/>
      </c>
      <c r="E356" s="61"/>
      <c r="F356" s="58" t="str">
        <f t="shared" si="19"/>
        <v/>
      </c>
      <c r="G356" s="59"/>
      <c r="H356" s="59"/>
      <c r="I356" s="59"/>
      <c r="K356" s="44" t="str">
        <f t="shared" si="3"/>
        <v/>
      </c>
      <c r="L356" s="44" t="str">
        <f t="shared" si="4"/>
        <v/>
      </c>
    </row>
    <row r="357" spans="1:12" ht="15.75" customHeight="1">
      <c r="A357" s="66" t="str">
        <f>IF(E357="","",VLOOKUP('Opći dio'!$C$3,'Opći dio'!$L$6:$U$137,10,FALSE))</f>
        <v/>
      </c>
      <c r="B357" s="66" t="str">
        <f>IF(E357="","",VLOOKUP('Opći dio'!$C$3,'Opći dio'!$L$6:$U$137,9,FALSE))</f>
        <v/>
      </c>
      <c r="C357" s="55" t="str">
        <f t="shared" si="17"/>
        <v/>
      </c>
      <c r="D357" s="56" t="str">
        <f t="shared" si="18"/>
        <v/>
      </c>
      <c r="E357" s="61"/>
      <c r="F357" s="58" t="str">
        <f t="shared" si="19"/>
        <v/>
      </c>
      <c r="G357" s="59"/>
      <c r="H357" s="59"/>
      <c r="I357" s="59"/>
      <c r="K357" s="44" t="str">
        <f t="shared" si="3"/>
        <v/>
      </c>
      <c r="L357" s="44" t="str">
        <f t="shared" si="4"/>
        <v/>
      </c>
    </row>
    <row r="358" spans="1:12" ht="15.75" customHeight="1">
      <c r="A358" s="66" t="str">
        <f>IF(E358="","",VLOOKUP('Opći dio'!$C$3,'Opći dio'!$L$6:$U$137,10,FALSE))</f>
        <v/>
      </c>
      <c r="B358" s="66" t="str">
        <f>IF(E358="","",VLOOKUP('Opći dio'!$C$3,'Opći dio'!$L$6:$U$137,9,FALSE))</f>
        <v/>
      </c>
      <c r="C358" s="55" t="str">
        <f t="shared" si="17"/>
        <v/>
      </c>
      <c r="D358" s="56" t="str">
        <f t="shared" si="18"/>
        <v/>
      </c>
      <c r="E358" s="61"/>
      <c r="F358" s="58" t="str">
        <f t="shared" si="19"/>
        <v/>
      </c>
      <c r="G358" s="59"/>
      <c r="H358" s="59"/>
      <c r="I358" s="59"/>
      <c r="K358" s="44" t="str">
        <f t="shared" si="3"/>
        <v/>
      </c>
      <c r="L358" s="44" t="str">
        <f t="shared" si="4"/>
        <v/>
      </c>
    </row>
    <row r="359" spans="1:12" ht="15.75" customHeight="1">
      <c r="A359" s="66" t="str">
        <f>IF(E359="","",VLOOKUP('Opći dio'!$C$3,'Opći dio'!$L$6:$U$137,10,FALSE))</f>
        <v/>
      </c>
      <c r="B359" s="66" t="str">
        <f>IF(E359="","",VLOOKUP('Opći dio'!$C$3,'Opći dio'!$L$6:$U$137,9,FALSE))</f>
        <v/>
      </c>
      <c r="C359" s="55" t="str">
        <f t="shared" si="17"/>
        <v/>
      </c>
      <c r="D359" s="56" t="str">
        <f t="shared" si="18"/>
        <v/>
      </c>
      <c r="E359" s="61"/>
      <c r="F359" s="58" t="str">
        <f t="shared" si="19"/>
        <v/>
      </c>
      <c r="G359" s="59"/>
      <c r="H359" s="59"/>
      <c r="I359" s="59"/>
      <c r="K359" s="44" t="str">
        <f t="shared" si="3"/>
        <v/>
      </c>
      <c r="L359" s="44" t="str">
        <f t="shared" si="4"/>
        <v/>
      </c>
    </row>
    <row r="360" spans="1:12" ht="15.75" customHeight="1">
      <c r="A360" s="66" t="str">
        <f>IF(E360="","",VLOOKUP('Opći dio'!$C$3,'Opći dio'!$L$6:$U$137,10,FALSE))</f>
        <v/>
      </c>
      <c r="B360" s="66" t="str">
        <f>IF(E360="","",VLOOKUP('Opći dio'!$C$3,'Opći dio'!$L$6:$U$137,9,FALSE))</f>
        <v/>
      </c>
      <c r="C360" s="55" t="str">
        <f t="shared" si="17"/>
        <v/>
      </c>
      <c r="D360" s="56" t="str">
        <f t="shared" si="18"/>
        <v/>
      </c>
      <c r="E360" s="61"/>
      <c r="F360" s="58" t="str">
        <f t="shared" si="19"/>
        <v/>
      </c>
      <c r="G360" s="59"/>
      <c r="H360" s="59"/>
      <c r="I360" s="59"/>
      <c r="K360" s="44" t="str">
        <f t="shared" si="3"/>
        <v/>
      </c>
      <c r="L360" s="44" t="str">
        <f t="shared" si="4"/>
        <v/>
      </c>
    </row>
    <row r="361" spans="1:12" ht="15.75" customHeight="1">
      <c r="A361" s="66" t="str">
        <f>IF(E361="","",VLOOKUP('Opći dio'!$C$3,'Opći dio'!$L$6:$U$137,10,FALSE))</f>
        <v/>
      </c>
      <c r="B361" s="66" t="str">
        <f>IF(E361="","",VLOOKUP('Opći dio'!$C$3,'Opći dio'!$L$6:$U$137,9,FALSE))</f>
        <v/>
      </c>
      <c r="C361" s="55" t="str">
        <f t="shared" si="17"/>
        <v/>
      </c>
      <c r="D361" s="56" t="str">
        <f t="shared" si="18"/>
        <v/>
      </c>
      <c r="E361" s="61"/>
      <c r="F361" s="58" t="str">
        <f t="shared" si="19"/>
        <v/>
      </c>
      <c r="G361" s="59"/>
      <c r="H361" s="59"/>
      <c r="I361" s="59"/>
      <c r="K361" s="44" t="str">
        <f t="shared" si="3"/>
        <v/>
      </c>
      <c r="L361" s="44" t="str">
        <f t="shared" si="4"/>
        <v/>
      </c>
    </row>
    <row r="362" spans="1:12" ht="15.75" customHeight="1">
      <c r="A362" s="66" t="str">
        <f>IF(E362="","",VLOOKUP('Opći dio'!$C$3,'Opći dio'!$L$6:$U$137,10,FALSE))</f>
        <v/>
      </c>
      <c r="B362" s="66" t="str">
        <f>IF(E362="","",VLOOKUP('Opći dio'!$C$3,'Opći dio'!$L$6:$U$137,9,FALSE))</f>
        <v/>
      </c>
      <c r="C362" s="55" t="str">
        <f t="shared" si="17"/>
        <v/>
      </c>
      <c r="D362" s="56" t="str">
        <f t="shared" si="18"/>
        <v/>
      </c>
      <c r="E362" s="61"/>
      <c r="F362" s="58" t="str">
        <f t="shared" si="19"/>
        <v/>
      </c>
      <c r="G362" s="59"/>
      <c r="H362" s="59"/>
      <c r="I362" s="59"/>
      <c r="K362" s="44" t="str">
        <f t="shared" si="3"/>
        <v/>
      </c>
      <c r="L362" s="44" t="str">
        <f t="shared" si="4"/>
        <v/>
      </c>
    </row>
    <row r="363" spans="1:12" ht="15.75" customHeight="1">
      <c r="A363" s="66" t="str">
        <f>IF(E363="","",VLOOKUP('Opći dio'!$C$3,'Opći dio'!$L$6:$U$137,10,FALSE))</f>
        <v/>
      </c>
      <c r="B363" s="66" t="str">
        <f>IF(E363="","",VLOOKUP('Opći dio'!$C$3,'Opći dio'!$L$6:$U$137,9,FALSE))</f>
        <v/>
      </c>
      <c r="C363" s="55" t="str">
        <f t="shared" si="17"/>
        <v/>
      </c>
      <c r="D363" s="56" t="str">
        <f t="shared" si="18"/>
        <v/>
      </c>
      <c r="E363" s="61"/>
      <c r="F363" s="58" t="str">
        <f t="shared" si="19"/>
        <v/>
      </c>
      <c r="G363" s="59"/>
      <c r="H363" s="59"/>
      <c r="I363" s="59"/>
      <c r="K363" s="44" t="str">
        <f t="shared" si="3"/>
        <v/>
      </c>
      <c r="L363" s="44" t="str">
        <f t="shared" si="4"/>
        <v/>
      </c>
    </row>
    <row r="364" spans="1:12" ht="15.75" customHeight="1">
      <c r="A364" s="66" t="str">
        <f>IF(E364="","",VLOOKUP('Opći dio'!$C$3,'Opći dio'!$L$6:$U$137,10,FALSE))</f>
        <v/>
      </c>
      <c r="B364" s="66" t="str">
        <f>IF(E364="","",VLOOKUP('Opći dio'!$C$3,'Opći dio'!$L$6:$U$137,9,FALSE))</f>
        <v/>
      </c>
      <c r="C364" s="55" t="str">
        <f t="shared" si="17"/>
        <v/>
      </c>
      <c r="D364" s="56" t="str">
        <f t="shared" si="18"/>
        <v/>
      </c>
      <c r="E364" s="61"/>
      <c r="F364" s="58" t="str">
        <f t="shared" si="19"/>
        <v/>
      </c>
      <c r="G364" s="59"/>
      <c r="H364" s="59"/>
      <c r="I364" s="59"/>
      <c r="K364" s="44" t="str">
        <f t="shared" si="3"/>
        <v/>
      </c>
      <c r="L364" s="44" t="str">
        <f t="shared" si="4"/>
        <v/>
      </c>
    </row>
    <row r="365" spans="1:12" ht="15.75" customHeight="1">
      <c r="A365" s="66" t="str">
        <f>IF(E365="","",VLOOKUP('Opći dio'!$C$3,'Opći dio'!$L$6:$U$137,10,FALSE))</f>
        <v/>
      </c>
      <c r="B365" s="66" t="str">
        <f>IF(E365="","",VLOOKUP('Opći dio'!$C$3,'Opći dio'!$L$6:$U$137,9,FALSE))</f>
        <v/>
      </c>
      <c r="C365" s="55" t="str">
        <f t="shared" si="17"/>
        <v/>
      </c>
      <c r="D365" s="56" t="str">
        <f t="shared" si="18"/>
        <v/>
      </c>
      <c r="E365" s="61"/>
      <c r="F365" s="58" t="str">
        <f t="shared" si="19"/>
        <v/>
      </c>
      <c r="G365" s="59"/>
      <c r="H365" s="59"/>
      <c r="I365" s="59"/>
      <c r="K365" s="44" t="str">
        <f t="shared" si="3"/>
        <v/>
      </c>
      <c r="L365" s="44" t="str">
        <f t="shared" si="4"/>
        <v/>
      </c>
    </row>
    <row r="366" spans="1:12" ht="15.75" customHeight="1">
      <c r="A366" s="66" t="str">
        <f>IF(E366="","",VLOOKUP('Opći dio'!$C$3,'Opći dio'!$L$6:$U$137,10,FALSE))</f>
        <v/>
      </c>
      <c r="B366" s="66" t="str">
        <f>IF(E366="","",VLOOKUP('Opći dio'!$C$3,'Opći dio'!$L$6:$U$137,9,FALSE))</f>
        <v/>
      </c>
      <c r="C366" s="55" t="str">
        <f t="shared" si="17"/>
        <v/>
      </c>
      <c r="D366" s="56" t="str">
        <f t="shared" si="18"/>
        <v/>
      </c>
      <c r="E366" s="61"/>
      <c r="F366" s="58" t="str">
        <f t="shared" si="19"/>
        <v/>
      </c>
      <c r="G366" s="59"/>
      <c r="H366" s="59"/>
      <c r="I366" s="59"/>
      <c r="K366" s="44" t="str">
        <f t="shared" si="3"/>
        <v/>
      </c>
      <c r="L366" s="44" t="str">
        <f t="shared" si="4"/>
        <v/>
      </c>
    </row>
    <row r="367" spans="1:12" ht="15.75" customHeight="1">
      <c r="A367" s="66" t="str">
        <f>IF(E367="","",VLOOKUP('Opći dio'!$C$3,'Opći dio'!$L$6:$U$137,10,FALSE))</f>
        <v/>
      </c>
      <c r="B367" s="66" t="str">
        <f>IF(E367="","",VLOOKUP('Opći dio'!$C$3,'Opći dio'!$L$6:$U$137,9,FALSE))</f>
        <v/>
      </c>
      <c r="C367" s="55" t="str">
        <f t="shared" si="17"/>
        <v/>
      </c>
      <c r="D367" s="56" t="str">
        <f t="shared" si="18"/>
        <v/>
      </c>
      <c r="E367" s="61"/>
      <c r="F367" s="58" t="str">
        <f t="shared" si="19"/>
        <v/>
      </c>
      <c r="G367" s="59"/>
      <c r="H367" s="59"/>
      <c r="I367" s="59"/>
      <c r="K367" s="44" t="str">
        <f t="shared" si="3"/>
        <v/>
      </c>
      <c r="L367" s="44" t="str">
        <f t="shared" si="4"/>
        <v/>
      </c>
    </row>
    <row r="368" spans="1:12" ht="15.75" customHeight="1">
      <c r="A368" s="66" t="str">
        <f>IF(E368="","",VLOOKUP('Opći dio'!$C$3,'Opći dio'!$L$6:$U$137,10,FALSE))</f>
        <v/>
      </c>
      <c r="B368" s="66" t="str">
        <f>IF(E368="","",VLOOKUP('Opći dio'!$C$3,'Opći dio'!$L$6:$U$137,9,FALSE))</f>
        <v/>
      </c>
      <c r="C368" s="55" t="str">
        <f t="shared" si="17"/>
        <v/>
      </c>
      <c r="D368" s="56" t="str">
        <f t="shared" si="18"/>
        <v/>
      </c>
      <c r="E368" s="61"/>
      <c r="F368" s="58" t="str">
        <f t="shared" si="19"/>
        <v/>
      </c>
      <c r="G368" s="59"/>
      <c r="H368" s="59"/>
      <c r="I368" s="59"/>
      <c r="K368" s="44" t="str">
        <f t="shared" si="3"/>
        <v/>
      </c>
      <c r="L368" s="44" t="str">
        <f t="shared" si="4"/>
        <v/>
      </c>
    </row>
    <row r="369" spans="1:12" ht="15.75" customHeight="1">
      <c r="A369" s="66" t="str">
        <f>IF(E369="","",VLOOKUP('Opći dio'!$C$3,'Opći dio'!$L$6:$U$137,10,FALSE))</f>
        <v/>
      </c>
      <c r="B369" s="66" t="str">
        <f>IF(E369="","",VLOOKUP('Opći dio'!$C$3,'Opći dio'!$L$6:$U$137,9,FALSE))</f>
        <v/>
      </c>
      <c r="C369" s="55" t="str">
        <f t="shared" si="17"/>
        <v/>
      </c>
      <c r="D369" s="56" t="str">
        <f t="shared" si="18"/>
        <v/>
      </c>
      <c r="E369" s="61"/>
      <c r="F369" s="58" t="str">
        <f t="shared" si="19"/>
        <v/>
      </c>
      <c r="G369" s="59"/>
      <c r="H369" s="59"/>
      <c r="I369" s="59"/>
      <c r="K369" s="44" t="str">
        <f t="shared" si="3"/>
        <v/>
      </c>
      <c r="L369" s="44" t="str">
        <f t="shared" si="4"/>
        <v/>
      </c>
    </row>
    <row r="370" spans="1:12" ht="15.75" customHeight="1">
      <c r="A370" s="66" t="str">
        <f>IF(E370="","",VLOOKUP('Opći dio'!$C$3,'Opći dio'!$L$6:$U$137,10,FALSE))</f>
        <v/>
      </c>
      <c r="B370" s="66" t="str">
        <f>IF(E370="","",VLOOKUP('Opći dio'!$C$3,'Opći dio'!$L$6:$U$137,9,FALSE))</f>
        <v/>
      </c>
      <c r="C370" s="55" t="str">
        <f t="shared" si="17"/>
        <v/>
      </c>
      <c r="D370" s="56" t="str">
        <f t="shared" si="18"/>
        <v/>
      </c>
      <c r="E370" s="61"/>
      <c r="F370" s="58" t="str">
        <f t="shared" si="19"/>
        <v/>
      </c>
      <c r="G370" s="59"/>
      <c r="H370" s="59"/>
      <c r="I370" s="59"/>
      <c r="K370" s="44" t="str">
        <f t="shared" si="3"/>
        <v/>
      </c>
      <c r="L370" s="44" t="str">
        <f t="shared" si="4"/>
        <v/>
      </c>
    </row>
    <row r="371" spans="1:12" ht="15.75" customHeight="1">
      <c r="A371" s="66" t="str">
        <f>IF(E371="","",VLOOKUP('Opći dio'!$C$3,'Opći dio'!$L$6:$U$137,10,FALSE))</f>
        <v/>
      </c>
      <c r="B371" s="66" t="str">
        <f>IF(E371="","",VLOOKUP('Opći dio'!$C$3,'Opći dio'!$L$6:$U$137,9,FALSE))</f>
        <v/>
      </c>
      <c r="C371" s="55" t="str">
        <f t="shared" si="17"/>
        <v/>
      </c>
      <c r="D371" s="56" t="str">
        <f t="shared" si="18"/>
        <v/>
      </c>
      <c r="E371" s="61"/>
      <c r="F371" s="58" t="str">
        <f t="shared" si="19"/>
        <v/>
      </c>
      <c r="G371" s="59"/>
      <c r="H371" s="59"/>
      <c r="I371" s="59"/>
      <c r="K371" s="44" t="str">
        <f t="shared" si="3"/>
        <v/>
      </c>
      <c r="L371" s="44" t="str">
        <f t="shared" si="4"/>
        <v/>
      </c>
    </row>
    <row r="372" spans="1:12" ht="15.75" customHeight="1">
      <c r="A372" s="66" t="str">
        <f>IF(E372="","",VLOOKUP('Opći dio'!$C$3,'Opći dio'!$L$6:$U$137,10,FALSE))</f>
        <v/>
      </c>
      <c r="B372" s="66" t="str">
        <f>IF(E372="","",VLOOKUP('Opći dio'!$C$3,'Opći dio'!$L$6:$U$137,9,FALSE))</f>
        <v/>
      </c>
      <c r="C372" s="55" t="str">
        <f t="shared" si="17"/>
        <v/>
      </c>
      <c r="D372" s="56" t="str">
        <f t="shared" si="18"/>
        <v/>
      </c>
      <c r="E372" s="61"/>
      <c r="F372" s="58" t="str">
        <f t="shared" si="19"/>
        <v/>
      </c>
      <c r="G372" s="59"/>
      <c r="H372" s="59"/>
      <c r="I372" s="59"/>
      <c r="K372" s="44" t="str">
        <f t="shared" si="3"/>
        <v/>
      </c>
      <c r="L372" s="44" t="str">
        <f t="shared" si="4"/>
        <v/>
      </c>
    </row>
    <row r="373" spans="1:12" ht="15.75" customHeight="1">
      <c r="A373" s="66" t="str">
        <f>IF(E373="","",VLOOKUP('Opći dio'!$C$3,'Opći dio'!$L$6:$U$137,10,FALSE))</f>
        <v/>
      </c>
      <c r="B373" s="66" t="str">
        <f>IF(E373="","",VLOOKUP('Opći dio'!$C$3,'Opći dio'!$L$6:$U$137,9,FALSE))</f>
        <v/>
      </c>
      <c r="C373" s="55" t="str">
        <f t="shared" si="17"/>
        <v/>
      </c>
      <c r="D373" s="56" t="str">
        <f t="shared" si="18"/>
        <v/>
      </c>
      <c r="E373" s="61"/>
      <c r="F373" s="58" t="str">
        <f t="shared" si="19"/>
        <v/>
      </c>
      <c r="G373" s="59"/>
      <c r="H373" s="59"/>
      <c r="I373" s="59"/>
      <c r="K373" s="44" t="str">
        <f t="shared" si="3"/>
        <v/>
      </c>
      <c r="L373" s="44" t="str">
        <f t="shared" si="4"/>
        <v/>
      </c>
    </row>
    <row r="374" spans="1:12" ht="15.75" customHeight="1">
      <c r="A374" s="66" t="str">
        <f>IF(E374="","",VLOOKUP('Opći dio'!$C$3,'Opći dio'!$L$6:$U$137,10,FALSE))</f>
        <v/>
      </c>
      <c r="B374" s="66" t="str">
        <f>IF(E374="","",VLOOKUP('Opći dio'!$C$3,'Opći dio'!$L$6:$U$137,9,FALSE))</f>
        <v/>
      </c>
      <c r="C374" s="55" t="str">
        <f t="shared" si="17"/>
        <v/>
      </c>
      <c r="D374" s="56" t="str">
        <f t="shared" si="18"/>
        <v/>
      </c>
      <c r="E374" s="61"/>
      <c r="F374" s="58" t="str">
        <f t="shared" si="19"/>
        <v/>
      </c>
      <c r="G374" s="59"/>
      <c r="H374" s="59"/>
      <c r="I374" s="59"/>
      <c r="K374" s="44" t="str">
        <f t="shared" si="3"/>
        <v/>
      </c>
      <c r="L374" s="44" t="str">
        <f t="shared" si="4"/>
        <v/>
      </c>
    </row>
    <row r="375" spans="1:12" ht="15.75" customHeight="1">
      <c r="A375" s="66" t="str">
        <f>IF(E375="","",VLOOKUP('Opći dio'!$C$3,'Opći dio'!$L$6:$U$137,10,FALSE))</f>
        <v/>
      </c>
      <c r="B375" s="66" t="str">
        <f>IF(E375="","",VLOOKUP('Opći dio'!$C$3,'Opći dio'!$L$6:$U$137,9,FALSE))</f>
        <v/>
      </c>
      <c r="C375" s="55" t="str">
        <f t="shared" si="17"/>
        <v/>
      </c>
      <c r="D375" s="56" t="str">
        <f t="shared" si="18"/>
        <v/>
      </c>
      <c r="E375" s="61"/>
      <c r="F375" s="58" t="str">
        <f t="shared" si="19"/>
        <v/>
      </c>
      <c r="G375" s="59"/>
      <c r="H375" s="59"/>
      <c r="I375" s="59"/>
      <c r="K375" s="44" t="str">
        <f t="shared" si="3"/>
        <v/>
      </c>
      <c r="L375" s="44" t="str">
        <f t="shared" si="4"/>
        <v/>
      </c>
    </row>
    <row r="376" spans="1:12" ht="15.75" customHeight="1">
      <c r="A376" s="66" t="str">
        <f>IF(E376="","",VLOOKUP('Opći dio'!$C$3,'Opći dio'!$L$6:$U$137,10,FALSE))</f>
        <v/>
      </c>
      <c r="B376" s="66" t="str">
        <f>IF(E376="","",VLOOKUP('Opći dio'!$C$3,'Opći dio'!$L$6:$U$137,9,FALSE))</f>
        <v/>
      </c>
      <c r="C376" s="55" t="str">
        <f t="shared" si="17"/>
        <v/>
      </c>
      <c r="D376" s="56" t="str">
        <f t="shared" si="18"/>
        <v/>
      </c>
      <c r="E376" s="61"/>
      <c r="F376" s="58" t="str">
        <f t="shared" si="19"/>
        <v/>
      </c>
      <c r="G376" s="59"/>
      <c r="H376" s="59"/>
      <c r="I376" s="59"/>
      <c r="K376" s="44" t="str">
        <f t="shared" si="3"/>
        <v/>
      </c>
      <c r="L376" s="44" t="str">
        <f t="shared" si="4"/>
        <v/>
      </c>
    </row>
    <row r="377" spans="1:12" ht="15.75" customHeight="1">
      <c r="A377" s="66" t="str">
        <f>IF(E377="","",VLOOKUP('Opći dio'!$C$3,'Opći dio'!$L$6:$U$137,10,FALSE))</f>
        <v/>
      </c>
      <c r="B377" s="66" t="str">
        <f>IF(E377="","",VLOOKUP('Opći dio'!$C$3,'Opći dio'!$L$6:$U$137,9,FALSE))</f>
        <v/>
      </c>
      <c r="C377" s="55" t="str">
        <f t="shared" si="17"/>
        <v/>
      </c>
      <c r="D377" s="56" t="str">
        <f t="shared" si="18"/>
        <v/>
      </c>
      <c r="E377" s="61"/>
      <c r="F377" s="58" t="str">
        <f t="shared" si="19"/>
        <v/>
      </c>
      <c r="G377" s="59"/>
      <c r="H377" s="59"/>
      <c r="I377" s="59"/>
      <c r="K377" s="44" t="str">
        <f t="shared" si="3"/>
        <v/>
      </c>
      <c r="L377" s="44" t="str">
        <f t="shared" si="4"/>
        <v/>
      </c>
    </row>
    <row r="378" spans="1:12" ht="15.75" customHeight="1">
      <c r="A378" s="66" t="str">
        <f>IF(E378="","",VLOOKUP('Opći dio'!$C$3,'Opći dio'!$L$6:$U$137,10,FALSE))</f>
        <v/>
      </c>
      <c r="B378" s="66" t="str">
        <f>IF(E378="","",VLOOKUP('Opći dio'!$C$3,'Opći dio'!$L$6:$U$137,9,FALSE))</f>
        <v/>
      </c>
      <c r="C378" s="55" t="str">
        <f t="shared" si="17"/>
        <v/>
      </c>
      <c r="D378" s="56" t="str">
        <f t="shared" si="18"/>
        <v/>
      </c>
      <c r="E378" s="61"/>
      <c r="F378" s="58" t="str">
        <f t="shared" si="19"/>
        <v/>
      </c>
      <c r="G378" s="59"/>
      <c r="H378" s="59"/>
      <c r="I378" s="59"/>
      <c r="K378" s="44" t="str">
        <f t="shared" si="3"/>
        <v/>
      </c>
      <c r="L378" s="44" t="str">
        <f t="shared" si="4"/>
        <v/>
      </c>
    </row>
    <row r="379" spans="1:12" ht="15.75" customHeight="1">
      <c r="A379" s="66" t="str">
        <f>IF(E379="","",VLOOKUP('Opći dio'!$C$3,'Opći dio'!$L$6:$U$137,10,FALSE))</f>
        <v/>
      </c>
      <c r="B379" s="66" t="str">
        <f>IF(E379="","",VLOOKUP('Opći dio'!$C$3,'Opći dio'!$L$6:$U$137,9,FALSE))</f>
        <v/>
      </c>
      <c r="C379" s="55" t="str">
        <f t="shared" si="17"/>
        <v/>
      </c>
      <c r="D379" s="56" t="str">
        <f t="shared" si="18"/>
        <v/>
      </c>
      <c r="E379" s="61"/>
      <c r="F379" s="58" t="str">
        <f t="shared" si="19"/>
        <v/>
      </c>
      <c r="G379" s="59"/>
      <c r="H379" s="59"/>
      <c r="I379" s="59"/>
      <c r="K379" s="44" t="str">
        <f t="shared" si="3"/>
        <v/>
      </c>
      <c r="L379" s="44" t="str">
        <f t="shared" si="4"/>
        <v/>
      </c>
    </row>
    <row r="380" spans="1:12" ht="15.75" customHeight="1">
      <c r="A380" s="66" t="str">
        <f>IF(E380="","",VLOOKUP('Opći dio'!$C$3,'Opći dio'!$L$6:$U$137,10,FALSE))</f>
        <v/>
      </c>
      <c r="B380" s="66" t="str">
        <f>IF(E380="","",VLOOKUP('Opći dio'!$C$3,'Opći dio'!$L$6:$U$137,9,FALSE))</f>
        <v/>
      </c>
      <c r="C380" s="55" t="str">
        <f t="shared" si="17"/>
        <v/>
      </c>
      <c r="D380" s="56" t="str">
        <f t="shared" si="18"/>
        <v/>
      </c>
      <c r="E380" s="61"/>
      <c r="F380" s="58" t="str">
        <f t="shared" si="19"/>
        <v/>
      </c>
      <c r="G380" s="59"/>
      <c r="H380" s="59"/>
      <c r="I380" s="59"/>
      <c r="K380" s="44" t="str">
        <f t="shared" si="3"/>
        <v/>
      </c>
      <c r="L380" s="44" t="str">
        <f t="shared" si="4"/>
        <v/>
      </c>
    </row>
    <row r="381" spans="1:12" ht="15.75" customHeight="1">
      <c r="A381" s="66" t="str">
        <f>IF(E381="","",VLOOKUP('Opći dio'!$C$3,'Opći dio'!$L$6:$U$137,10,FALSE))</f>
        <v/>
      </c>
      <c r="B381" s="66" t="str">
        <f>IF(E381="","",VLOOKUP('Opći dio'!$C$3,'Opći dio'!$L$6:$U$137,9,FALSE))</f>
        <v/>
      </c>
      <c r="C381" s="55" t="str">
        <f t="shared" si="17"/>
        <v/>
      </c>
      <c r="D381" s="56" t="str">
        <f t="shared" si="18"/>
        <v/>
      </c>
      <c r="E381" s="61"/>
      <c r="F381" s="58" t="str">
        <f t="shared" si="19"/>
        <v/>
      </c>
      <c r="G381" s="59"/>
      <c r="H381" s="59"/>
      <c r="I381" s="59"/>
      <c r="K381" s="44" t="str">
        <f t="shared" si="3"/>
        <v/>
      </c>
      <c r="L381" s="44" t="str">
        <f t="shared" si="4"/>
        <v/>
      </c>
    </row>
    <row r="382" spans="1:12" ht="15.75" customHeight="1">
      <c r="A382" s="66" t="str">
        <f>IF(E382="","",VLOOKUP('Opći dio'!$C$3,'Opći dio'!$L$6:$U$137,10,FALSE))</f>
        <v/>
      </c>
      <c r="B382" s="66" t="str">
        <f>IF(E382="","",VLOOKUP('Opći dio'!$C$3,'Opći dio'!$L$6:$U$137,9,FALSE))</f>
        <v/>
      </c>
      <c r="C382" s="55" t="str">
        <f t="shared" si="17"/>
        <v/>
      </c>
      <c r="D382" s="56" t="str">
        <f t="shared" si="18"/>
        <v/>
      </c>
      <c r="E382" s="61"/>
      <c r="F382" s="58" t="str">
        <f t="shared" si="19"/>
        <v/>
      </c>
      <c r="G382" s="59"/>
      <c r="H382" s="59"/>
      <c r="I382" s="59"/>
      <c r="K382" s="44" t="str">
        <f t="shared" si="3"/>
        <v/>
      </c>
      <c r="L382" s="44" t="str">
        <f t="shared" si="4"/>
        <v/>
      </c>
    </row>
    <row r="383" spans="1:12" ht="15.75" customHeight="1">
      <c r="A383" s="66" t="str">
        <f>IF(E383="","",VLOOKUP('Opći dio'!$C$3,'Opći dio'!$L$6:$U$137,10,FALSE))</f>
        <v/>
      </c>
      <c r="B383" s="66" t="str">
        <f>IF(E383="","",VLOOKUP('Opći dio'!$C$3,'Opći dio'!$L$6:$U$137,9,FALSE))</f>
        <v/>
      </c>
      <c r="C383" s="55" t="str">
        <f t="shared" si="17"/>
        <v/>
      </c>
      <c r="D383" s="56" t="str">
        <f t="shared" si="18"/>
        <v/>
      </c>
      <c r="E383" s="61"/>
      <c r="F383" s="58" t="str">
        <f t="shared" si="19"/>
        <v/>
      </c>
      <c r="G383" s="59"/>
      <c r="H383" s="59"/>
      <c r="I383" s="59"/>
      <c r="K383" s="44" t="str">
        <f t="shared" si="3"/>
        <v/>
      </c>
      <c r="L383" s="44" t="str">
        <f t="shared" si="4"/>
        <v/>
      </c>
    </row>
    <row r="384" spans="1:12" ht="15.75" customHeight="1">
      <c r="A384" s="66" t="str">
        <f>IF(E384="","",VLOOKUP('Opći dio'!$C$3,'Opći dio'!$L$6:$U$137,10,FALSE))</f>
        <v/>
      </c>
      <c r="B384" s="66" t="str">
        <f>IF(E384="","",VLOOKUP('Opći dio'!$C$3,'Opći dio'!$L$6:$U$137,9,FALSE))</f>
        <v/>
      </c>
      <c r="C384" s="55" t="str">
        <f t="shared" si="17"/>
        <v/>
      </c>
      <c r="D384" s="56" t="str">
        <f t="shared" si="18"/>
        <v/>
      </c>
      <c r="E384" s="61"/>
      <c r="F384" s="58" t="str">
        <f t="shared" si="19"/>
        <v/>
      </c>
      <c r="G384" s="59"/>
      <c r="H384" s="59"/>
      <c r="I384" s="59"/>
      <c r="K384" s="44" t="str">
        <f t="shared" si="3"/>
        <v/>
      </c>
      <c r="L384" s="44" t="str">
        <f t="shared" si="4"/>
        <v/>
      </c>
    </row>
    <row r="385" spans="1:12" ht="15.75" customHeight="1">
      <c r="A385" s="66" t="str">
        <f>IF(E385="","",VLOOKUP('Opći dio'!$C$3,'Opći dio'!$L$6:$U$137,10,FALSE))</f>
        <v/>
      </c>
      <c r="B385" s="66" t="str">
        <f>IF(E385="","",VLOOKUP('Opći dio'!$C$3,'Opći dio'!$L$6:$U$137,9,FALSE))</f>
        <v/>
      </c>
      <c r="C385" s="55" t="str">
        <f t="shared" si="17"/>
        <v/>
      </c>
      <c r="D385" s="56" t="str">
        <f t="shared" si="18"/>
        <v/>
      </c>
      <c r="E385" s="61"/>
      <c r="F385" s="58" t="str">
        <f t="shared" si="19"/>
        <v/>
      </c>
      <c r="G385" s="59"/>
      <c r="H385" s="59"/>
      <c r="I385" s="59"/>
      <c r="K385" s="44" t="str">
        <f t="shared" si="3"/>
        <v/>
      </c>
      <c r="L385" s="44" t="str">
        <f t="shared" si="4"/>
        <v/>
      </c>
    </row>
    <row r="386" spans="1:12" ht="15.75" customHeight="1">
      <c r="A386" s="66" t="str">
        <f>IF(E386="","",VLOOKUP('Opći dio'!$C$3,'Opći dio'!$L$6:$U$137,10,FALSE))</f>
        <v/>
      </c>
      <c r="B386" s="66" t="str">
        <f>IF(E386="","",VLOOKUP('Opći dio'!$C$3,'Opći dio'!$L$6:$U$137,9,FALSE))</f>
        <v/>
      </c>
      <c r="C386" s="55" t="str">
        <f t="shared" si="17"/>
        <v/>
      </c>
      <c r="D386" s="56" t="str">
        <f t="shared" si="18"/>
        <v/>
      </c>
      <c r="E386" s="61"/>
      <c r="F386" s="58" t="str">
        <f t="shared" si="19"/>
        <v/>
      </c>
      <c r="G386" s="59"/>
      <c r="H386" s="59"/>
      <c r="I386" s="59"/>
      <c r="K386" s="44" t="str">
        <f t="shared" si="3"/>
        <v/>
      </c>
      <c r="L386" s="44" t="str">
        <f t="shared" si="4"/>
        <v/>
      </c>
    </row>
    <row r="387" spans="1:12" ht="15.75" customHeight="1">
      <c r="A387" s="66" t="str">
        <f>IF(E387="","",VLOOKUP('Opći dio'!$C$3,'Opći dio'!$L$6:$U$137,10,FALSE))</f>
        <v/>
      </c>
      <c r="B387" s="66" t="str">
        <f>IF(E387="","",VLOOKUP('Opći dio'!$C$3,'Opći dio'!$L$6:$U$137,9,FALSE))</f>
        <v/>
      </c>
      <c r="C387" s="55" t="str">
        <f t="shared" ref="C387:C450" si="20">IFERROR(VLOOKUP(E387,$Q$6:$T$104,3,FALSE),"")</f>
        <v/>
      </c>
      <c r="D387" s="56" t="str">
        <f t="shared" ref="D387:D450" si="21">IFERROR(VLOOKUP(E387,$Q$6:$T$104,4,FALSE),"")</f>
        <v/>
      </c>
      <c r="E387" s="61"/>
      <c r="F387" s="58" t="str">
        <f t="shared" ref="F387:F450" si="22">IFERROR(VLOOKUP(E387,$Q$6:$T$104,2,FALSE),"")</f>
        <v/>
      </c>
      <c r="G387" s="59"/>
      <c r="H387" s="59"/>
      <c r="I387" s="59"/>
      <c r="K387" s="44" t="str">
        <f t="shared" si="3"/>
        <v/>
      </c>
      <c r="L387" s="44" t="str">
        <f t="shared" si="4"/>
        <v/>
      </c>
    </row>
    <row r="388" spans="1:12" ht="15.75" customHeight="1">
      <c r="A388" s="66" t="str">
        <f>IF(E388="","",VLOOKUP('Opći dio'!$C$3,'Opći dio'!$L$6:$U$137,10,FALSE))</f>
        <v/>
      </c>
      <c r="B388" s="66" t="str">
        <f>IF(E388="","",VLOOKUP('Opći dio'!$C$3,'Opći dio'!$L$6:$U$137,9,FALSE))</f>
        <v/>
      </c>
      <c r="C388" s="55" t="str">
        <f t="shared" si="20"/>
        <v/>
      </c>
      <c r="D388" s="56" t="str">
        <f t="shared" si="21"/>
        <v/>
      </c>
      <c r="E388" s="61"/>
      <c r="F388" s="58" t="str">
        <f t="shared" si="22"/>
        <v/>
      </c>
      <c r="G388" s="59"/>
      <c r="H388" s="59"/>
      <c r="I388" s="59"/>
      <c r="K388" s="44" t="str">
        <f t="shared" si="3"/>
        <v/>
      </c>
      <c r="L388" s="44" t="str">
        <f t="shared" si="4"/>
        <v/>
      </c>
    </row>
    <row r="389" spans="1:12" ht="15.75" customHeight="1">
      <c r="A389" s="66" t="str">
        <f>IF(E389="","",VLOOKUP('Opći dio'!$C$3,'Opći dio'!$L$6:$U$137,10,FALSE))</f>
        <v/>
      </c>
      <c r="B389" s="66" t="str">
        <f>IF(E389="","",VLOOKUP('Opći dio'!$C$3,'Opći dio'!$L$6:$U$137,9,FALSE))</f>
        <v/>
      </c>
      <c r="C389" s="55" t="str">
        <f t="shared" si="20"/>
        <v/>
      </c>
      <c r="D389" s="56" t="str">
        <f t="shared" si="21"/>
        <v/>
      </c>
      <c r="E389" s="61"/>
      <c r="F389" s="58" t="str">
        <f t="shared" si="22"/>
        <v/>
      </c>
      <c r="G389" s="59"/>
      <c r="H389" s="59"/>
      <c r="I389" s="59"/>
      <c r="K389" s="44" t="str">
        <f t="shared" si="3"/>
        <v/>
      </c>
      <c r="L389" s="44" t="str">
        <f t="shared" si="4"/>
        <v/>
      </c>
    </row>
    <row r="390" spans="1:12" ht="15.75" customHeight="1">
      <c r="A390" s="66" t="str">
        <f>IF(E390="","",VLOOKUP('Opći dio'!$C$3,'Opći dio'!$L$6:$U$137,10,FALSE))</f>
        <v/>
      </c>
      <c r="B390" s="66" t="str">
        <f>IF(E390="","",VLOOKUP('Opći dio'!$C$3,'Opći dio'!$L$6:$U$137,9,FALSE))</f>
        <v/>
      </c>
      <c r="C390" s="55" t="str">
        <f t="shared" si="20"/>
        <v/>
      </c>
      <c r="D390" s="56" t="str">
        <f t="shared" si="21"/>
        <v/>
      </c>
      <c r="E390" s="61"/>
      <c r="F390" s="58" t="str">
        <f t="shared" si="22"/>
        <v/>
      </c>
      <c r="G390" s="59"/>
      <c r="H390" s="59"/>
      <c r="I390" s="59"/>
      <c r="K390" s="44" t="str">
        <f t="shared" si="3"/>
        <v/>
      </c>
      <c r="L390" s="44" t="str">
        <f t="shared" si="4"/>
        <v/>
      </c>
    </row>
    <row r="391" spans="1:12" ht="15.75" customHeight="1">
      <c r="A391" s="66" t="str">
        <f>IF(E391="","",VLOOKUP('Opći dio'!$C$3,'Opći dio'!$L$6:$U$137,10,FALSE))</f>
        <v/>
      </c>
      <c r="B391" s="66" t="str">
        <f>IF(E391="","",VLOOKUP('Opći dio'!$C$3,'Opći dio'!$L$6:$U$137,9,FALSE))</f>
        <v/>
      </c>
      <c r="C391" s="55" t="str">
        <f t="shared" si="20"/>
        <v/>
      </c>
      <c r="D391" s="56" t="str">
        <f t="shared" si="21"/>
        <v/>
      </c>
      <c r="E391" s="61"/>
      <c r="F391" s="58" t="str">
        <f t="shared" si="22"/>
        <v/>
      </c>
      <c r="G391" s="59"/>
      <c r="H391" s="59"/>
      <c r="I391" s="59"/>
      <c r="K391" s="44" t="str">
        <f t="shared" si="3"/>
        <v/>
      </c>
      <c r="L391" s="44" t="str">
        <f t="shared" si="4"/>
        <v/>
      </c>
    </row>
    <row r="392" spans="1:12" ht="15.75" customHeight="1">
      <c r="A392" s="66" t="str">
        <f>IF(E392="","",VLOOKUP('Opći dio'!$C$3,'Opći dio'!$L$6:$U$137,10,FALSE))</f>
        <v/>
      </c>
      <c r="B392" s="66" t="str">
        <f>IF(E392="","",VLOOKUP('Opći dio'!$C$3,'Opći dio'!$L$6:$U$137,9,FALSE))</f>
        <v/>
      </c>
      <c r="C392" s="55" t="str">
        <f t="shared" si="20"/>
        <v/>
      </c>
      <c r="D392" s="56" t="str">
        <f t="shared" si="21"/>
        <v/>
      </c>
      <c r="E392" s="61"/>
      <c r="F392" s="58" t="str">
        <f t="shared" si="22"/>
        <v/>
      </c>
      <c r="G392" s="59"/>
      <c r="H392" s="59"/>
      <c r="I392" s="59"/>
      <c r="K392" s="44" t="str">
        <f t="shared" si="3"/>
        <v/>
      </c>
      <c r="L392" s="44" t="str">
        <f t="shared" si="4"/>
        <v/>
      </c>
    </row>
    <row r="393" spans="1:12" ht="15.75" customHeight="1">
      <c r="A393" s="66" t="str">
        <f>IF(E393="","",VLOOKUP('Opći dio'!$C$3,'Opći dio'!$L$6:$U$137,10,FALSE))</f>
        <v/>
      </c>
      <c r="B393" s="66" t="str">
        <f>IF(E393="","",VLOOKUP('Opći dio'!$C$3,'Opći dio'!$L$6:$U$137,9,FALSE))</f>
        <v/>
      </c>
      <c r="C393" s="55" t="str">
        <f t="shared" si="20"/>
        <v/>
      </c>
      <c r="D393" s="56" t="str">
        <f t="shared" si="21"/>
        <v/>
      </c>
      <c r="E393" s="61"/>
      <c r="F393" s="58" t="str">
        <f t="shared" si="22"/>
        <v/>
      </c>
      <c r="G393" s="59"/>
      <c r="H393" s="59"/>
      <c r="I393" s="59"/>
      <c r="K393" s="44" t="str">
        <f t="shared" si="3"/>
        <v/>
      </c>
      <c r="L393" s="44" t="str">
        <f t="shared" si="4"/>
        <v/>
      </c>
    </row>
    <row r="394" spans="1:12" ht="15.75" customHeight="1">
      <c r="A394" s="66" t="str">
        <f>IF(E394="","",VLOOKUP('Opći dio'!$C$3,'Opći dio'!$L$6:$U$137,10,FALSE))</f>
        <v/>
      </c>
      <c r="B394" s="66" t="str">
        <f>IF(E394="","",VLOOKUP('Opći dio'!$C$3,'Opći dio'!$L$6:$U$137,9,FALSE))</f>
        <v/>
      </c>
      <c r="C394" s="55" t="str">
        <f t="shared" si="20"/>
        <v/>
      </c>
      <c r="D394" s="56" t="str">
        <f t="shared" si="21"/>
        <v/>
      </c>
      <c r="E394" s="61"/>
      <c r="F394" s="58" t="str">
        <f t="shared" si="22"/>
        <v/>
      </c>
      <c r="G394" s="59"/>
      <c r="H394" s="59"/>
      <c r="I394" s="59"/>
      <c r="K394" s="44" t="str">
        <f t="shared" si="3"/>
        <v/>
      </c>
      <c r="L394" s="44" t="str">
        <f t="shared" si="4"/>
        <v/>
      </c>
    </row>
    <row r="395" spans="1:12" ht="15.75" customHeight="1">
      <c r="A395" s="66" t="str">
        <f>IF(E395="","",VLOOKUP('Opći dio'!$C$3,'Opći dio'!$L$6:$U$137,10,FALSE))</f>
        <v/>
      </c>
      <c r="B395" s="66" t="str">
        <f>IF(E395="","",VLOOKUP('Opći dio'!$C$3,'Opći dio'!$L$6:$U$137,9,FALSE))</f>
        <v/>
      </c>
      <c r="C395" s="55" t="str">
        <f t="shared" si="20"/>
        <v/>
      </c>
      <c r="D395" s="56" t="str">
        <f t="shared" si="21"/>
        <v/>
      </c>
      <c r="E395" s="61"/>
      <c r="F395" s="58" t="str">
        <f t="shared" si="22"/>
        <v/>
      </c>
      <c r="G395" s="59"/>
      <c r="H395" s="59"/>
      <c r="I395" s="59"/>
      <c r="K395" s="44" t="str">
        <f t="shared" si="3"/>
        <v/>
      </c>
      <c r="L395" s="44" t="str">
        <f t="shared" si="4"/>
        <v/>
      </c>
    </row>
    <row r="396" spans="1:12" ht="15.75" customHeight="1">
      <c r="A396" s="66" t="str">
        <f>IF(E396="","",VLOOKUP('Opći dio'!$C$3,'Opći dio'!$L$6:$U$137,10,FALSE))</f>
        <v/>
      </c>
      <c r="B396" s="66" t="str">
        <f>IF(E396="","",VLOOKUP('Opći dio'!$C$3,'Opći dio'!$L$6:$U$137,9,FALSE))</f>
        <v/>
      </c>
      <c r="C396" s="55" t="str">
        <f t="shared" si="20"/>
        <v/>
      </c>
      <c r="D396" s="56" t="str">
        <f t="shared" si="21"/>
        <v/>
      </c>
      <c r="E396" s="61"/>
      <c r="F396" s="58" t="str">
        <f t="shared" si="22"/>
        <v/>
      </c>
      <c r="G396" s="59"/>
      <c r="H396" s="59"/>
      <c r="I396" s="59"/>
      <c r="K396" s="44" t="str">
        <f t="shared" si="3"/>
        <v/>
      </c>
      <c r="L396" s="44" t="str">
        <f t="shared" si="4"/>
        <v/>
      </c>
    </row>
    <row r="397" spans="1:12" ht="15.75" customHeight="1">
      <c r="A397" s="66" t="str">
        <f>IF(E397="","",VLOOKUP('Opći dio'!$C$3,'Opći dio'!$L$6:$U$137,10,FALSE))</f>
        <v/>
      </c>
      <c r="B397" s="66" t="str">
        <f>IF(E397="","",VLOOKUP('Opći dio'!$C$3,'Opći dio'!$L$6:$U$137,9,FALSE))</f>
        <v/>
      </c>
      <c r="C397" s="55" t="str">
        <f t="shared" si="20"/>
        <v/>
      </c>
      <c r="D397" s="56" t="str">
        <f t="shared" si="21"/>
        <v/>
      </c>
      <c r="E397" s="61"/>
      <c r="F397" s="58" t="str">
        <f t="shared" si="22"/>
        <v/>
      </c>
      <c r="G397" s="59"/>
      <c r="H397" s="59"/>
      <c r="I397" s="59"/>
      <c r="K397" s="44" t="str">
        <f t="shared" si="3"/>
        <v/>
      </c>
      <c r="L397" s="44" t="str">
        <f t="shared" si="4"/>
        <v/>
      </c>
    </row>
    <row r="398" spans="1:12" ht="15.75" customHeight="1">
      <c r="A398" s="66" t="str">
        <f>IF(E398="","",VLOOKUP('Opći dio'!$C$3,'Opći dio'!$L$6:$U$137,10,FALSE))</f>
        <v/>
      </c>
      <c r="B398" s="66" t="str">
        <f>IF(E398="","",VLOOKUP('Opći dio'!$C$3,'Opći dio'!$L$6:$U$137,9,FALSE))</f>
        <v/>
      </c>
      <c r="C398" s="55" t="str">
        <f t="shared" si="20"/>
        <v/>
      </c>
      <c r="D398" s="56" t="str">
        <f t="shared" si="21"/>
        <v/>
      </c>
      <c r="E398" s="61"/>
      <c r="F398" s="58" t="str">
        <f t="shared" si="22"/>
        <v/>
      </c>
      <c r="G398" s="59"/>
      <c r="H398" s="59"/>
      <c r="I398" s="59"/>
      <c r="K398" s="44" t="str">
        <f t="shared" si="3"/>
        <v/>
      </c>
      <c r="L398" s="44" t="str">
        <f t="shared" si="4"/>
        <v/>
      </c>
    </row>
    <row r="399" spans="1:12" ht="15.75" customHeight="1">
      <c r="A399" s="66" t="str">
        <f>IF(E399="","",VLOOKUP('Opći dio'!$C$3,'Opći dio'!$L$6:$U$137,10,FALSE))</f>
        <v/>
      </c>
      <c r="B399" s="66" t="str">
        <f>IF(E399="","",VLOOKUP('Opći dio'!$C$3,'Opći dio'!$L$6:$U$137,9,FALSE))</f>
        <v/>
      </c>
      <c r="C399" s="55" t="str">
        <f t="shared" si="20"/>
        <v/>
      </c>
      <c r="D399" s="56" t="str">
        <f t="shared" si="21"/>
        <v/>
      </c>
      <c r="E399" s="61"/>
      <c r="F399" s="58" t="str">
        <f t="shared" si="22"/>
        <v/>
      </c>
      <c r="G399" s="59"/>
      <c r="H399" s="59"/>
      <c r="I399" s="59"/>
      <c r="K399" s="44" t="str">
        <f t="shared" si="3"/>
        <v/>
      </c>
      <c r="L399" s="44" t="str">
        <f t="shared" si="4"/>
        <v/>
      </c>
    </row>
    <row r="400" spans="1:12" ht="15.75" customHeight="1">
      <c r="A400" s="66" t="str">
        <f>IF(E400="","",VLOOKUP('Opći dio'!$C$3,'Opći dio'!$L$6:$U$137,10,FALSE))</f>
        <v/>
      </c>
      <c r="B400" s="66" t="str">
        <f>IF(E400="","",VLOOKUP('Opći dio'!$C$3,'Opći dio'!$L$6:$U$137,9,FALSE))</f>
        <v/>
      </c>
      <c r="C400" s="55" t="str">
        <f t="shared" si="20"/>
        <v/>
      </c>
      <c r="D400" s="56" t="str">
        <f t="shared" si="21"/>
        <v/>
      </c>
      <c r="E400" s="61"/>
      <c r="F400" s="58" t="str">
        <f t="shared" si="22"/>
        <v/>
      </c>
      <c r="G400" s="59"/>
      <c r="H400" s="59"/>
      <c r="I400" s="59"/>
      <c r="K400" s="44" t="str">
        <f t="shared" si="3"/>
        <v/>
      </c>
      <c r="L400" s="44" t="str">
        <f t="shared" si="4"/>
        <v/>
      </c>
    </row>
    <row r="401" spans="1:12" ht="15.75" customHeight="1">
      <c r="A401" s="66" t="str">
        <f>IF(E401="","",VLOOKUP('Opći dio'!$C$3,'Opći dio'!$L$6:$U$137,10,FALSE))</f>
        <v/>
      </c>
      <c r="B401" s="66" t="str">
        <f>IF(E401="","",VLOOKUP('Opći dio'!$C$3,'Opći dio'!$L$6:$U$137,9,FALSE))</f>
        <v/>
      </c>
      <c r="C401" s="55" t="str">
        <f t="shared" si="20"/>
        <v/>
      </c>
      <c r="D401" s="56" t="str">
        <f t="shared" si="21"/>
        <v/>
      </c>
      <c r="E401" s="61"/>
      <c r="F401" s="58" t="str">
        <f t="shared" si="22"/>
        <v/>
      </c>
      <c r="G401" s="59"/>
      <c r="H401" s="59"/>
      <c r="I401" s="59"/>
      <c r="K401" s="44" t="str">
        <f t="shared" si="3"/>
        <v/>
      </c>
      <c r="L401" s="44" t="str">
        <f t="shared" si="4"/>
        <v/>
      </c>
    </row>
    <row r="402" spans="1:12" ht="15.75" customHeight="1">
      <c r="A402" s="66" t="str">
        <f>IF(E402="","",VLOOKUP('Opći dio'!$C$3,'Opći dio'!$L$6:$U$137,10,FALSE))</f>
        <v/>
      </c>
      <c r="B402" s="66" t="str">
        <f>IF(E402="","",VLOOKUP('Opći dio'!$C$3,'Opći dio'!$L$6:$U$137,9,FALSE))</f>
        <v/>
      </c>
      <c r="C402" s="55" t="str">
        <f t="shared" si="20"/>
        <v/>
      </c>
      <c r="D402" s="56" t="str">
        <f t="shared" si="21"/>
        <v/>
      </c>
      <c r="E402" s="61"/>
      <c r="F402" s="58" t="str">
        <f t="shared" si="22"/>
        <v/>
      </c>
      <c r="G402" s="59"/>
      <c r="H402" s="59"/>
      <c r="I402" s="59"/>
      <c r="K402" s="44" t="str">
        <f t="shared" si="3"/>
        <v/>
      </c>
      <c r="L402" s="44" t="str">
        <f t="shared" si="4"/>
        <v/>
      </c>
    </row>
    <row r="403" spans="1:12" ht="15.75" customHeight="1">
      <c r="A403" s="66" t="str">
        <f>IF(E403="","",VLOOKUP('Opći dio'!$C$3,'Opći dio'!$L$6:$U$137,10,FALSE))</f>
        <v/>
      </c>
      <c r="B403" s="66" t="str">
        <f>IF(E403="","",VLOOKUP('Opći dio'!$C$3,'Opći dio'!$L$6:$U$137,9,FALSE))</f>
        <v/>
      </c>
      <c r="C403" s="55" t="str">
        <f t="shared" si="20"/>
        <v/>
      </c>
      <c r="D403" s="56" t="str">
        <f t="shared" si="21"/>
        <v/>
      </c>
      <c r="E403" s="61"/>
      <c r="F403" s="58" t="str">
        <f t="shared" si="22"/>
        <v/>
      </c>
      <c r="G403" s="59"/>
      <c r="H403" s="59"/>
      <c r="I403" s="59"/>
      <c r="K403" s="44" t="str">
        <f t="shared" si="3"/>
        <v/>
      </c>
      <c r="L403" s="44" t="str">
        <f t="shared" si="4"/>
        <v/>
      </c>
    </row>
    <row r="404" spans="1:12" ht="15.75" customHeight="1">
      <c r="A404" s="66" t="str">
        <f>IF(E404="","",VLOOKUP('Opći dio'!$C$3,'Opći dio'!$L$6:$U$137,10,FALSE))</f>
        <v/>
      </c>
      <c r="B404" s="66" t="str">
        <f>IF(E404="","",VLOOKUP('Opći dio'!$C$3,'Opći dio'!$L$6:$U$137,9,FALSE))</f>
        <v/>
      </c>
      <c r="C404" s="55" t="str">
        <f t="shared" si="20"/>
        <v/>
      </c>
      <c r="D404" s="56" t="str">
        <f t="shared" si="21"/>
        <v/>
      </c>
      <c r="E404" s="61"/>
      <c r="F404" s="58" t="str">
        <f t="shared" si="22"/>
        <v/>
      </c>
      <c r="G404" s="59"/>
      <c r="H404" s="59"/>
      <c r="I404" s="59"/>
      <c r="K404" s="44" t="str">
        <f t="shared" si="3"/>
        <v/>
      </c>
      <c r="L404" s="44" t="str">
        <f t="shared" si="4"/>
        <v/>
      </c>
    </row>
    <row r="405" spans="1:12" ht="15.75" customHeight="1">
      <c r="A405" s="66" t="str">
        <f>IF(E405="","",VLOOKUP('Opći dio'!$C$3,'Opći dio'!$L$6:$U$137,10,FALSE))</f>
        <v/>
      </c>
      <c r="B405" s="66" t="str">
        <f>IF(E405="","",VLOOKUP('Opći dio'!$C$3,'Opći dio'!$L$6:$U$137,9,FALSE))</f>
        <v/>
      </c>
      <c r="C405" s="55" t="str">
        <f t="shared" si="20"/>
        <v/>
      </c>
      <c r="D405" s="56" t="str">
        <f t="shared" si="21"/>
        <v/>
      </c>
      <c r="E405" s="61"/>
      <c r="F405" s="58" t="str">
        <f t="shared" si="22"/>
        <v/>
      </c>
      <c r="G405" s="59"/>
      <c r="H405" s="59"/>
      <c r="I405" s="59"/>
      <c r="K405" s="44" t="str">
        <f t="shared" si="3"/>
        <v/>
      </c>
      <c r="L405" s="44" t="str">
        <f t="shared" si="4"/>
        <v/>
      </c>
    </row>
    <row r="406" spans="1:12" ht="15.75" customHeight="1">
      <c r="A406" s="66" t="str">
        <f>IF(E406="","",VLOOKUP('Opći dio'!$C$3,'Opći dio'!$L$6:$U$137,10,FALSE))</f>
        <v/>
      </c>
      <c r="B406" s="66" t="str">
        <f>IF(E406="","",VLOOKUP('Opći dio'!$C$3,'Opći dio'!$L$6:$U$137,9,FALSE))</f>
        <v/>
      </c>
      <c r="C406" s="55" t="str">
        <f t="shared" si="20"/>
        <v/>
      </c>
      <c r="D406" s="56" t="str">
        <f t="shared" si="21"/>
        <v/>
      </c>
      <c r="E406" s="61"/>
      <c r="F406" s="58" t="str">
        <f t="shared" si="22"/>
        <v/>
      </c>
      <c r="G406" s="59"/>
      <c r="H406" s="59"/>
      <c r="I406" s="59"/>
      <c r="K406" s="44" t="str">
        <f t="shared" si="3"/>
        <v/>
      </c>
      <c r="L406" s="44" t="str">
        <f t="shared" si="4"/>
        <v/>
      </c>
    </row>
    <row r="407" spans="1:12" ht="15.75" customHeight="1">
      <c r="A407" s="66" t="str">
        <f>IF(E407="","",VLOOKUP('Opći dio'!$C$3,'Opći dio'!$L$6:$U$137,10,FALSE))</f>
        <v/>
      </c>
      <c r="B407" s="66" t="str">
        <f>IF(E407="","",VLOOKUP('Opći dio'!$C$3,'Opći dio'!$L$6:$U$137,9,FALSE))</f>
        <v/>
      </c>
      <c r="C407" s="55" t="str">
        <f t="shared" si="20"/>
        <v/>
      </c>
      <c r="D407" s="56" t="str">
        <f t="shared" si="21"/>
        <v/>
      </c>
      <c r="E407" s="61"/>
      <c r="F407" s="58" t="str">
        <f t="shared" si="22"/>
        <v/>
      </c>
      <c r="G407" s="59"/>
      <c r="H407" s="59"/>
      <c r="I407" s="59"/>
      <c r="K407" s="44" t="str">
        <f t="shared" si="3"/>
        <v/>
      </c>
      <c r="L407" s="44" t="str">
        <f t="shared" si="4"/>
        <v/>
      </c>
    </row>
    <row r="408" spans="1:12" ht="15.75" customHeight="1">
      <c r="A408" s="66" t="str">
        <f>IF(E408="","",VLOOKUP('Opći dio'!$C$3,'Opći dio'!$L$6:$U$137,10,FALSE))</f>
        <v/>
      </c>
      <c r="B408" s="66" t="str">
        <f>IF(E408="","",VLOOKUP('Opći dio'!$C$3,'Opći dio'!$L$6:$U$137,9,FALSE))</f>
        <v/>
      </c>
      <c r="C408" s="55" t="str">
        <f t="shared" si="20"/>
        <v/>
      </c>
      <c r="D408" s="56" t="str">
        <f t="shared" si="21"/>
        <v/>
      </c>
      <c r="E408" s="61"/>
      <c r="F408" s="58" t="str">
        <f t="shared" si="22"/>
        <v/>
      </c>
      <c r="G408" s="59"/>
      <c r="H408" s="59"/>
      <c r="I408" s="59"/>
      <c r="K408" s="44" t="str">
        <f t="shared" si="3"/>
        <v/>
      </c>
      <c r="L408" s="44" t="str">
        <f t="shared" si="4"/>
        <v/>
      </c>
    </row>
    <row r="409" spans="1:12" ht="15.75" customHeight="1">
      <c r="A409" s="66" t="str">
        <f>IF(E409="","",VLOOKUP('Opći dio'!$C$3,'Opći dio'!$L$6:$U$137,10,FALSE))</f>
        <v/>
      </c>
      <c r="B409" s="66" t="str">
        <f>IF(E409="","",VLOOKUP('Opći dio'!$C$3,'Opći dio'!$L$6:$U$137,9,FALSE))</f>
        <v/>
      </c>
      <c r="C409" s="55" t="str">
        <f t="shared" si="20"/>
        <v/>
      </c>
      <c r="D409" s="56" t="str">
        <f t="shared" si="21"/>
        <v/>
      </c>
      <c r="E409" s="61"/>
      <c r="F409" s="58" t="str">
        <f t="shared" si="22"/>
        <v/>
      </c>
      <c r="G409" s="59"/>
      <c r="H409" s="59"/>
      <c r="I409" s="59"/>
      <c r="K409" s="44" t="str">
        <f t="shared" si="3"/>
        <v/>
      </c>
      <c r="L409" s="44" t="str">
        <f t="shared" si="4"/>
        <v/>
      </c>
    </row>
    <row r="410" spans="1:12" ht="15.75" customHeight="1">
      <c r="A410" s="66" t="str">
        <f>IF(E410="","",VLOOKUP('Opći dio'!$C$3,'Opći dio'!$L$6:$U$137,10,FALSE))</f>
        <v/>
      </c>
      <c r="B410" s="66" t="str">
        <f>IF(E410="","",VLOOKUP('Opći dio'!$C$3,'Opći dio'!$L$6:$U$137,9,FALSE))</f>
        <v/>
      </c>
      <c r="C410" s="55" t="str">
        <f t="shared" si="20"/>
        <v/>
      </c>
      <c r="D410" s="56" t="str">
        <f t="shared" si="21"/>
        <v/>
      </c>
      <c r="E410" s="61"/>
      <c r="F410" s="58" t="str">
        <f t="shared" si="22"/>
        <v/>
      </c>
      <c r="G410" s="59"/>
      <c r="H410" s="59"/>
      <c r="I410" s="59"/>
      <c r="K410" s="44" t="str">
        <f t="shared" si="3"/>
        <v/>
      </c>
      <c r="L410" s="44" t="str">
        <f t="shared" si="4"/>
        <v/>
      </c>
    </row>
    <row r="411" spans="1:12" ht="15.75" customHeight="1">
      <c r="A411" s="66" t="str">
        <f>IF(E411="","",VLOOKUP('Opći dio'!$C$3,'Opći dio'!$L$6:$U$137,10,FALSE))</f>
        <v/>
      </c>
      <c r="B411" s="66" t="str">
        <f>IF(E411="","",VLOOKUP('Opći dio'!$C$3,'Opći dio'!$L$6:$U$137,9,FALSE))</f>
        <v/>
      </c>
      <c r="C411" s="55" t="str">
        <f t="shared" si="20"/>
        <v/>
      </c>
      <c r="D411" s="56" t="str">
        <f t="shared" si="21"/>
        <v/>
      </c>
      <c r="E411" s="61"/>
      <c r="F411" s="58" t="str">
        <f t="shared" si="22"/>
        <v/>
      </c>
      <c r="G411" s="59"/>
      <c r="H411" s="59"/>
      <c r="I411" s="59"/>
      <c r="K411" s="44" t="str">
        <f t="shared" si="3"/>
        <v/>
      </c>
      <c r="L411" s="44" t="str">
        <f t="shared" si="4"/>
        <v/>
      </c>
    </row>
    <row r="412" spans="1:12" ht="15.75" customHeight="1">
      <c r="A412" s="66" t="str">
        <f>IF(E412="","",VLOOKUP('Opći dio'!$C$3,'Opći dio'!$L$6:$U$137,10,FALSE))</f>
        <v/>
      </c>
      <c r="B412" s="66" t="str">
        <f>IF(E412="","",VLOOKUP('Opći dio'!$C$3,'Opći dio'!$L$6:$U$137,9,FALSE))</f>
        <v/>
      </c>
      <c r="C412" s="55" t="str">
        <f t="shared" si="20"/>
        <v/>
      </c>
      <c r="D412" s="56" t="str">
        <f t="shared" si="21"/>
        <v/>
      </c>
      <c r="E412" s="61"/>
      <c r="F412" s="58" t="str">
        <f t="shared" si="22"/>
        <v/>
      </c>
      <c r="G412" s="59"/>
      <c r="H412" s="59"/>
      <c r="I412" s="59"/>
      <c r="K412" s="44" t="str">
        <f t="shared" si="3"/>
        <v/>
      </c>
      <c r="L412" s="44" t="str">
        <f t="shared" si="4"/>
        <v/>
      </c>
    </row>
    <row r="413" spans="1:12" ht="15.75" customHeight="1">
      <c r="A413" s="66" t="str">
        <f>IF(E413="","",VLOOKUP('Opći dio'!$C$3,'Opći dio'!$L$6:$U$137,10,FALSE))</f>
        <v/>
      </c>
      <c r="B413" s="66" t="str">
        <f>IF(E413="","",VLOOKUP('Opći dio'!$C$3,'Opći dio'!$L$6:$U$137,9,FALSE))</f>
        <v/>
      </c>
      <c r="C413" s="55" t="str">
        <f t="shared" si="20"/>
        <v/>
      </c>
      <c r="D413" s="56" t="str">
        <f t="shared" si="21"/>
        <v/>
      </c>
      <c r="E413" s="61"/>
      <c r="F413" s="58" t="str">
        <f t="shared" si="22"/>
        <v/>
      </c>
      <c r="G413" s="59"/>
      <c r="H413" s="59"/>
      <c r="I413" s="59"/>
      <c r="K413" s="44" t="str">
        <f t="shared" si="3"/>
        <v/>
      </c>
      <c r="L413" s="44" t="str">
        <f t="shared" si="4"/>
        <v/>
      </c>
    </row>
    <row r="414" spans="1:12" ht="15.75" customHeight="1">
      <c r="A414" s="66" t="str">
        <f>IF(E414="","",VLOOKUP('Opći dio'!$C$3,'Opći dio'!$L$6:$U$137,10,FALSE))</f>
        <v/>
      </c>
      <c r="B414" s="66" t="str">
        <f>IF(E414="","",VLOOKUP('Opći dio'!$C$3,'Opći dio'!$L$6:$U$137,9,FALSE))</f>
        <v/>
      </c>
      <c r="C414" s="55" t="str">
        <f t="shared" si="20"/>
        <v/>
      </c>
      <c r="D414" s="56" t="str">
        <f t="shared" si="21"/>
        <v/>
      </c>
      <c r="E414" s="61"/>
      <c r="F414" s="58" t="str">
        <f t="shared" si="22"/>
        <v/>
      </c>
      <c r="G414" s="59"/>
      <c r="H414" s="59"/>
      <c r="I414" s="59"/>
      <c r="K414" s="44" t="str">
        <f t="shared" si="3"/>
        <v/>
      </c>
      <c r="L414" s="44" t="str">
        <f t="shared" si="4"/>
        <v/>
      </c>
    </row>
    <row r="415" spans="1:12" ht="15.75" customHeight="1">
      <c r="A415" s="66" t="str">
        <f>IF(E415="","",VLOOKUP('Opći dio'!$C$3,'Opći dio'!$L$6:$U$137,10,FALSE))</f>
        <v/>
      </c>
      <c r="B415" s="66" t="str">
        <f>IF(E415="","",VLOOKUP('Opći dio'!$C$3,'Opći dio'!$L$6:$U$137,9,FALSE))</f>
        <v/>
      </c>
      <c r="C415" s="55" t="str">
        <f t="shared" si="20"/>
        <v/>
      </c>
      <c r="D415" s="56" t="str">
        <f t="shared" si="21"/>
        <v/>
      </c>
      <c r="E415" s="61"/>
      <c r="F415" s="58" t="str">
        <f t="shared" si="22"/>
        <v/>
      </c>
      <c r="G415" s="59"/>
      <c r="H415" s="59"/>
      <c r="I415" s="59"/>
      <c r="K415" s="44" t="str">
        <f t="shared" si="3"/>
        <v/>
      </c>
      <c r="L415" s="44" t="str">
        <f t="shared" si="4"/>
        <v/>
      </c>
    </row>
    <row r="416" spans="1:12" ht="15.75" customHeight="1">
      <c r="A416" s="66" t="str">
        <f>IF(E416="","",VLOOKUP('Opći dio'!$C$3,'Opći dio'!$L$6:$U$137,10,FALSE))</f>
        <v/>
      </c>
      <c r="B416" s="66" t="str">
        <f>IF(E416="","",VLOOKUP('Opći dio'!$C$3,'Opći dio'!$L$6:$U$137,9,FALSE))</f>
        <v/>
      </c>
      <c r="C416" s="55" t="str">
        <f t="shared" si="20"/>
        <v/>
      </c>
      <c r="D416" s="56" t="str">
        <f t="shared" si="21"/>
        <v/>
      </c>
      <c r="E416" s="61"/>
      <c r="F416" s="58" t="str">
        <f t="shared" si="22"/>
        <v/>
      </c>
      <c r="G416" s="59"/>
      <c r="H416" s="59"/>
      <c r="I416" s="59"/>
      <c r="K416" s="44" t="str">
        <f t="shared" si="3"/>
        <v/>
      </c>
      <c r="L416" s="44" t="str">
        <f t="shared" si="4"/>
        <v/>
      </c>
    </row>
    <row r="417" spans="1:12" ht="15.75" customHeight="1">
      <c r="A417" s="66" t="str">
        <f>IF(E417="","",VLOOKUP('Opći dio'!$C$3,'Opći dio'!$L$6:$U$137,10,FALSE))</f>
        <v/>
      </c>
      <c r="B417" s="66" t="str">
        <f>IF(E417="","",VLOOKUP('Opći dio'!$C$3,'Opći dio'!$L$6:$U$137,9,FALSE))</f>
        <v/>
      </c>
      <c r="C417" s="55" t="str">
        <f t="shared" si="20"/>
        <v/>
      </c>
      <c r="D417" s="56" t="str">
        <f t="shared" si="21"/>
        <v/>
      </c>
      <c r="E417" s="61"/>
      <c r="F417" s="58" t="str">
        <f t="shared" si="22"/>
        <v/>
      </c>
      <c r="G417" s="59"/>
      <c r="H417" s="59"/>
      <c r="I417" s="59"/>
      <c r="K417" s="44" t="str">
        <f t="shared" si="3"/>
        <v/>
      </c>
      <c r="L417" s="44" t="str">
        <f t="shared" si="4"/>
        <v/>
      </c>
    </row>
    <row r="418" spans="1:12" ht="15.75" customHeight="1">
      <c r="A418" s="66" t="str">
        <f>IF(E418="","",VLOOKUP('Opći dio'!$C$3,'Opći dio'!$L$6:$U$137,10,FALSE))</f>
        <v/>
      </c>
      <c r="B418" s="66" t="str">
        <f>IF(E418="","",VLOOKUP('Opći dio'!$C$3,'Opći dio'!$L$6:$U$137,9,FALSE))</f>
        <v/>
      </c>
      <c r="C418" s="55" t="str">
        <f t="shared" si="20"/>
        <v/>
      </c>
      <c r="D418" s="56" t="str">
        <f t="shared" si="21"/>
        <v/>
      </c>
      <c r="E418" s="61"/>
      <c r="F418" s="58" t="str">
        <f t="shared" si="22"/>
        <v/>
      </c>
      <c r="G418" s="59"/>
      <c r="H418" s="59"/>
      <c r="I418" s="59"/>
      <c r="K418" s="44" t="str">
        <f t="shared" si="3"/>
        <v/>
      </c>
      <c r="L418" s="44" t="str">
        <f t="shared" si="4"/>
        <v/>
      </c>
    </row>
    <row r="419" spans="1:12" ht="15.75" customHeight="1">
      <c r="A419" s="66" t="str">
        <f>IF(E419="","",VLOOKUP('Opći dio'!$C$3,'Opći dio'!$L$6:$U$137,10,FALSE))</f>
        <v/>
      </c>
      <c r="B419" s="66" t="str">
        <f>IF(E419="","",VLOOKUP('Opći dio'!$C$3,'Opći dio'!$L$6:$U$137,9,FALSE))</f>
        <v/>
      </c>
      <c r="C419" s="55" t="str">
        <f t="shared" si="20"/>
        <v/>
      </c>
      <c r="D419" s="56" t="str">
        <f t="shared" si="21"/>
        <v/>
      </c>
      <c r="E419" s="61"/>
      <c r="F419" s="58" t="str">
        <f t="shared" si="22"/>
        <v/>
      </c>
      <c r="G419" s="59"/>
      <c r="H419" s="59"/>
      <c r="I419" s="59"/>
      <c r="K419" s="44" t="str">
        <f t="shared" si="3"/>
        <v/>
      </c>
      <c r="L419" s="44" t="str">
        <f t="shared" si="4"/>
        <v/>
      </c>
    </row>
    <row r="420" spans="1:12" ht="15.75" customHeight="1">
      <c r="A420" s="66" t="str">
        <f>IF(E420="","",VLOOKUP('Opći dio'!$C$3,'Opći dio'!$L$6:$U$137,10,FALSE))</f>
        <v/>
      </c>
      <c r="B420" s="66" t="str">
        <f>IF(E420="","",VLOOKUP('Opći dio'!$C$3,'Opći dio'!$L$6:$U$137,9,FALSE))</f>
        <v/>
      </c>
      <c r="C420" s="55" t="str">
        <f t="shared" si="20"/>
        <v/>
      </c>
      <c r="D420" s="56" t="str">
        <f t="shared" si="21"/>
        <v/>
      </c>
      <c r="E420" s="61"/>
      <c r="F420" s="58" t="str">
        <f t="shared" si="22"/>
        <v/>
      </c>
      <c r="G420" s="59"/>
      <c r="H420" s="59"/>
      <c r="I420" s="59"/>
      <c r="K420" s="44" t="str">
        <f t="shared" si="3"/>
        <v/>
      </c>
      <c r="L420" s="44" t="str">
        <f t="shared" si="4"/>
        <v/>
      </c>
    </row>
    <row r="421" spans="1:12" ht="15.75" customHeight="1">
      <c r="A421" s="66" t="str">
        <f>IF(E421="","",VLOOKUP('Opći dio'!$C$3,'Opći dio'!$L$6:$U$137,10,FALSE))</f>
        <v/>
      </c>
      <c r="B421" s="66" t="str">
        <f>IF(E421="","",VLOOKUP('Opći dio'!$C$3,'Opći dio'!$L$6:$U$137,9,FALSE))</f>
        <v/>
      </c>
      <c r="C421" s="55" t="str">
        <f t="shared" si="20"/>
        <v/>
      </c>
      <c r="D421" s="56" t="str">
        <f t="shared" si="21"/>
        <v/>
      </c>
      <c r="E421" s="61"/>
      <c r="F421" s="58" t="str">
        <f t="shared" si="22"/>
        <v/>
      </c>
      <c r="G421" s="59"/>
      <c r="H421" s="59"/>
      <c r="I421" s="59"/>
      <c r="K421" s="44" t="str">
        <f t="shared" si="3"/>
        <v/>
      </c>
      <c r="L421" s="44" t="str">
        <f t="shared" si="4"/>
        <v/>
      </c>
    </row>
    <row r="422" spans="1:12" ht="15.75" customHeight="1">
      <c r="A422" s="66" t="str">
        <f>IF(E422="","",VLOOKUP('Opći dio'!$C$3,'Opći dio'!$L$6:$U$137,10,FALSE))</f>
        <v/>
      </c>
      <c r="B422" s="66" t="str">
        <f>IF(E422="","",VLOOKUP('Opći dio'!$C$3,'Opći dio'!$L$6:$U$137,9,FALSE))</f>
        <v/>
      </c>
      <c r="C422" s="55" t="str">
        <f t="shared" si="20"/>
        <v/>
      </c>
      <c r="D422" s="56" t="str">
        <f t="shared" si="21"/>
        <v/>
      </c>
      <c r="E422" s="61"/>
      <c r="F422" s="58" t="str">
        <f t="shared" si="22"/>
        <v/>
      </c>
      <c r="G422" s="59"/>
      <c r="H422" s="59"/>
      <c r="I422" s="59"/>
      <c r="K422" s="44" t="str">
        <f t="shared" si="3"/>
        <v/>
      </c>
      <c r="L422" s="44" t="str">
        <f t="shared" si="4"/>
        <v/>
      </c>
    </row>
    <row r="423" spans="1:12" ht="15.75" customHeight="1">
      <c r="A423" s="66" t="str">
        <f>IF(E423="","",VLOOKUP('Opći dio'!$C$3,'Opći dio'!$L$6:$U$137,10,FALSE))</f>
        <v/>
      </c>
      <c r="B423" s="66" t="str">
        <f>IF(E423="","",VLOOKUP('Opći dio'!$C$3,'Opći dio'!$L$6:$U$137,9,FALSE))</f>
        <v/>
      </c>
      <c r="C423" s="55" t="str">
        <f t="shared" si="20"/>
        <v/>
      </c>
      <c r="D423" s="56" t="str">
        <f t="shared" si="21"/>
        <v/>
      </c>
      <c r="E423" s="61"/>
      <c r="F423" s="58" t="str">
        <f t="shared" si="22"/>
        <v/>
      </c>
      <c r="G423" s="59"/>
      <c r="H423" s="59"/>
      <c r="I423" s="59"/>
      <c r="K423" s="44" t="str">
        <f t="shared" si="3"/>
        <v/>
      </c>
      <c r="L423" s="44" t="str">
        <f t="shared" si="4"/>
        <v/>
      </c>
    </row>
    <row r="424" spans="1:12" ht="15.75" customHeight="1">
      <c r="A424" s="66" t="str">
        <f>IF(E424="","",VLOOKUP('Opći dio'!$C$3,'Opći dio'!$L$6:$U$137,10,FALSE))</f>
        <v/>
      </c>
      <c r="B424" s="66" t="str">
        <f>IF(E424="","",VLOOKUP('Opći dio'!$C$3,'Opći dio'!$L$6:$U$137,9,FALSE))</f>
        <v/>
      </c>
      <c r="C424" s="55" t="str">
        <f t="shared" si="20"/>
        <v/>
      </c>
      <c r="D424" s="56" t="str">
        <f t="shared" si="21"/>
        <v/>
      </c>
      <c r="E424" s="61"/>
      <c r="F424" s="58" t="str">
        <f t="shared" si="22"/>
        <v/>
      </c>
      <c r="G424" s="59"/>
      <c r="H424" s="59"/>
      <c r="I424" s="59"/>
      <c r="K424" s="44" t="str">
        <f t="shared" si="3"/>
        <v/>
      </c>
      <c r="L424" s="44" t="str">
        <f t="shared" si="4"/>
        <v/>
      </c>
    </row>
    <row r="425" spans="1:12" ht="15.75" customHeight="1">
      <c r="A425" s="66" t="str">
        <f>IF(E425="","",VLOOKUP('Opći dio'!$C$3,'Opći dio'!$L$6:$U$137,10,FALSE))</f>
        <v/>
      </c>
      <c r="B425" s="66" t="str">
        <f>IF(E425="","",VLOOKUP('Opći dio'!$C$3,'Opći dio'!$L$6:$U$137,9,FALSE))</f>
        <v/>
      </c>
      <c r="C425" s="55" t="str">
        <f t="shared" si="20"/>
        <v/>
      </c>
      <c r="D425" s="56" t="str">
        <f t="shared" si="21"/>
        <v/>
      </c>
      <c r="E425" s="61"/>
      <c r="F425" s="58" t="str">
        <f t="shared" si="22"/>
        <v/>
      </c>
      <c r="G425" s="59"/>
      <c r="H425" s="59"/>
      <c r="I425" s="59"/>
      <c r="K425" s="44" t="str">
        <f t="shared" si="3"/>
        <v/>
      </c>
      <c r="L425" s="44" t="str">
        <f t="shared" si="4"/>
        <v/>
      </c>
    </row>
    <row r="426" spans="1:12" ht="15.75" customHeight="1">
      <c r="A426" s="66" t="str">
        <f>IF(E426="","",VLOOKUP('Opći dio'!$C$3,'Opći dio'!$L$6:$U$137,10,FALSE))</f>
        <v/>
      </c>
      <c r="B426" s="66" t="str">
        <f>IF(E426="","",VLOOKUP('Opći dio'!$C$3,'Opći dio'!$L$6:$U$137,9,FALSE))</f>
        <v/>
      </c>
      <c r="C426" s="55" t="str">
        <f t="shared" si="20"/>
        <v/>
      </c>
      <c r="D426" s="56" t="str">
        <f t="shared" si="21"/>
        <v/>
      </c>
      <c r="E426" s="61"/>
      <c r="F426" s="58" t="str">
        <f t="shared" si="22"/>
        <v/>
      </c>
      <c r="G426" s="59"/>
      <c r="H426" s="59"/>
      <c r="I426" s="59"/>
      <c r="K426" s="44" t="str">
        <f t="shared" si="3"/>
        <v/>
      </c>
      <c r="L426" s="44" t="str">
        <f t="shared" si="4"/>
        <v/>
      </c>
    </row>
    <row r="427" spans="1:12" ht="15.75" customHeight="1">
      <c r="A427" s="66" t="str">
        <f>IF(E427="","",VLOOKUP('Opći dio'!$C$3,'Opći dio'!$L$6:$U$137,10,FALSE))</f>
        <v/>
      </c>
      <c r="B427" s="66" t="str">
        <f>IF(E427="","",VLOOKUP('Opći dio'!$C$3,'Opći dio'!$L$6:$U$137,9,FALSE))</f>
        <v/>
      </c>
      <c r="C427" s="55" t="str">
        <f t="shared" si="20"/>
        <v/>
      </c>
      <c r="D427" s="56" t="str">
        <f t="shared" si="21"/>
        <v/>
      </c>
      <c r="E427" s="61"/>
      <c r="F427" s="58" t="str">
        <f t="shared" si="22"/>
        <v/>
      </c>
      <c r="G427" s="59"/>
      <c r="H427" s="59"/>
      <c r="I427" s="59"/>
      <c r="K427" s="44" t="str">
        <f t="shared" si="3"/>
        <v/>
      </c>
      <c r="L427" s="44" t="str">
        <f t="shared" si="4"/>
        <v/>
      </c>
    </row>
    <row r="428" spans="1:12" ht="15.75" customHeight="1">
      <c r="A428" s="66" t="str">
        <f>IF(E428="","",VLOOKUP('Opći dio'!$C$3,'Opći dio'!$L$6:$U$137,10,FALSE))</f>
        <v/>
      </c>
      <c r="B428" s="66" t="str">
        <f>IF(E428="","",VLOOKUP('Opći dio'!$C$3,'Opći dio'!$L$6:$U$137,9,FALSE))</f>
        <v/>
      </c>
      <c r="C428" s="55" t="str">
        <f t="shared" si="20"/>
        <v/>
      </c>
      <c r="D428" s="56" t="str">
        <f t="shared" si="21"/>
        <v/>
      </c>
      <c r="E428" s="61"/>
      <c r="F428" s="58" t="str">
        <f t="shared" si="22"/>
        <v/>
      </c>
      <c r="G428" s="59"/>
      <c r="H428" s="59"/>
      <c r="I428" s="59"/>
      <c r="K428" s="44" t="str">
        <f t="shared" si="3"/>
        <v/>
      </c>
      <c r="L428" s="44" t="str">
        <f t="shared" si="4"/>
        <v/>
      </c>
    </row>
    <row r="429" spans="1:12" ht="15.75" customHeight="1">
      <c r="A429" s="66" t="str">
        <f>IF(E429="","",VLOOKUP('Opći dio'!$C$3,'Opći dio'!$L$6:$U$137,10,FALSE))</f>
        <v/>
      </c>
      <c r="B429" s="66" t="str">
        <f>IF(E429="","",VLOOKUP('Opći dio'!$C$3,'Opći dio'!$L$6:$U$137,9,FALSE))</f>
        <v/>
      </c>
      <c r="C429" s="55" t="str">
        <f t="shared" si="20"/>
        <v/>
      </c>
      <c r="D429" s="56" t="str">
        <f t="shared" si="21"/>
        <v/>
      </c>
      <c r="E429" s="61"/>
      <c r="F429" s="58" t="str">
        <f t="shared" si="22"/>
        <v/>
      </c>
      <c r="G429" s="59"/>
      <c r="H429" s="59"/>
      <c r="I429" s="59"/>
      <c r="K429" s="44" t="str">
        <f t="shared" si="3"/>
        <v/>
      </c>
      <c r="L429" s="44" t="str">
        <f t="shared" si="4"/>
        <v/>
      </c>
    </row>
    <row r="430" spans="1:12" ht="15.75" customHeight="1">
      <c r="A430" s="66" t="str">
        <f>IF(E430="","",VLOOKUP('Opći dio'!$C$3,'Opći dio'!$L$6:$U$137,10,FALSE))</f>
        <v/>
      </c>
      <c r="B430" s="66" t="str">
        <f>IF(E430="","",VLOOKUP('Opći dio'!$C$3,'Opći dio'!$L$6:$U$137,9,FALSE))</f>
        <v/>
      </c>
      <c r="C430" s="55" t="str">
        <f t="shared" si="20"/>
        <v/>
      </c>
      <c r="D430" s="56" t="str">
        <f t="shared" si="21"/>
        <v/>
      </c>
      <c r="E430" s="61"/>
      <c r="F430" s="58" t="str">
        <f t="shared" si="22"/>
        <v/>
      </c>
      <c r="G430" s="59"/>
      <c r="H430" s="59"/>
      <c r="I430" s="59"/>
      <c r="K430" s="44" t="str">
        <f t="shared" si="3"/>
        <v/>
      </c>
      <c r="L430" s="44" t="str">
        <f t="shared" si="4"/>
        <v/>
      </c>
    </row>
    <row r="431" spans="1:12" ht="15.75" customHeight="1">
      <c r="A431" s="66" t="str">
        <f>IF(E431="","",VLOOKUP('Opći dio'!$C$3,'Opći dio'!$L$6:$U$137,10,FALSE))</f>
        <v/>
      </c>
      <c r="B431" s="66" t="str">
        <f>IF(E431="","",VLOOKUP('Opći dio'!$C$3,'Opći dio'!$L$6:$U$137,9,FALSE))</f>
        <v/>
      </c>
      <c r="C431" s="55" t="str">
        <f t="shared" si="20"/>
        <v/>
      </c>
      <c r="D431" s="56" t="str">
        <f t="shared" si="21"/>
        <v/>
      </c>
      <c r="E431" s="61"/>
      <c r="F431" s="58" t="str">
        <f t="shared" si="22"/>
        <v/>
      </c>
      <c r="G431" s="59"/>
      <c r="H431" s="59"/>
      <c r="I431" s="59"/>
      <c r="K431" s="44" t="str">
        <f t="shared" si="3"/>
        <v/>
      </c>
      <c r="L431" s="44" t="str">
        <f t="shared" si="4"/>
        <v/>
      </c>
    </row>
    <row r="432" spans="1:12" ht="15.75" customHeight="1">
      <c r="A432" s="66" t="str">
        <f>IF(E432="","",VLOOKUP('Opći dio'!$C$3,'Opći dio'!$L$6:$U$137,10,FALSE))</f>
        <v/>
      </c>
      <c r="B432" s="66" t="str">
        <f>IF(E432="","",VLOOKUP('Opći dio'!$C$3,'Opći dio'!$L$6:$U$137,9,FALSE))</f>
        <v/>
      </c>
      <c r="C432" s="55" t="str">
        <f t="shared" si="20"/>
        <v/>
      </c>
      <c r="D432" s="56" t="str">
        <f t="shared" si="21"/>
        <v/>
      </c>
      <c r="E432" s="61"/>
      <c r="F432" s="58" t="str">
        <f t="shared" si="22"/>
        <v/>
      </c>
      <c r="G432" s="59"/>
      <c r="H432" s="59"/>
      <c r="I432" s="59"/>
      <c r="K432" s="44" t="str">
        <f t="shared" si="3"/>
        <v/>
      </c>
      <c r="L432" s="44" t="str">
        <f t="shared" si="4"/>
        <v/>
      </c>
    </row>
    <row r="433" spans="1:12" ht="15.75" customHeight="1">
      <c r="A433" s="66" t="str">
        <f>IF(E433="","",VLOOKUP('Opći dio'!$C$3,'Opći dio'!$L$6:$U$137,10,FALSE))</f>
        <v/>
      </c>
      <c r="B433" s="66" t="str">
        <f>IF(E433="","",VLOOKUP('Opći dio'!$C$3,'Opći dio'!$L$6:$U$137,9,FALSE))</f>
        <v/>
      </c>
      <c r="C433" s="55" t="str">
        <f t="shared" si="20"/>
        <v/>
      </c>
      <c r="D433" s="56" t="str">
        <f t="shared" si="21"/>
        <v/>
      </c>
      <c r="E433" s="61"/>
      <c r="F433" s="58" t="str">
        <f t="shared" si="22"/>
        <v/>
      </c>
      <c r="G433" s="59"/>
      <c r="H433" s="59"/>
      <c r="I433" s="59"/>
      <c r="K433" s="44" t="str">
        <f t="shared" si="3"/>
        <v/>
      </c>
      <c r="L433" s="44" t="str">
        <f t="shared" si="4"/>
        <v/>
      </c>
    </row>
    <row r="434" spans="1:12" ht="15.75" customHeight="1">
      <c r="A434" s="66" t="str">
        <f>IF(E434="","",VLOOKUP('Opći dio'!$C$3,'Opći dio'!$L$6:$U$137,10,FALSE))</f>
        <v/>
      </c>
      <c r="B434" s="66" t="str">
        <f>IF(E434="","",VLOOKUP('Opći dio'!$C$3,'Opći dio'!$L$6:$U$137,9,FALSE))</f>
        <v/>
      </c>
      <c r="C434" s="55" t="str">
        <f t="shared" si="20"/>
        <v/>
      </c>
      <c r="D434" s="56" t="str">
        <f t="shared" si="21"/>
        <v/>
      </c>
      <c r="E434" s="61"/>
      <c r="F434" s="58" t="str">
        <f t="shared" si="22"/>
        <v/>
      </c>
      <c r="G434" s="59"/>
      <c r="H434" s="59"/>
      <c r="I434" s="59"/>
      <c r="K434" s="44" t="str">
        <f t="shared" si="3"/>
        <v/>
      </c>
      <c r="L434" s="44" t="str">
        <f t="shared" si="4"/>
        <v/>
      </c>
    </row>
    <row r="435" spans="1:12" ht="15.75" customHeight="1">
      <c r="A435" s="66" t="str">
        <f>IF(E435="","",VLOOKUP('Opći dio'!$C$3,'Opći dio'!$L$6:$U$137,10,FALSE))</f>
        <v/>
      </c>
      <c r="B435" s="66" t="str">
        <f>IF(E435="","",VLOOKUP('Opći dio'!$C$3,'Opći dio'!$L$6:$U$137,9,FALSE))</f>
        <v/>
      </c>
      <c r="C435" s="55" t="str">
        <f t="shared" si="20"/>
        <v/>
      </c>
      <c r="D435" s="56" t="str">
        <f t="shared" si="21"/>
        <v/>
      </c>
      <c r="E435" s="61"/>
      <c r="F435" s="58" t="str">
        <f t="shared" si="22"/>
        <v/>
      </c>
      <c r="G435" s="59"/>
      <c r="H435" s="59"/>
      <c r="I435" s="59"/>
      <c r="K435" s="44" t="str">
        <f t="shared" si="3"/>
        <v/>
      </c>
      <c r="L435" s="44" t="str">
        <f t="shared" si="4"/>
        <v/>
      </c>
    </row>
    <row r="436" spans="1:12" ht="15.75" customHeight="1">
      <c r="A436" s="66" t="str">
        <f>IF(E436="","",VLOOKUP('Opći dio'!$C$3,'Opći dio'!$L$6:$U$137,10,FALSE))</f>
        <v/>
      </c>
      <c r="B436" s="66" t="str">
        <f>IF(E436="","",VLOOKUP('Opći dio'!$C$3,'Opći dio'!$L$6:$U$137,9,FALSE))</f>
        <v/>
      </c>
      <c r="C436" s="55" t="str">
        <f t="shared" si="20"/>
        <v/>
      </c>
      <c r="D436" s="56" t="str">
        <f t="shared" si="21"/>
        <v/>
      </c>
      <c r="E436" s="61"/>
      <c r="F436" s="58" t="str">
        <f t="shared" si="22"/>
        <v/>
      </c>
      <c r="G436" s="59"/>
      <c r="H436" s="59"/>
      <c r="I436" s="59"/>
      <c r="K436" s="44" t="str">
        <f t="shared" si="3"/>
        <v/>
      </c>
      <c r="L436" s="44" t="str">
        <f t="shared" si="4"/>
        <v/>
      </c>
    </row>
    <row r="437" spans="1:12" ht="15.75" customHeight="1">
      <c r="A437" s="66" t="str">
        <f>IF(E437="","",VLOOKUP('Opći dio'!$C$3,'Opći dio'!$L$6:$U$137,10,FALSE))</f>
        <v/>
      </c>
      <c r="B437" s="66" t="str">
        <f>IF(E437="","",VLOOKUP('Opći dio'!$C$3,'Opći dio'!$L$6:$U$137,9,FALSE))</f>
        <v/>
      </c>
      <c r="C437" s="55" t="str">
        <f t="shared" si="20"/>
        <v/>
      </c>
      <c r="D437" s="56" t="str">
        <f t="shared" si="21"/>
        <v/>
      </c>
      <c r="E437" s="61"/>
      <c r="F437" s="58" t="str">
        <f t="shared" si="22"/>
        <v/>
      </c>
      <c r="G437" s="59"/>
      <c r="H437" s="59"/>
      <c r="I437" s="59"/>
      <c r="K437" s="44" t="str">
        <f t="shared" si="3"/>
        <v/>
      </c>
      <c r="L437" s="44" t="str">
        <f t="shared" si="4"/>
        <v/>
      </c>
    </row>
    <row r="438" spans="1:12" ht="15.75" customHeight="1">
      <c r="A438" s="66" t="str">
        <f>IF(E438="","",VLOOKUP('Opći dio'!$C$3,'Opći dio'!$L$6:$U$137,10,FALSE))</f>
        <v/>
      </c>
      <c r="B438" s="66" t="str">
        <f>IF(E438="","",VLOOKUP('Opći dio'!$C$3,'Opći dio'!$L$6:$U$137,9,FALSE))</f>
        <v/>
      </c>
      <c r="C438" s="55" t="str">
        <f t="shared" si="20"/>
        <v/>
      </c>
      <c r="D438" s="56" t="str">
        <f t="shared" si="21"/>
        <v/>
      </c>
      <c r="E438" s="61"/>
      <c r="F438" s="58" t="str">
        <f t="shared" si="22"/>
        <v/>
      </c>
      <c r="G438" s="59"/>
      <c r="H438" s="59"/>
      <c r="I438" s="59"/>
      <c r="K438" s="44" t="str">
        <f t="shared" si="3"/>
        <v/>
      </c>
      <c r="L438" s="44" t="str">
        <f t="shared" si="4"/>
        <v/>
      </c>
    </row>
    <row r="439" spans="1:12" ht="15.75" customHeight="1">
      <c r="A439" s="66" t="str">
        <f>IF(E439="","",VLOOKUP('Opći dio'!$C$3,'Opći dio'!$L$6:$U$137,10,FALSE))</f>
        <v/>
      </c>
      <c r="B439" s="66" t="str">
        <f>IF(E439="","",VLOOKUP('Opći dio'!$C$3,'Opći dio'!$L$6:$U$137,9,FALSE))</f>
        <v/>
      </c>
      <c r="C439" s="55" t="str">
        <f t="shared" si="20"/>
        <v/>
      </c>
      <c r="D439" s="56" t="str">
        <f t="shared" si="21"/>
        <v/>
      </c>
      <c r="E439" s="61"/>
      <c r="F439" s="58" t="str">
        <f t="shared" si="22"/>
        <v/>
      </c>
      <c r="G439" s="59"/>
      <c r="H439" s="59"/>
      <c r="I439" s="59"/>
      <c r="K439" s="44" t="str">
        <f t="shared" si="3"/>
        <v/>
      </c>
      <c r="L439" s="44" t="str">
        <f t="shared" si="4"/>
        <v/>
      </c>
    </row>
    <row r="440" spans="1:12" ht="15.75" customHeight="1">
      <c r="A440" s="66" t="str">
        <f>IF(E440="","",VLOOKUP('Opći dio'!$C$3,'Opći dio'!$L$6:$U$137,10,FALSE))</f>
        <v/>
      </c>
      <c r="B440" s="66" t="str">
        <f>IF(E440="","",VLOOKUP('Opći dio'!$C$3,'Opći dio'!$L$6:$U$137,9,FALSE))</f>
        <v/>
      </c>
      <c r="C440" s="55" t="str">
        <f t="shared" si="20"/>
        <v/>
      </c>
      <c r="D440" s="56" t="str">
        <f t="shared" si="21"/>
        <v/>
      </c>
      <c r="E440" s="61"/>
      <c r="F440" s="58" t="str">
        <f t="shared" si="22"/>
        <v/>
      </c>
      <c r="G440" s="59"/>
      <c r="H440" s="59"/>
      <c r="I440" s="59"/>
      <c r="K440" s="44" t="str">
        <f t="shared" si="3"/>
        <v/>
      </c>
      <c r="L440" s="44" t="str">
        <f t="shared" si="4"/>
        <v/>
      </c>
    </row>
    <row r="441" spans="1:12" ht="15.75" customHeight="1">
      <c r="A441" s="66" t="str">
        <f>IF(E441="","",VLOOKUP('Opći dio'!$C$3,'Opći dio'!$L$6:$U$137,10,FALSE))</f>
        <v/>
      </c>
      <c r="B441" s="66" t="str">
        <f>IF(E441="","",VLOOKUP('Opći dio'!$C$3,'Opći dio'!$L$6:$U$137,9,FALSE))</f>
        <v/>
      </c>
      <c r="C441" s="55" t="str">
        <f t="shared" si="20"/>
        <v/>
      </c>
      <c r="D441" s="56" t="str">
        <f t="shared" si="21"/>
        <v/>
      </c>
      <c r="E441" s="61"/>
      <c r="F441" s="58" t="str">
        <f t="shared" si="22"/>
        <v/>
      </c>
      <c r="G441" s="59"/>
      <c r="H441" s="59"/>
      <c r="I441" s="59"/>
      <c r="K441" s="44" t="str">
        <f t="shared" si="3"/>
        <v/>
      </c>
      <c r="L441" s="44" t="str">
        <f t="shared" si="4"/>
        <v/>
      </c>
    </row>
    <row r="442" spans="1:12" ht="15.75" customHeight="1">
      <c r="A442" s="66" t="str">
        <f>IF(E442="","",VLOOKUP('Opći dio'!$C$3,'Opći dio'!$L$6:$U$137,10,FALSE))</f>
        <v/>
      </c>
      <c r="B442" s="66" t="str">
        <f>IF(E442="","",VLOOKUP('Opći dio'!$C$3,'Opći dio'!$L$6:$U$137,9,FALSE))</f>
        <v/>
      </c>
      <c r="C442" s="55" t="str">
        <f t="shared" si="20"/>
        <v/>
      </c>
      <c r="D442" s="56" t="str">
        <f t="shared" si="21"/>
        <v/>
      </c>
      <c r="E442" s="61"/>
      <c r="F442" s="58" t="str">
        <f t="shared" si="22"/>
        <v/>
      </c>
      <c r="G442" s="59"/>
      <c r="H442" s="59"/>
      <c r="I442" s="59"/>
      <c r="K442" s="44" t="str">
        <f t="shared" si="3"/>
        <v/>
      </c>
      <c r="L442" s="44" t="str">
        <f t="shared" si="4"/>
        <v/>
      </c>
    </row>
    <row r="443" spans="1:12" ht="15.75" customHeight="1">
      <c r="A443" s="66" t="str">
        <f>IF(E443="","",VLOOKUP('Opći dio'!$C$3,'Opći dio'!$L$6:$U$137,10,FALSE))</f>
        <v/>
      </c>
      <c r="B443" s="66" t="str">
        <f>IF(E443="","",VLOOKUP('Opći dio'!$C$3,'Opći dio'!$L$6:$U$137,9,FALSE))</f>
        <v/>
      </c>
      <c r="C443" s="55" t="str">
        <f t="shared" si="20"/>
        <v/>
      </c>
      <c r="D443" s="56" t="str">
        <f t="shared" si="21"/>
        <v/>
      </c>
      <c r="E443" s="61"/>
      <c r="F443" s="58" t="str">
        <f t="shared" si="22"/>
        <v/>
      </c>
      <c r="G443" s="59"/>
      <c r="H443" s="59"/>
      <c r="I443" s="59"/>
      <c r="K443" s="44" t="str">
        <f t="shared" si="3"/>
        <v/>
      </c>
      <c r="L443" s="44" t="str">
        <f t="shared" si="4"/>
        <v/>
      </c>
    </row>
    <row r="444" spans="1:12" ht="15.75" customHeight="1">
      <c r="A444" s="66" t="str">
        <f>IF(E444="","",VLOOKUP('Opći dio'!$C$3,'Opći dio'!$L$6:$U$137,10,FALSE))</f>
        <v/>
      </c>
      <c r="B444" s="66" t="str">
        <f>IF(E444="","",VLOOKUP('Opći dio'!$C$3,'Opći dio'!$L$6:$U$137,9,FALSE))</f>
        <v/>
      </c>
      <c r="C444" s="55" t="str">
        <f t="shared" si="20"/>
        <v/>
      </c>
      <c r="D444" s="56" t="str">
        <f t="shared" si="21"/>
        <v/>
      </c>
      <c r="E444" s="61"/>
      <c r="F444" s="58" t="str">
        <f t="shared" si="22"/>
        <v/>
      </c>
      <c r="G444" s="59"/>
      <c r="H444" s="59"/>
      <c r="I444" s="59"/>
      <c r="K444" s="44" t="str">
        <f t="shared" si="3"/>
        <v/>
      </c>
      <c r="L444" s="44" t="str">
        <f t="shared" si="4"/>
        <v/>
      </c>
    </row>
    <row r="445" spans="1:12" ht="15.75" customHeight="1">
      <c r="A445" s="66" t="str">
        <f>IF(E445="","",VLOOKUP('Opći dio'!$C$3,'Opći dio'!$L$6:$U$137,10,FALSE))</f>
        <v/>
      </c>
      <c r="B445" s="66" t="str">
        <f>IF(E445="","",VLOOKUP('Opći dio'!$C$3,'Opći dio'!$L$6:$U$137,9,FALSE))</f>
        <v/>
      </c>
      <c r="C445" s="55" t="str">
        <f t="shared" si="20"/>
        <v/>
      </c>
      <c r="D445" s="56" t="str">
        <f t="shared" si="21"/>
        <v/>
      </c>
      <c r="E445" s="61"/>
      <c r="F445" s="58" t="str">
        <f t="shared" si="22"/>
        <v/>
      </c>
      <c r="G445" s="59"/>
      <c r="H445" s="59"/>
      <c r="I445" s="59"/>
      <c r="K445" s="44" t="str">
        <f t="shared" si="3"/>
        <v/>
      </c>
      <c r="L445" s="44" t="str">
        <f t="shared" si="4"/>
        <v/>
      </c>
    </row>
    <row r="446" spans="1:12" ht="15.75" customHeight="1">
      <c r="A446" s="66" t="str">
        <f>IF(E446="","",VLOOKUP('Opći dio'!$C$3,'Opći dio'!$L$6:$U$137,10,FALSE))</f>
        <v/>
      </c>
      <c r="B446" s="66" t="str">
        <f>IF(E446="","",VLOOKUP('Opći dio'!$C$3,'Opći dio'!$L$6:$U$137,9,FALSE))</f>
        <v/>
      </c>
      <c r="C446" s="55" t="str">
        <f t="shared" si="20"/>
        <v/>
      </c>
      <c r="D446" s="56" t="str">
        <f t="shared" si="21"/>
        <v/>
      </c>
      <c r="E446" s="61"/>
      <c r="F446" s="58" t="str">
        <f t="shared" si="22"/>
        <v/>
      </c>
      <c r="G446" s="59"/>
      <c r="H446" s="59"/>
      <c r="I446" s="59"/>
      <c r="K446" s="44" t="str">
        <f t="shared" si="3"/>
        <v/>
      </c>
      <c r="L446" s="44" t="str">
        <f t="shared" si="4"/>
        <v/>
      </c>
    </row>
    <row r="447" spans="1:12" ht="15.75" customHeight="1">
      <c r="A447" s="66" t="str">
        <f>IF(E447="","",VLOOKUP('Opći dio'!$C$3,'Opći dio'!$L$6:$U$137,10,FALSE))</f>
        <v/>
      </c>
      <c r="B447" s="66" t="str">
        <f>IF(E447="","",VLOOKUP('Opći dio'!$C$3,'Opći dio'!$L$6:$U$137,9,FALSE))</f>
        <v/>
      </c>
      <c r="C447" s="55" t="str">
        <f t="shared" si="20"/>
        <v/>
      </c>
      <c r="D447" s="56" t="str">
        <f t="shared" si="21"/>
        <v/>
      </c>
      <c r="E447" s="61"/>
      <c r="F447" s="58" t="str">
        <f t="shared" si="22"/>
        <v/>
      </c>
      <c r="G447" s="59"/>
      <c r="H447" s="59"/>
      <c r="I447" s="59"/>
      <c r="K447" s="44" t="str">
        <f t="shared" si="3"/>
        <v/>
      </c>
      <c r="L447" s="44" t="str">
        <f t="shared" si="4"/>
        <v/>
      </c>
    </row>
    <row r="448" spans="1:12" ht="15.75" customHeight="1">
      <c r="A448" s="66" t="str">
        <f>IF(E448="","",VLOOKUP('Opći dio'!$C$3,'Opći dio'!$L$6:$U$137,10,FALSE))</f>
        <v/>
      </c>
      <c r="B448" s="66" t="str">
        <f>IF(E448="","",VLOOKUP('Opći dio'!$C$3,'Opći dio'!$L$6:$U$137,9,FALSE))</f>
        <v/>
      </c>
      <c r="C448" s="55" t="str">
        <f t="shared" si="20"/>
        <v/>
      </c>
      <c r="D448" s="56" t="str">
        <f t="shared" si="21"/>
        <v/>
      </c>
      <c r="E448" s="61"/>
      <c r="F448" s="58" t="str">
        <f t="shared" si="22"/>
        <v/>
      </c>
      <c r="G448" s="59"/>
      <c r="H448" s="59"/>
      <c r="I448" s="59"/>
      <c r="K448" s="44" t="str">
        <f t="shared" si="3"/>
        <v/>
      </c>
      <c r="L448" s="44" t="str">
        <f t="shared" si="4"/>
        <v/>
      </c>
    </row>
    <row r="449" spans="1:12" ht="15.75" customHeight="1">
      <c r="A449" s="66" t="str">
        <f>IF(E449="","",VLOOKUP('Opći dio'!$C$3,'Opći dio'!$L$6:$U$137,10,FALSE))</f>
        <v/>
      </c>
      <c r="B449" s="66" t="str">
        <f>IF(E449="","",VLOOKUP('Opći dio'!$C$3,'Opći dio'!$L$6:$U$137,9,FALSE))</f>
        <v/>
      </c>
      <c r="C449" s="55" t="str">
        <f t="shared" si="20"/>
        <v/>
      </c>
      <c r="D449" s="56" t="str">
        <f t="shared" si="21"/>
        <v/>
      </c>
      <c r="E449" s="61"/>
      <c r="F449" s="58" t="str">
        <f t="shared" si="22"/>
        <v/>
      </c>
      <c r="G449" s="59"/>
      <c r="H449" s="59"/>
      <c r="I449" s="59"/>
      <c r="K449" s="44" t="str">
        <f t="shared" si="3"/>
        <v/>
      </c>
      <c r="L449" s="44" t="str">
        <f t="shared" si="4"/>
        <v/>
      </c>
    </row>
    <row r="450" spans="1:12" ht="15.75" customHeight="1">
      <c r="A450" s="66" t="str">
        <f>IF(E450="","",VLOOKUP('Opći dio'!$C$3,'Opći dio'!$L$6:$U$137,10,FALSE))</f>
        <v/>
      </c>
      <c r="B450" s="66" t="str">
        <f>IF(E450="","",VLOOKUP('Opći dio'!$C$3,'Opći dio'!$L$6:$U$137,9,FALSE))</f>
        <v/>
      </c>
      <c r="C450" s="55" t="str">
        <f t="shared" si="20"/>
        <v/>
      </c>
      <c r="D450" s="56" t="str">
        <f t="shared" si="21"/>
        <v/>
      </c>
      <c r="E450" s="61"/>
      <c r="F450" s="58" t="str">
        <f t="shared" si="22"/>
        <v/>
      </c>
      <c r="G450" s="59"/>
      <c r="H450" s="59"/>
      <c r="I450" s="59"/>
      <c r="K450" s="44" t="str">
        <f t="shared" si="3"/>
        <v/>
      </c>
      <c r="L450" s="44" t="str">
        <f t="shared" si="4"/>
        <v/>
      </c>
    </row>
    <row r="451" spans="1:12" ht="15.75" customHeight="1">
      <c r="A451" s="66" t="str">
        <f>IF(E451="","",VLOOKUP('Opći dio'!$C$3,'Opći dio'!$L$6:$U$137,10,FALSE))</f>
        <v/>
      </c>
      <c r="B451" s="66" t="str">
        <f>IF(E451="","",VLOOKUP('Opći dio'!$C$3,'Opći dio'!$L$6:$U$137,9,FALSE))</f>
        <v/>
      </c>
      <c r="C451" s="55" t="str">
        <f t="shared" ref="C451:C500" si="23">IFERROR(VLOOKUP(E451,$Q$6:$T$104,3,FALSE),"")</f>
        <v/>
      </c>
      <c r="D451" s="56" t="str">
        <f t="shared" ref="D451:D500" si="24">IFERROR(VLOOKUP(E451,$Q$6:$T$104,4,FALSE),"")</f>
        <v/>
      </c>
      <c r="E451" s="61"/>
      <c r="F451" s="58" t="str">
        <f t="shared" ref="F451:F500" si="25">IFERROR(VLOOKUP(E451,$Q$6:$T$104,2,FALSE),"")</f>
        <v/>
      </c>
      <c r="G451" s="59"/>
      <c r="H451" s="59"/>
      <c r="I451" s="59"/>
      <c r="K451" s="44" t="str">
        <f t="shared" si="3"/>
        <v/>
      </c>
      <c r="L451" s="44" t="str">
        <f t="shared" si="4"/>
        <v/>
      </c>
    </row>
    <row r="452" spans="1:12" ht="15.75" customHeight="1">
      <c r="A452" s="66" t="str">
        <f>IF(E452="","",VLOOKUP('Opći dio'!$C$3,'Opći dio'!$L$6:$U$137,10,FALSE))</f>
        <v/>
      </c>
      <c r="B452" s="66" t="str">
        <f>IF(E452="","",VLOOKUP('Opći dio'!$C$3,'Opći dio'!$L$6:$U$137,9,FALSE))</f>
        <v/>
      </c>
      <c r="C452" s="55" t="str">
        <f t="shared" si="23"/>
        <v/>
      </c>
      <c r="D452" s="56" t="str">
        <f t="shared" si="24"/>
        <v/>
      </c>
      <c r="E452" s="61"/>
      <c r="F452" s="58" t="str">
        <f t="shared" si="25"/>
        <v/>
      </c>
      <c r="G452" s="59"/>
      <c r="H452" s="59"/>
      <c r="I452" s="59"/>
      <c r="K452" s="44" t="str">
        <f t="shared" si="3"/>
        <v/>
      </c>
      <c r="L452" s="44" t="str">
        <f t="shared" si="4"/>
        <v/>
      </c>
    </row>
    <row r="453" spans="1:12" ht="15.75" customHeight="1">
      <c r="A453" s="66" t="str">
        <f>IF(E453="","",VLOOKUP('Opći dio'!$C$3,'Opći dio'!$L$6:$U$137,10,FALSE))</f>
        <v/>
      </c>
      <c r="B453" s="66" t="str">
        <f>IF(E453="","",VLOOKUP('Opći dio'!$C$3,'Opći dio'!$L$6:$U$137,9,FALSE))</f>
        <v/>
      </c>
      <c r="C453" s="55" t="str">
        <f t="shared" si="23"/>
        <v/>
      </c>
      <c r="D453" s="56" t="str">
        <f t="shared" si="24"/>
        <v/>
      </c>
      <c r="E453" s="61"/>
      <c r="F453" s="58" t="str">
        <f t="shared" si="25"/>
        <v/>
      </c>
      <c r="G453" s="59"/>
      <c r="H453" s="59"/>
      <c r="I453" s="59"/>
      <c r="K453" s="44" t="str">
        <f t="shared" si="3"/>
        <v/>
      </c>
      <c r="L453" s="44" t="str">
        <f t="shared" si="4"/>
        <v/>
      </c>
    </row>
    <row r="454" spans="1:12" ht="15.75" customHeight="1">
      <c r="A454" s="66" t="str">
        <f>IF(E454="","",VLOOKUP('Opći dio'!$C$3,'Opći dio'!$L$6:$U$137,10,FALSE))</f>
        <v/>
      </c>
      <c r="B454" s="66" t="str">
        <f>IF(E454="","",VLOOKUP('Opći dio'!$C$3,'Opći dio'!$L$6:$U$137,9,FALSE))</f>
        <v/>
      </c>
      <c r="C454" s="55" t="str">
        <f t="shared" si="23"/>
        <v/>
      </c>
      <c r="D454" s="56" t="str">
        <f t="shared" si="24"/>
        <v/>
      </c>
      <c r="E454" s="61"/>
      <c r="F454" s="58" t="str">
        <f t="shared" si="25"/>
        <v/>
      </c>
      <c r="G454" s="59"/>
      <c r="H454" s="59"/>
      <c r="I454" s="59"/>
      <c r="K454" s="44" t="str">
        <f t="shared" si="3"/>
        <v/>
      </c>
      <c r="L454" s="44" t="str">
        <f t="shared" si="4"/>
        <v/>
      </c>
    </row>
    <row r="455" spans="1:12" ht="15.75" customHeight="1">
      <c r="A455" s="66" t="str">
        <f>IF(E455="","",VLOOKUP('Opći dio'!$C$3,'Opći dio'!$L$6:$U$137,10,FALSE))</f>
        <v/>
      </c>
      <c r="B455" s="66" t="str">
        <f>IF(E455="","",VLOOKUP('Opći dio'!$C$3,'Opći dio'!$L$6:$U$137,9,FALSE))</f>
        <v/>
      </c>
      <c r="C455" s="55" t="str">
        <f t="shared" si="23"/>
        <v/>
      </c>
      <c r="D455" s="56" t="str">
        <f t="shared" si="24"/>
        <v/>
      </c>
      <c r="E455" s="61"/>
      <c r="F455" s="58" t="str">
        <f t="shared" si="25"/>
        <v/>
      </c>
      <c r="G455" s="59"/>
      <c r="H455" s="59"/>
      <c r="I455" s="59"/>
      <c r="K455" s="44" t="str">
        <f t="shared" si="3"/>
        <v/>
      </c>
      <c r="L455" s="44" t="str">
        <f t="shared" si="4"/>
        <v/>
      </c>
    </row>
    <row r="456" spans="1:12" ht="15.75" customHeight="1">
      <c r="A456" s="66" t="str">
        <f>IF(E456="","",VLOOKUP('Opći dio'!$C$3,'Opći dio'!$L$6:$U$137,10,FALSE))</f>
        <v/>
      </c>
      <c r="B456" s="66" t="str">
        <f>IF(E456="","",VLOOKUP('Opći dio'!$C$3,'Opći dio'!$L$6:$U$137,9,FALSE))</f>
        <v/>
      </c>
      <c r="C456" s="55" t="str">
        <f t="shared" si="23"/>
        <v/>
      </c>
      <c r="D456" s="56" t="str">
        <f t="shared" si="24"/>
        <v/>
      </c>
      <c r="E456" s="61"/>
      <c r="F456" s="58" t="str">
        <f t="shared" si="25"/>
        <v/>
      </c>
      <c r="G456" s="59"/>
      <c r="H456" s="59"/>
      <c r="I456" s="59"/>
      <c r="K456" s="44" t="str">
        <f t="shared" si="3"/>
        <v/>
      </c>
      <c r="L456" s="44" t="str">
        <f t="shared" si="4"/>
        <v/>
      </c>
    </row>
    <row r="457" spans="1:12" ht="15.75" customHeight="1">
      <c r="A457" s="66" t="str">
        <f>IF(E457="","",VLOOKUP('Opći dio'!$C$3,'Opći dio'!$L$6:$U$137,10,FALSE))</f>
        <v/>
      </c>
      <c r="B457" s="66" t="str">
        <f>IF(E457="","",VLOOKUP('Opći dio'!$C$3,'Opći dio'!$L$6:$U$137,9,FALSE))</f>
        <v/>
      </c>
      <c r="C457" s="55" t="str">
        <f t="shared" si="23"/>
        <v/>
      </c>
      <c r="D457" s="56" t="str">
        <f t="shared" si="24"/>
        <v/>
      </c>
      <c r="E457" s="61"/>
      <c r="F457" s="58" t="str">
        <f t="shared" si="25"/>
        <v/>
      </c>
      <c r="G457" s="59"/>
      <c r="H457" s="59"/>
      <c r="I457" s="59"/>
      <c r="K457" s="44" t="str">
        <f t="shared" si="3"/>
        <v/>
      </c>
      <c r="L457" s="44" t="str">
        <f t="shared" si="4"/>
        <v/>
      </c>
    </row>
    <row r="458" spans="1:12" ht="15.75" customHeight="1">
      <c r="A458" s="66" t="str">
        <f>IF(E458="","",VLOOKUP('Opći dio'!$C$3,'Opći dio'!$L$6:$U$137,10,FALSE))</f>
        <v/>
      </c>
      <c r="B458" s="66" t="str">
        <f>IF(E458="","",VLOOKUP('Opći dio'!$C$3,'Opći dio'!$L$6:$U$137,9,FALSE))</f>
        <v/>
      </c>
      <c r="C458" s="55" t="str">
        <f t="shared" si="23"/>
        <v/>
      </c>
      <c r="D458" s="56" t="str">
        <f t="shared" si="24"/>
        <v/>
      </c>
      <c r="E458" s="61"/>
      <c r="F458" s="58" t="str">
        <f t="shared" si="25"/>
        <v/>
      </c>
      <c r="G458" s="59"/>
      <c r="H458" s="59"/>
      <c r="I458" s="59"/>
      <c r="K458" s="44" t="str">
        <f t="shared" si="3"/>
        <v/>
      </c>
      <c r="L458" s="44" t="str">
        <f t="shared" si="4"/>
        <v/>
      </c>
    </row>
    <row r="459" spans="1:12" ht="15.75" customHeight="1">
      <c r="A459" s="66" t="str">
        <f>IF(E459="","",VLOOKUP('Opći dio'!$C$3,'Opći dio'!$L$6:$U$137,10,FALSE))</f>
        <v/>
      </c>
      <c r="B459" s="66" t="str">
        <f>IF(E459="","",VLOOKUP('Opći dio'!$C$3,'Opći dio'!$L$6:$U$137,9,FALSE))</f>
        <v/>
      </c>
      <c r="C459" s="55" t="str">
        <f t="shared" si="23"/>
        <v/>
      </c>
      <c r="D459" s="56" t="str">
        <f t="shared" si="24"/>
        <v/>
      </c>
      <c r="E459" s="61"/>
      <c r="F459" s="58" t="str">
        <f t="shared" si="25"/>
        <v/>
      </c>
      <c r="G459" s="59"/>
      <c r="H459" s="59"/>
      <c r="I459" s="59"/>
      <c r="K459" s="44" t="str">
        <f t="shared" si="3"/>
        <v/>
      </c>
      <c r="L459" s="44" t="str">
        <f t="shared" si="4"/>
        <v/>
      </c>
    </row>
    <row r="460" spans="1:12" ht="15.75" customHeight="1">
      <c r="A460" s="66" t="str">
        <f>IF(E460="","",VLOOKUP('Opći dio'!$C$3,'Opći dio'!$L$6:$U$137,10,FALSE))</f>
        <v/>
      </c>
      <c r="B460" s="66" t="str">
        <f>IF(E460="","",VLOOKUP('Opći dio'!$C$3,'Opći dio'!$L$6:$U$137,9,FALSE))</f>
        <v/>
      </c>
      <c r="C460" s="55" t="str">
        <f t="shared" si="23"/>
        <v/>
      </c>
      <c r="D460" s="56" t="str">
        <f t="shared" si="24"/>
        <v/>
      </c>
      <c r="E460" s="61"/>
      <c r="F460" s="58" t="str">
        <f t="shared" si="25"/>
        <v/>
      </c>
      <c r="G460" s="59"/>
      <c r="H460" s="59"/>
      <c r="I460" s="59"/>
      <c r="K460" s="44" t="str">
        <f t="shared" si="3"/>
        <v/>
      </c>
      <c r="L460" s="44" t="str">
        <f t="shared" si="4"/>
        <v/>
      </c>
    </row>
    <row r="461" spans="1:12" ht="15.75" customHeight="1">
      <c r="A461" s="66" t="str">
        <f>IF(E461="","",VLOOKUP('Opći dio'!$C$3,'Opći dio'!$L$6:$U$137,10,FALSE))</f>
        <v/>
      </c>
      <c r="B461" s="66" t="str">
        <f>IF(E461="","",VLOOKUP('Opći dio'!$C$3,'Opći dio'!$L$6:$U$137,9,FALSE))</f>
        <v/>
      </c>
      <c r="C461" s="55" t="str">
        <f t="shared" si="23"/>
        <v/>
      </c>
      <c r="D461" s="56" t="str">
        <f t="shared" si="24"/>
        <v/>
      </c>
      <c r="E461" s="61"/>
      <c r="F461" s="58" t="str">
        <f t="shared" si="25"/>
        <v/>
      </c>
      <c r="G461" s="59"/>
      <c r="H461" s="59"/>
      <c r="I461" s="59"/>
      <c r="K461" s="44" t="str">
        <f t="shared" si="3"/>
        <v/>
      </c>
      <c r="L461" s="44" t="str">
        <f t="shared" si="4"/>
        <v/>
      </c>
    </row>
    <row r="462" spans="1:12" ht="15.75" customHeight="1">
      <c r="A462" s="66" t="str">
        <f>IF(E462="","",VLOOKUP('Opći dio'!$C$3,'Opći dio'!$L$6:$U$137,10,FALSE))</f>
        <v/>
      </c>
      <c r="B462" s="66" t="str">
        <f>IF(E462="","",VLOOKUP('Opći dio'!$C$3,'Opći dio'!$L$6:$U$137,9,FALSE))</f>
        <v/>
      </c>
      <c r="C462" s="55" t="str">
        <f t="shared" si="23"/>
        <v/>
      </c>
      <c r="D462" s="56" t="str">
        <f t="shared" si="24"/>
        <v/>
      </c>
      <c r="E462" s="61"/>
      <c r="F462" s="58" t="str">
        <f t="shared" si="25"/>
        <v/>
      </c>
      <c r="G462" s="59"/>
      <c r="H462" s="59"/>
      <c r="I462" s="59"/>
      <c r="K462" s="44" t="str">
        <f t="shared" si="3"/>
        <v/>
      </c>
      <c r="L462" s="44" t="str">
        <f t="shared" si="4"/>
        <v/>
      </c>
    </row>
    <row r="463" spans="1:12" ht="15.75" customHeight="1">
      <c r="A463" s="66" t="str">
        <f>IF(E463="","",VLOOKUP('Opći dio'!$C$3,'Opći dio'!$L$6:$U$137,10,FALSE))</f>
        <v/>
      </c>
      <c r="B463" s="66" t="str">
        <f>IF(E463="","",VLOOKUP('Opći dio'!$C$3,'Opći dio'!$L$6:$U$137,9,FALSE))</f>
        <v/>
      </c>
      <c r="C463" s="55" t="str">
        <f t="shared" si="23"/>
        <v/>
      </c>
      <c r="D463" s="56" t="str">
        <f t="shared" si="24"/>
        <v/>
      </c>
      <c r="E463" s="61"/>
      <c r="F463" s="58" t="str">
        <f t="shared" si="25"/>
        <v/>
      </c>
      <c r="G463" s="59"/>
      <c r="H463" s="59"/>
      <c r="I463" s="59"/>
      <c r="K463" s="44" t="str">
        <f t="shared" si="3"/>
        <v/>
      </c>
      <c r="L463" s="44" t="str">
        <f t="shared" si="4"/>
        <v/>
      </c>
    </row>
    <row r="464" spans="1:12" ht="15.75" customHeight="1">
      <c r="A464" s="66" t="str">
        <f>IF(E464="","",VLOOKUP('Opći dio'!$C$3,'Opći dio'!$L$6:$U$137,10,FALSE))</f>
        <v/>
      </c>
      <c r="B464" s="66" t="str">
        <f>IF(E464="","",VLOOKUP('Opći dio'!$C$3,'Opći dio'!$L$6:$U$137,9,FALSE))</f>
        <v/>
      </c>
      <c r="C464" s="55" t="str">
        <f t="shared" si="23"/>
        <v/>
      </c>
      <c r="D464" s="56" t="str">
        <f t="shared" si="24"/>
        <v/>
      </c>
      <c r="E464" s="61"/>
      <c r="F464" s="58" t="str">
        <f t="shared" si="25"/>
        <v/>
      </c>
      <c r="G464" s="59"/>
      <c r="H464" s="59"/>
      <c r="I464" s="59"/>
      <c r="K464" s="44" t="str">
        <f t="shared" si="3"/>
        <v/>
      </c>
      <c r="L464" s="44" t="str">
        <f t="shared" si="4"/>
        <v/>
      </c>
    </row>
    <row r="465" spans="1:12" ht="15.75" customHeight="1">
      <c r="A465" s="66" t="str">
        <f>IF(E465="","",VLOOKUP('Opći dio'!$C$3,'Opći dio'!$L$6:$U$137,10,FALSE))</f>
        <v/>
      </c>
      <c r="B465" s="66" t="str">
        <f>IF(E465="","",VLOOKUP('Opći dio'!$C$3,'Opći dio'!$L$6:$U$137,9,FALSE))</f>
        <v/>
      </c>
      <c r="C465" s="55" t="str">
        <f t="shared" si="23"/>
        <v/>
      </c>
      <c r="D465" s="56" t="str">
        <f t="shared" si="24"/>
        <v/>
      </c>
      <c r="E465" s="61"/>
      <c r="F465" s="58" t="str">
        <f t="shared" si="25"/>
        <v/>
      </c>
      <c r="G465" s="59"/>
      <c r="H465" s="59"/>
      <c r="I465" s="59"/>
      <c r="K465" s="44" t="str">
        <f t="shared" si="3"/>
        <v/>
      </c>
      <c r="L465" s="44" t="str">
        <f t="shared" si="4"/>
        <v/>
      </c>
    </row>
    <row r="466" spans="1:12" ht="15.75" customHeight="1">
      <c r="A466" s="66" t="str">
        <f>IF(E466="","",VLOOKUP('Opći dio'!$C$3,'Opći dio'!$L$6:$U$137,10,FALSE))</f>
        <v/>
      </c>
      <c r="B466" s="66" t="str">
        <f>IF(E466="","",VLOOKUP('Opći dio'!$C$3,'Opći dio'!$L$6:$U$137,9,FALSE))</f>
        <v/>
      </c>
      <c r="C466" s="55" t="str">
        <f t="shared" si="23"/>
        <v/>
      </c>
      <c r="D466" s="56" t="str">
        <f t="shared" si="24"/>
        <v/>
      </c>
      <c r="E466" s="61"/>
      <c r="F466" s="58" t="str">
        <f t="shared" si="25"/>
        <v/>
      </c>
      <c r="G466" s="59"/>
      <c r="H466" s="59"/>
      <c r="I466" s="59"/>
      <c r="K466" s="44" t="str">
        <f t="shared" si="3"/>
        <v/>
      </c>
      <c r="L466" s="44" t="str">
        <f t="shared" si="4"/>
        <v/>
      </c>
    </row>
    <row r="467" spans="1:12" ht="15.75" customHeight="1">
      <c r="A467" s="66" t="str">
        <f>IF(E467="","",VLOOKUP('Opći dio'!$C$3,'Opći dio'!$L$6:$U$137,10,FALSE))</f>
        <v/>
      </c>
      <c r="B467" s="66" t="str">
        <f>IF(E467="","",VLOOKUP('Opći dio'!$C$3,'Opći dio'!$L$6:$U$137,9,FALSE))</f>
        <v/>
      </c>
      <c r="C467" s="55" t="str">
        <f t="shared" si="23"/>
        <v/>
      </c>
      <c r="D467" s="56" t="str">
        <f t="shared" si="24"/>
        <v/>
      </c>
      <c r="E467" s="61"/>
      <c r="F467" s="58" t="str">
        <f t="shared" si="25"/>
        <v/>
      </c>
      <c r="G467" s="59"/>
      <c r="H467" s="59"/>
      <c r="I467" s="59"/>
      <c r="K467" s="44" t="str">
        <f t="shared" si="3"/>
        <v/>
      </c>
      <c r="L467" s="44" t="str">
        <f t="shared" si="4"/>
        <v/>
      </c>
    </row>
    <row r="468" spans="1:12" ht="15.75" customHeight="1">
      <c r="A468" s="66" t="str">
        <f>IF(E468="","",VLOOKUP('Opći dio'!$C$3,'Opći dio'!$L$6:$U$137,10,FALSE))</f>
        <v/>
      </c>
      <c r="B468" s="66" t="str">
        <f>IF(E468="","",VLOOKUP('Opći dio'!$C$3,'Opći dio'!$L$6:$U$137,9,FALSE))</f>
        <v/>
      </c>
      <c r="C468" s="55" t="str">
        <f t="shared" si="23"/>
        <v/>
      </c>
      <c r="D468" s="56" t="str">
        <f t="shared" si="24"/>
        <v/>
      </c>
      <c r="E468" s="61"/>
      <c r="F468" s="58" t="str">
        <f t="shared" si="25"/>
        <v/>
      </c>
      <c r="G468" s="59"/>
      <c r="H468" s="59"/>
      <c r="I468" s="59"/>
      <c r="K468" s="44" t="str">
        <f t="shared" si="3"/>
        <v/>
      </c>
      <c r="L468" s="44" t="str">
        <f t="shared" si="4"/>
        <v/>
      </c>
    </row>
    <row r="469" spans="1:12" ht="15.75" customHeight="1">
      <c r="A469" s="66" t="str">
        <f>IF(E469="","",VLOOKUP('Opći dio'!$C$3,'Opći dio'!$L$6:$U$137,10,FALSE))</f>
        <v/>
      </c>
      <c r="B469" s="66" t="str">
        <f>IF(E469="","",VLOOKUP('Opći dio'!$C$3,'Opći dio'!$L$6:$U$137,9,FALSE))</f>
        <v/>
      </c>
      <c r="C469" s="55" t="str">
        <f t="shared" si="23"/>
        <v/>
      </c>
      <c r="D469" s="56" t="str">
        <f t="shared" si="24"/>
        <v/>
      </c>
      <c r="E469" s="61"/>
      <c r="F469" s="58" t="str">
        <f t="shared" si="25"/>
        <v/>
      </c>
      <c r="G469" s="59"/>
      <c r="H469" s="59"/>
      <c r="I469" s="59"/>
      <c r="K469" s="44" t="str">
        <f t="shared" si="3"/>
        <v/>
      </c>
      <c r="L469" s="44" t="str">
        <f t="shared" si="4"/>
        <v/>
      </c>
    </row>
    <row r="470" spans="1:12" ht="15.75" customHeight="1">
      <c r="A470" s="66" t="str">
        <f>IF(E470="","",VLOOKUP('Opći dio'!$C$3,'Opći dio'!$L$6:$U$137,10,FALSE))</f>
        <v/>
      </c>
      <c r="B470" s="66" t="str">
        <f>IF(E470="","",VLOOKUP('Opći dio'!$C$3,'Opći dio'!$L$6:$U$137,9,FALSE))</f>
        <v/>
      </c>
      <c r="C470" s="55" t="str">
        <f t="shared" si="23"/>
        <v/>
      </c>
      <c r="D470" s="56" t="str">
        <f t="shared" si="24"/>
        <v/>
      </c>
      <c r="E470" s="61"/>
      <c r="F470" s="58" t="str">
        <f t="shared" si="25"/>
        <v/>
      </c>
      <c r="G470" s="59"/>
      <c r="H470" s="59"/>
      <c r="I470" s="59"/>
      <c r="K470" s="44" t="str">
        <f t="shared" si="3"/>
        <v/>
      </c>
      <c r="L470" s="44" t="str">
        <f t="shared" si="4"/>
        <v/>
      </c>
    </row>
    <row r="471" spans="1:12" ht="15.75" customHeight="1">
      <c r="A471" s="66" t="str">
        <f>IF(E471="","",VLOOKUP('Opći dio'!$C$3,'Opći dio'!$L$6:$U$137,10,FALSE))</f>
        <v/>
      </c>
      <c r="B471" s="66" t="str">
        <f>IF(E471="","",VLOOKUP('Opći dio'!$C$3,'Opći dio'!$L$6:$U$137,9,FALSE))</f>
        <v/>
      </c>
      <c r="C471" s="55" t="str">
        <f t="shared" si="23"/>
        <v/>
      </c>
      <c r="D471" s="56" t="str">
        <f t="shared" si="24"/>
        <v/>
      </c>
      <c r="E471" s="61"/>
      <c r="F471" s="58" t="str">
        <f t="shared" si="25"/>
        <v/>
      </c>
      <c r="G471" s="59"/>
      <c r="H471" s="59"/>
      <c r="I471" s="59"/>
      <c r="K471" s="44" t="str">
        <f t="shared" si="3"/>
        <v/>
      </c>
      <c r="L471" s="44" t="str">
        <f t="shared" si="4"/>
        <v/>
      </c>
    </row>
    <row r="472" spans="1:12" ht="15.75" customHeight="1">
      <c r="A472" s="66" t="str">
        <f>IF(E472="","",VLOOKUP('Opći dio'!$C$3,'Opći dio'!$L$6:$U$137,10,FALSE))</f>
        <v/>
      </c>
      <c r="B472" s="66" t="str">
        <f>IF(E472="","",VLOOKUP('Opći dio'!$C$3,'Opći dio'!$L$6:$U$137,9,FALSE))</f>
        <v/>
      </c>
      <c r="C472" s="55" t="str">
        <f t="shared" si="23"/>
        <v/>
      </c>
      <c r="D472" s="56" t="str">
        <f t="shared" si="24"/>
        <v/>
      </c>
      <c r="E472" s="61"/>
      <c r="F472" s="58" t="str">
        <f t="shared" si="25"/>
        <v/>
      </c>
      <c r="G472" s="59"/>
      <c r="H472" s="59"/>
      <c r="I472" s="59"/>
      <c r="K472" s="44" t="str">
        <f t="shared" si="3"/>
        <v/>
      </c>
      <c r="L472" s="44" t="str">
        <f t="shared" si="4"/>
        <v/>
      </c>
    </row>
    <row r="473" spans="1:12" ht="15.75" customHeight="1">
      <c r="A473" s="66" t="str">
        <f>IF(E473="","",VLOOKUP('Opći dio'!$C$3,'Opći dio'!$L$6:$U$137,10,FALSE))</f>
        <v/>
      </c>
      <c r="B473" s="66" t="str">
        <f>IF(E473="","",VLOOKUP('Opći dio'!$C$3,'Opći dio'!$L$6:$U$137,9,FALSE))</f>
        <v/>
      </c>
      <c r="C473" s="55" t="str">
        <f t="shared" si="23"/>
        <v/>
      </c>
      <c r="D473" s="56" t="str">
        <f t="shared" si="24"/>
        <v/>
      </c>
      <c r="E473" s="61"/>
      <c r="F473" s="58" t="str">
        <f t="shared" si="25"/>
        <v/>
      </c>
      <c r="G473" s="59"/>
      <c r="H473" s="59"/>
      <c r="I473" s="59"/>
      <c r="K473" s="44" t="str">
        <f t="shared" si="3"/>
        <v/>
      </c>
      <c r="L473" s="44" t="str">
        <f t="shared" si="4"/>
        <v/>
      </c>
    </row>
    <row r="474" spans="1:12" ht="15.75" customHeight="1">
      <c r="A474" s="66" t="str">
        <f>IF(E474="","",VLOOKUP('Opći dio'!$C$3,'Opći dio'!$L$6:$U$137,10,FALSE))</f>
        <v/>
      </c>
      <c r="B474" s="66" t="str">
        <f>IF(E474="","",VLOOKUP('Opći dio'!$C$3,'Opći dio'!$L$6:$U$137,9,FALSE))</f>
        <v/>
      </c>
      <c r="C474" s="55" t="str">
        <f t="shared" si="23"/>
        <v/>
      </c>
      <c r="D474" s="56" t="str">
        <f t="shared" si="24"/>
        <v/>
      </c>
      <c r="E474" s="61"/>
      <c r="F474" s="58" t="str">
        <f t="shared" si="25"/>
        <v/>
      </c>
      <c r="G474" s="59"/>
      <c r="H474" s="59"/>
      <c r="I474" s="59"/>
      <c r="K474" s="44" t="str">
        <f t="shared" si="3"/>
        <v/>
      </c>
      <c r="L474" s="44" t="str">
        <f t="shared" si="4"/>
        <v/>
      </c>
    </row>
    <row r="475" spans="1:12" ht="15.75" customHeight="1">
      <c r="A475" s="66" t="str">
        <f>IF(E475="","",VLOOKUP('Opći dio'!$C$3,'Opći dio'!$L$6:$U$137,10,FALSE))</f>
        <v/>
      </c>
      <c r="B475" s="66" t="str">
        <f>IF(E475="","",VLOOKUP('Opći dio'!$C$3,'Opći dio'!$L$6:$U$137,9,FALSE))</f>
        <v/>
      </c>
      <c r="C475" s="55" t="str">
        <f t="shared" si="23"/>
        <v/>
      </c>
      <c r="D475" s="56" t="str">
        <f t="shared" si="24"/>
        <v/>
      </c>
      <c r="E475" s="61"/>
      <c r="F475" s="58" t="str">
        <f t="shared" si="25"/>
        <v/>
      </c>
      <c r="G475" s="59"/>
      <c r="H475" s="59"/>
      <c r="I475" s="59"/>
      <c r="K475" s="44" t="str">
        <f t="shared" si="3"/>
        <v/>
      </c>
      <c r="L475" s="44" t="str">
        <f t="shared" si="4"/>
        <v/>
      </c>
    </row>
    <row r="476" spans="1:12" ht="15.75" customHeight="1">
      <c r="A476" s="66" t="str">
        <f>IF(E476="","",VLOOKUP('Opći dio'!$C$3,'Opći dio'!$L$6:$U$137,10,FALSE))</f>
        <v/>
      </c>
      <c r="B476" s="66" t="str">
        <f>IF(E476="","",VLOOKUP('Opći dio'!$C$3,'Opći dio'!$L$6:$U$137,9,FALSE))</f>
        <v/>
      </c>
      <c r="C476" s="55" t="str">
        <f t="shared" si="23"/>
        <v/>
      </c>
      <c r="D476" s="56" t="str">
        <f t="shared" si="24"/>
        <v/>
      </c>
      <c r="E476" s="61"/>
      <c r="F476" s="58" t="str">
        <f t="shared" si="25"/>
        <v/>
      </c>
      <c r="G476" s="59"/>
      <c r="H476" s="59"/>
      <c r="I476" s="59"/>
      <c r="K476" s="44" t="str">
        <f t="shared" si="3"/>
        <v/>
      </c>
      <c r="L476" s="44" t="str">
        <f t="shared" si="4"/>
        <v/>
      </c>
    </row>
    <row r="477" spans="1:12" ht="15.75" customHeight="1">
      <c r="A477" s="66" t="str">
        <f>IF(E477="","",VLOOKUP('Opći dio'!$C$3,'Opći dio'!$L$6:$U$137,10,FALSE))</f>
        <v/>
      </c>
      <c r="B477" s="66" t="str">
        <f>IF(E477="","",VLOOKUP('Opći dio'!$C$3,'Opći dio'!$L$6:$U$137,9,FALSE))</f>
        <v/>
      </c>
      <c r="C477" s="55" t="str">
        <f t="shared" si="23"/>
        <v/>
      </c>
      <c r="D477" s="56" t="str">
        <f t="shared" si="24"/>
        <v/>
      </c>
      <c r="E477" s="61"/>
      <c r="F477" s="58" t="str">
        <f t="shared" si="25"/>
        <v/>
      </c>
      <c r="G477" s="59"/>
      <c r="H477" s="59"/>
      <c r="I477" s="59"/>
      <c r="K477" s="44" t="str">
        <f t="shared" si="3"/>
        <v/>
      </c>
      <c r="L477" s="44" t="str">
        <f t="shared" si="4"/>
        <v/>
      </c>
    </row>
    <row r="478" spans="1:12" ht="15.75" customHeight="1">
      <c r="A478" s="66" t="str">
        <f>IF(E478="","",VLOOKUP('Opći dio'!$C$3,'Opći dio'!$L$6:$U$137,10,FALSE))</f>
        <v/>
      </c>
      <c r="B478" s="66" t="str">
        <f>IF(E478="","",VLOOKUP('Opći dio'!$C$3,'Opći dio'!$L$6:$U$137,9,FALSE))</f>
        <v/>
      </c>
      <c r="C478" s="55" t="str">
        <f t="shared" si="23"/>
        <v/>
      </c>
      <c r="D478" s="56" t="str">
        <f t="shared" si="24"/>
        <v/>
      </c>
      <c r="E478" s="61"/>
      <c r="F478" s="58" t="str">
        <f t="shared" si="25"/>
        <v/>
      </c>
      <c r="G478" s="59"/>
      <c r="H478" s="59"/>
      <c r="I478" s="59"/>
      <c r="K478" s="44" t="str">
        <f t="shared" si="3"/>
        <v/>
      </c>
      <c r="L478" s="44" t="str">
        <f t="shared" si="4"/>
        <v/>
      </c>
    </row>
    <row r="479" spans="1:12" ht="15.75" customHeight="1">
      <c r="A479" s="66" t="str">
        <f>IF(E479="","",VLOOKUP('Opći dio'!$C$3,'Opći dio'!$L$6:$U$137,10,FALSE))</f>
        <v/>
      </c>
      <c r="B479" s="66" t="str">
        <f>IF(E479="","",VLOOKUP('Opći dio'!$C$3,'Opći dio'!$L$6:$U$137,9,FALSE))</f>
        <v/>
      </c>
      <c r="C479" s="55" t="str">
        <f t="shared" si="23"/>
        <v/>
      </c>
      <c r="D479" s="56" t="str">
        <f t="shared" si="24"/>
        <v/>
      </c>
      <c r="E479" s="61"/>
      <c r="F479" s="58" t="str">
        <f t="shared" si="25"/>
        <v/>
      </c>
      <c r="G479" s="59"/>
      <c r="H479" s="59"/>
      <c r="I479" s="59"/>
      <c r="K479" s="44" t="str">
        <f t="shared" si="3"/>
        <v/>
      </c>
      <c r="L479" s="44" t="str">
        <f t="shared" si="4"/>
        <v/>
      </c>
    </row>
    <row r="480" spans="1:12" ht="15.75" customHeight="1">
      <c r="A480" s="66" t="str">
        <f>IF(E480="","",VLOOKUP('Opći dio'!$C$3,'Opći dio'!$L$6:$U$137,10,FALSE))</f>
        <v/>
      </c>
      <c r="B480" s="66" t="str">
        <f>IF(E480="","",VLOOKUP('Opći dio'!$C$3,'Opći dio'!$L$6:$U$137,9,FALSE))</f>
        <v/>
      </c>
      <c r="C480" s="55" t="str">
        <f t="shared" si="23"/>
        <v/>
      </c>
      <c r="D480" s="56" t="str">
        <f t="shared" si="24"/>
        <v/>
      </c>
      <c r="E480" s="61"/>
      <c r="F480" s="58" t="str">
        <f t="shared" si="25"/>
        <v/>
      </c>
      <c r="G480" s="59"/>
      <c r="H480" s="59"/>
      <c r="I480" s="59"/>
      <c r="K480" s="44" t="str">
        <f t="shared" si="3"/>
        <v/>
      </c>
      <c r="L480" s="44" t="str">
        <f t="shared" si="4"/>
        <v/>
      </c>
    </row>
    <row r="481" spans="1:12" ht="15.75" customHeight="1">
      <c r="A481" s="66" t="str">
        <f>IF(E481="","",VLOOKUP('Opći dio'!$C$3,'Opći dio'!$L$6:$U$137,10,FALSE))</f>
        <v/>
      </c>
      <c r="B481" s="66" t="str">
        <f>IF(E481="","",VLOOKUP('Opći dio'!$C$3,'Opći dio'!$L$6:$U$137,9,FALSE))</f>
        <v/>
      </c>
      <c r="C481" s="55" t="str">
        <f t="shared" si="23"/>
        <v/>
      </c>
      <c r="D481" s="56" t="str">
        <f t="shared" si="24"/>
        <v/>
      </c>
      <c r="E481" s="61"/>
      <c r="F481" s="58" t="str">
        <f t="shared" si="25"/>
        <v/>
      </c>
      <c r="G481" s="59"/>
      <c r="H481" s="59"/>
      <c r="I481" s="59"/>
      <c r="K481" s="44" t="str">
        <f t="shared" si="3"/>
        <v/>
      </c>
      <c r="L481" s="44" t="str">
        <f t="shared" si="4"/>
        <v/>
      </c>
    </row>
    <row r="482" spans="1:12" ht="15.75" customHeight="1">
      <c r="A482" s="66" t="str">
        <f>IF(E482="","",VLOOKUP('Opći dio'!$C$3,'Opći dio'!$L$6:$U$137,10,FALSE))</f>
        <v/>
      </c>
      <c r="B482" s="66" t="str">
        <f>IF(E482="","",VLOOKUP('Opći dio'!$C$3,'Opći dio'!$L$6:$U$137,9,FALSE))</f>
        <v/>
      </c>
      <c r="C482" s="55" t="str">
        <f t="shared" si="23"/>
        <v/>
      </c>
      <c r="D482" s="56" t="str">
        <f t="shared" si="24"/>
        <v/>
      </c>
      <c r="E482" s="61"/>
      <c r="F482" s="58" t="str">
        <f t="shared" si="25"/>
        <v/>
      </c>
      <c r="G482" s="59"/>
      <c r="H482" s="59"/>
      <c r="I482" s="59"/>
      <c r="K482" s="44" t="str">
        <f t="shared" si="3"/>
        <v/>
      </c>
      <c r="L482" s="44" t="str">
        <f t="shared" si="4"/>
        <v/>
      </c>
    </row>
    <row r="483" spans="1:12" ht="15.75" customHeight="1">
      <c r="A483" s="66" t="str">
        <f>IF(E483="","",VLOOKUP('Opći dio'!$C$3,'Opći dio'!$L$6:$U$137,10,FALSE))</f>
        <v/>
      </c>
      <c r="B483" s="66" t="str">
        <f>IF(E483="","",VLOOKUP('Opći dio'!$C$3,'Opći dio'!$L$6:$U$137,9,FALSE))</f>
        <v/>
      </c>
      <c r="C483" s="55" t="str">
        <f t="shared" si="23"/>
        <v/>
      </c>
      <c r="D483" s="56" t="str">
        <f t="shared" si="24"/>
        <v/>
      </c>
      <c r="E483" s="61"/>
      <c r="F483" s="58" t="str">
        <f t="shared" si="25"/>
        <v/>
      </c>
      <c r="G483" s="59"/>
      <c r="H483" s="59"/>
      <c r="I483" s="59"/>
      <c r="K483" s="44" t="str">
        <f t="shared" si="3"/>
        <v/>
      </c>
      <c r="L483" s="44" t="str">
        <f t="shared" si="4"/>
        <v/>
      </c>
    </row>
    <row r="484" spans="1:12" ht="15.75" customHeight="1">
      <c r="A484" s="66" t="str">
        <f>IF(E484="","",VLOOKUP('Opći dio'!$C$3,'Opći dio'!$L$6:$U$137,10,FALSE))</f>
        <v/>
      </c>
      <c r="B484" s="66" t="str">
        <f>IF(E484="","",VLOOKUP('Opći dio'!$C$3,'Opći dio'!$L$6:$U$137,9,FALSE))</f>
        <v/>
      </c>
      <c r="C484" s="55" t="str">
        <f t="shared" si="23"/>
        <v/>
      </c>
      <c r="D484" s="56" t="str">
        <f t="shared" si="24"/>
        <v/>
      </c>
      <c r="E484" s="61"/>
      <c r="F484" s="58" t="str">
        <f t="shared" si="25"/>
        <v/>
      </c>
      <c r="G484" s="59"/>
      <c r="H484" s="59"/>
      <c r="I484" s="59"/>
      <c r="K484" s="44" t="str">
        <f t="shared" si="3"/>
        <v/>
      </c>
      <c r="L484" s="44" t="str">
        <f t="shared" si="4"/>
        <v/>
      </c>
    </row>
    <row r="485" spans="1:12" ht="15.75" customHeight="1">
      <c r="A485" s="66" t="str">
        <f>IF(E485="","",VLOOKUP('Opći dio'!$C$3,'Opći dio'!$L$6:$U$137,10,FALSE))</f>
        <v/>
      </c>
      <c r="B485" s="66" t="str">
        <f>IF(E485="","",VLOOKUP('Opći dio'!$C$3,'Opći dio'!$L$6:$U$137,9,FALSE))</f>
        <v/>
      </c>
      <c r="C485" s="55" t="str">
        <f t="shared" si="23"/>
        <v/>
      </c>
      <c r="D485" s="56" t="str">
        <f t="shared" si="24"/>
        <v/>
      </c>
      <c r="E485" s="61"/>
      <c r="F485" s="58" t="str">
        <f t="shared" si="25"/>
        <v/>
      </c>
      <c r="G485" s="59"/>
      <c r="H485" s="59"/>
      <c r="I485" s="59"/>
      <c r="K485" s="44" t="str">
        <f t="shared" si="3"/>
        <v/>
      </c>
      <c r="L485" s="44" t="str">
        <f t="shared" si="4"/>
        <v/>
      </c>
    </row>
    <row r="486" spans="1:12" ht="15.75" customHeight="1">
      <c r="A486" s="66" t="str">
        <f>IF(E486="","",VLOOKUP('Opći dio'!$C$3,'Opći dio'!$L$6:$U$137,10,FALSE))</f>
        <v/>
      </c>
      <c r="B486" s="66" t="str">
        <f>IF(E486="","",VLOOKUP('Opći dio'!$C$3,'Opći dio'!$L$6:$U$137,9,FALSE))</f>
        <v/>
      </c>
      <c r="C486" s="55" t="str">
        <f t="shared" si="23"/>
        <v/>
      </c>
      <c r="D486" s="56" t="str">
        <f t="shared" si="24"/>
        <v/>
      </c>
      <c r="E486" s="61"/>
      <c r="F486" s="58" t="str">
        <f t="shared" si="25"/>
        <v/>
      </c>
      <c r="G486" s="59"/>
      <c r="H486" s="59"/>
      <c r="I486" s="59"/>
      <c r="K486" s="44" t="str">
        <f t="shared" si="3"/>
        <v/>
      </c>
      <c r="L486" s="44" t="str">
        <f t="shared" si="4"/>
        <v/>
      </c>
    </row>
    <row r="487" spans="1:12" ht="15.75" customHeight="1">
      <c r="A487" s="66" t="str">
        <f>IF(E487="","",VLOOKUP('Opći dio'!$C$3,'Opći dio'!$L$6:$U$137,10,FALSE))</f>
        <v/>
      </c>
      <c r="B487" s="66" t="str">
        <f>IF(E487="","",VLOOKUP('Opći dio'!$C$3,'Opći dio'!$L$6:$U$137,9,FALSE))</f>
        <v/>
      </c>
      <c r="C487" s="55" t="str">
        <f t="shared" si="23"/>
        <v/>
      </c>
      <c r="D487" s="56" t="str">
        <f t="shared" si="24"/>
        <v/>
      </c>
      <c r="E487" s="61"/>
      <c r="F487" s="58" t="str">
        <f t="shared" si="25"/>
        <v/>
      </c>
      <c r="G487" s="59"/>
      <c r="H487" s="59"/>
      <c r="I487" s="59"/>
      <c r="K487" s="44" t="str">
        <f t="shared" si="3"/>
        <v/>
      </c>
      <c r="L487" s="44" t="str">
        <f t="shared" si="4"/>
        <v/>
      </c>
    </row>
    <row r="488" spans="1:12" ht="15.75" customHeight="1">
      <c r="A488" s="66" t="str">
        <f>IF(E488="","",VLOOKUP('Opći dio'!$C$3,'Opći dio'!$L$6:$U$137,10,FALSE))</f>
        <v/>
      </c>
      <c r="B488" s="66" t="str">
        <f>IF(E488="","",VLOOKUP('Opći dio'!$C$3,'Opći dio'!$L$6:$U$137,9,FALSE))</f>
        <v/>
      </c>
      <c r="C488" s="55" t="str">
        <f t="shared" si="23"/>
        <v/>
      </c>
      <c r="D488" s="56" t="str">
        <f t="shared" si="24"/>
        <v/>
      </c>
      <c r="E488" s="61"/>
      <c r="F488" s="58" t="str">
        <f t="shared" si="25"/>
        <v/>
      </c>
      <c r="G488" s="59"/>
      <c r="H488" s="59"/>
      <c r="I488" s="59"/>
      <c r="K488" s="44" t="str">
        <f t="shared" si="3"/>
        <v/>
      </c>
      <c r="L488" s="44" t="str">
        <f t="shared" si="4"/>
        <v/>
      </c>
    </row>
    <row r="489" spans="1:12" ht="15.75" customHeight="1">
      <c r="A489" s="66" t="str">
        <f>IF(E489="","",VLOOKUP('Opći dio'!$C$3,'Opći dio'!$L$6:$U$137,10,FALSE))</f>
        <v/>
      </c>
      <c r="B489" s="66" t="str">
        <f>IF(E489="","",VLOOKUP('Opći dio'!$C$3,'Opći dio'!$L$6:$U$137,9,FALSE))</f>
        <v/>
      </c>
      <c r="C489" s="55" t="str">
        <f t="shared" si="23"/>
        <v/>
      </c>
      <c r="D489" s="56" t="str">
        <f t="shared" si="24"/>
        <v/>
      </c>
      <c r="E489" s="61"/>
      <c r="F489" s="58" t="str">
        <f t="shared" si="25"/>
        <v/>
      </c>
      <c r="G489" s="59"/>
      <c r="H489" s="59"/>
      <c r="I489" s="59"/>
      <c r="K489" s="44" t="str">
        <f t="shared" si="3"/>
        <v/>
      </c>
      <c r="L489" s="44" t="str">
        <f t="shared" si="4"/>
        <v/>
      </c>
    </row>
    <row r="490" spans="1:12" ht="15.75" customHeight="1">
      <c r="A490" s="66" t="str">
        <f>IF(E490="","",VLOOKUP('Opći dio'!$C$3,'Opći dio'!$L$6:$U$137,10,FALSE))</f>
        <v/>
      </c>
      <c r="B490" s="66" t="str">
        <f>IF(E490="","",VLOOKUP('Opći dio'!$C$3,'Opći dio'!$L$6:$U$137,9,FALSE))</f>
        <v/>
      </c>
      <c r="C490" s="55" t="str">
        <f t="shared" si="23"/>
        <v/>
      </c>
      <c r="D490" s="56" t="str">
        <f t="shared" si="24"/>
        <v/>
      </c>
      <c r="E490" s="61"/>
      <c r="F490" s="58" t="str">
        <f t="shared" si="25"/>
        <v/>
      </c>
      <c r="G490" s="59"/>
      <c r="H490" s="59"/>
      <c r="I490" s="59"/>
      <c r="K490" s="44" t="str">
        <f t="shared" si="3"/>
        <v/>
      </c>
      <c r="L490" s="44" t="str">
        <f t="shared" si="4"/>
        <v/>
      </c>
    </row>
    <row r="491" spans="1:12" ht="15.75" customHeight="1">
      <c r="A491" s="66" t="str">
        <f>IF(E491="","",VLOOKUP('Opći dio'!$C$3,'Opći dio'!$L$6:$U$137,10,FALSE))</f>
        <v/>
      </c>
      <c r="B491" s="66" t="str">
        <f>IF(E491="","",VLOOKUP('Opći dio'!$C$3,'Opći dio'!$L$6:$U$137,9,FALSE))</f>
        <v/>
      </c>
      <c r="C491" s="55" t="str">
        <f t="shared" si="23"/>
        <v/>
      </c>
      <c r="D491" s="56" t="str">
        <f t="shared" si="24"/>
        <v/>
      </c>
      <c r="E491" s="61"/>
      <c r="F491" s="58" t="str">
        <f t="shared" si="25"/>
        <v/>
      </c>
      <c r="G491" s="59"/>
      <c r="H491" s="59"/>
      <c r="I491" s="59"/>
      <c r="K491" s="44" t="str">
        <f t="shared" si="3"/>
        <v/>
      </c>
      <c r="L491" s="44" t="str">
        <f t="shared" si="4"/>
        <v/>
      </c>
    </row>
    <row r="492" spans="1:12" ht="15.75" customHeight="1">
      <c r="A492" s="66" t="str">
        <f>IF(E492="","",VLOOKUP('Opći dio'!$C$3,'Opći dio'!$L$6:$U$137,10,FALSE))</f>
        <v/>
      </c>
      <c r="B492" s="66" t="str">
        <f>IF(E492="","",VLOOKUP('Opći dio'!$C$3,'Opći dio'!$L$6:$U$137,9,FALSE))</f>
        <v/>
      </c>
      <c r="C492" s="55" t="str">
        <f t="shared" si="23"/>
        <v/>
      </c>
      <c r="D492" s="56" t="str">
        <f t="shared" si="24"/>
        <v/>
      </c>
      <c r="E492" s="61"/>
      <c r="F492" s="58" t="str">
        <f t="shared" si="25"/>
        <v/>
      </c>
      <c r="G492" s="59"/>
      <c r="H492" s="59"/>
      <c r="I492" s="59"/>
      <c r="K492" s="44" t="str">
        <f t="shared" si="3"/>
        <v/>
      </c>
      <c r="L492" s="44" t="str">
        <f t="shared" si="4"/>
        <v/>
      </c>
    </row>
    <row r="493" spans="1:12" ht="15.75" customHeight="1">
      <c r="A493" s="66" t="str">
        <f>IF(E493="","",VLOOKUP('Opći dio'!$C$3,'Opći dio'!$L$6:$U$137,10,FALSE))</f>
        <v/>
      </c>
      <c r="B493" s="66" t="str">
        <f>IF(E493="","",VLOOKUP('Opći dio'!$C$3,'Opći dio'!$L$6:$U$137,9,FALSE))</f>
        <v/>
      </c>
      <c r="C493" s="55" t="str">
        <f t="shared" si="23"/>
        <v/>
      </c>
      <c r="D493" s="56" t="str">
        <f t="shared" si="24"/>
        <v/>
      </c>
      <c r="E493" s="61"/>
      <c r="F493" s="58" t="str">
        <f t="shared" si="25"/>
        <v/>
      </c>
      <c r="G493" s="59"/>
      <c r="H493" s="59"/>
      <c r="I493" s="59"/>
      <c r="K493" s="44" t="str">
        <f t="shared" si="3"/>
        <v/>
      </c>
      <c r="L493" s="44" t="str">
        <f t="shared" si="4"/>
        <v/>
      </c>
    </row>
    <row r="494" spans="1:12" ht="15.75" customHeight="1">
      <c r="A494" s="66" t="str">
        <f>IF(E494="","",VLOOKUP('Opći dio'!$C$3,'Opći dio'!$L$6:$U$137,10,FALSE))</f>
        <v/>
      </c>
      <c r="B494" s="66" t="str">
        <f>IF(E494="","",VLOOKUP('Opći dio'!$C$3,'Opći dio'!$L$6:$U$137,9,FALSE))</f>
        <v/>
      </c>
      <c r="C494" s="55" t="str">
        <f t="shared" si="23"/>
        <v/>
      </c>
      <c r="D494" s="56" t="str">
        <f t="shared" si="24"/>
        <v/>
      </c>
      <c r="E494" s="61"/>
      <c r="F494" s="58" t="str">
        <f t="shared" si="25"/>
        <v/>
      </c>
      <c r="G494" s="59"/>
      <c r="H494" s="59"/>
      <c r="I494" s="59"/>
      <c r="K494" s="44" t="str">
        <f t="shared" si="3"/>
        <v/>
      </c>
      <c r="L494" s="44" t="str">
        <f t="shared" si="4"/>
        <v/>
      </c>
    </row>
    <row r="495" spans="1:12" ht="15.75" customHeight="1">
      <c r="A495" s="66" t="str">
        <f>IF(E495="","",VLOOKUP('Opći dio'!$C$3,'Opći dio'!$L$6:$U$137,10,FALSE))</f>
        <v/>
      </c>
      <c r="B495" s="66" t="str">
        <f>IF(E495="","",VLOOKUP('Opći dio'!$C$3,'Opći dio'!$L$6:$U$137,9,FALSE))</f>
        <v/>
      </c>
      <c r="C495" s="55" t="str">
        <f t="shared" si="23"/>
        <v/>
      </c>
      <c r="D495" s="56" t="str">
        <f t="shared" si="24"/>
        <v/>
      </c>
      <c r="E495" s="61"/>
      <c r="F495" s="58" t="str">
        <f t="shared" si="25"/>
        <v/>
      </c>
      <c r="G495" s="59"/>
      <c r="H495" s="59"/>
      <c r="I495" s="59"/>
      <c r="K495" s="44" t="str">
        <f t="shared" si="3"/>
        <v/>
      </c>
      <c r="L495" s="44" t="str">
        <f t="shared" si="4"/>
        <v/>
      </c>
    </row>
    <row r="496" spans="1:12" ht="15.75" customHeight="1">
      <c r="A496" s="66" t="str">
        <f>IF(E496="","",VLOOKUP('Opći dio'!$C$3,'Opći dio'!$L$6:$U$137,10,FALSE))</f>
        <v/>
      </c>
      <c r="B496" s="66" t="str">
        <f>IF(E496="","",VLOOKUP('Opći dio'!$C$3,'Opći dio'!$L$6:$U$137,9,FALSE))</f>
        <v/>
      </c>
      <c r="C496" s="55" t="str">
        <f t="shared" si="23"/>
        <v/>
      </c>
      <c r="D496" s="56" t="str">
        <f t="shared" si="24"/>
        <v/>
      </c>
      <c r="E496" s="61"/>
      <c r="F496" s="58" t="str">
        <f t="shared" si="25"/>
        <v/>
      </c>
      <c r="G496" s="59"/>
      <c r="H496" s="59"/>
      <c r="I496" s="59"/>
      <c r="K496" s="44" t="str">
        <f t="shared" si="3"/>
        <v/>
      </c>
      <c r="L496" s="44" t="str">
        <f t="shared" si="4"/>
        <v/>
      </c>
    </row>
    <row r="497" spans="1:12" ht="15.75" customHeight="1">
      <c r="A497" s="66" t="str">
        <f>IF(E497="","",VLOOKUP('Opći dio'!$C$3,'Opći dio'!$L$6:$U$137,10,FALSE))</f>
        <v/>
      </c>
      <c r="B497" s="66" t="str">
        <f>IF(E497="","",VLOOKUP('Opći dio'!$C$3,'Opći dio'!$L$6:$U$137,9,FALSE))</f>
        <v/>
      </c>
      <c r="C497" s="55" t="str">
        <f t="shared" si="23"/>
        <v/>
      </c>
      <c r="D497" s="56" t="str">
        <f t="shared" si="24"/>
        <v/>
      </c>
      <c r="E497" s="61"/>
      <c r="F497" s="58" t="str">
        <f t="shared" si="25"/>
        <v/>
      </c>
      <c r="G497" s="59"/>
      <c r="H497" s="59"/>
      <c r="I497" s="59"/>
      <c r="K497" s="44" t="str">
        <f t="shared" si="3"/>
        <v/>
      </c>
      <c r="L497" s="44" t="str">
        <f t="shared" si="4"/>
        <v/>
      </c>
    </row>
    <row r="498" spans="1:12" ht="15.75" customHeight="1">
      <c r="A498" s="66" t="str">
        <f>IF(E498="","",VLOOKUP('Opći dio'!$C$3,'Opći dio'!$L$6:$U$137,10,FALSE))</f>
        <v/>
      </c>
      <c r="B498" s="66" t="str">
        <f>IF(E498="","",VLOOKUP('Opći dio'!$C$3,'Opći dio'!$L$6:$U$137,9,FALSE))</f>
        <v/>
      </c>
      <c r="C498" s="55" t="str">
        <f t="shared" si="23"/>
        <v/>
      </c>
      <c r="D498" s="56" t="str">
        <f t="shared" si="24"/>
        <v/>
      </c>
      <c r="E498" s="61"/>
      <c r="F498" s="58" t="str">
        <f t="shared" si="25"/>
        <v/>
      </c>
      <c r="G498" s="59"/>
      <c r="H498" s="59"/>
      <c r="I498" s="59"/>
      <c r="K498" s="44" t="str">
        <f t="shared" si="3"/>
        <v/>
      </c>
      <c r="L498" s="44" t="str">
        <f t="shared" si="4"/>
        <v/>
      </c>
    </row>
    <row r="499" spans="1:12" ht="15.75" customHeight="1">
      <c r="A499" s="66" t="str">
        <f>IF(E499="","",VLOOKUP('Opći dio'!$C$3,'Opći dio'!$L$6:$U$137,10,FALSE))</f>
        <v/>
      </c>
      <c r="B499" s="66" t="str">
        <f>IF(E499="","",VLOOKUP('Opći dio'!$C$3,'Opći dio'!$L$6:$U$137,9,FALSE))</f>
        <v/>
      </c>
      <c r="C499" s="55" t="str">
        <f t="shared" si="23"/>
        <v/>
      </c>
      <c r="D499" s="56" t="str">
        <f t="shared" si="24"/>
        <v/>
      </c>
      <c r="E499" s="61"/>
      <c r="F499" s="58" t="str">
        <f t="shared" si="25"/>
        <v/>
      </c>
      <c r="G499" s="59"/>
      <c r="H499" s="59"/>
      <c r="I499" s="59"/>
      <c r="K499" s="44" t="str">
        <f t="shared" si="3"/>
        <v/>
      </c>
      <c r="L499" s="44" t="str">
        <f t="shared" si="4"/>
        <v/>
      </c>
    </row>
    <row r="500" spans="1:12" ht="15.75" customHeight="1">
      <c r="A500" s="66" t="str">
        <f>IF(E500="","",VLOOKUP('Opći dio'!$C$3,'Opći dio'!$L$6:$U$137,10,FALSE))</f>
        <v/>
      </c>
      <c r="B500" s="66" t="str">
        <f>IF(E500="","",VLOOKUP('Opći dio'!$C$3,'Opći dio'!$L$6:$U$137,9,FALSE))</f>
        <v/>
      </c>
      <c r="C500" s="55" t="str">
        <f t="shared" si="23"/>
        <v/>
      </c>
      <c r="D500" s="56" t="str">
        <f t="shared" si="24"/>
        <v/>
      </c>
      <c r="E500" s="61"/>
      <c r="F500" s="58" t="str">
        <f t="shared" si="25"/>
        <v/>
      </c>
      <c r="G500" s="59"/>
      <c r="H500" s="59"/>
      <c r="I500" s="59"/>
      <c r="K500" s="44" t="str">
        <f t="shared" si="3"/>
        <v/>
      </c>
      <c r="L500" s="44" t="str">
        <f t="shared" si="4"/>
        <v/>
      </c>
    </row>
    <row r="501" spans="1:12" ht="15.75" customHeight="1">
      <c r="G501" s="48"/>
      <c r="H501" s="48"/>
      <c r="I501" s="48"/>
    </row>
    <row r="502" spans="1:12" ht="15.75" hidden="1" customHeight="1">
      <c r="G502" s="48"/>
      <c r="H502" s="48"/>
      <c r="I502" s="48"/>
    </row>
    <row r="503" spans="1:12" ht="15.75" hidden="1" customHeight="1">
      <c r="G503" s="48"/>
      <c r="H503" s="48"/>
      <c r="I503" s="48"/>
    </row>
    <row r="504" spans="1:12" ht="15.75" hidden="1" customHeight="1">
      <c r="G504" s="48"/>
      <c r="H504" s="48"/>
      <c r="I504" s="48"/>
    </row>
    <row r="505" spans="1:12" ht="15.75" hidden="1" customHeight="1">
      <c r="G505" s="48"/>
      <c r="H505" s="48"/>
      <c r="I505" s="48"/>
    </row>
    <row r="506" spans="1:12" ht="15.75" hidden="1" customHeight="1">
      <c r="G506" s="48"/>
      <c r="H506" s="48"/>
      <c r="I506" s="48"/>
    </row>
    <row r="507" spans="1:12" ht="15.75" hidden="1" customHeight="1">
      <c r="G507" s="48"/>
      <c r="H507" s="48"/>
      <c r="I507" s="48"/>
    </row>
    <row r="508" spans="1:12" ht="15.75" hidden="1" customHeight="1">
      <c r="G508" s="48"/>
      <c r="H508" s="48"/>
      <c r="I508" s="48"/>
    </row>
    <row r="509" spans="1:12" ht="15.75" hidden="1" customHeight="1">
      <c r="G509" s="48"/>
      <c r="H509" s="48"/>
      <c r="I509" s="48"/>
    </row>
    <row r="510" spans="1:12" ht="15.75" hidden="1" customHeight="1">
      <c r="G510" s="48"/>
      <c r="H510" s="48"/>
      <c r="I510" s="48"/>
    </row>
    <row r="511" spans="1:12" ht="15.75" hidden="1" customHeight="1">
      <c r="G511" s="48"/>
      <c r="H511" s="48"/>
      <c r="I511" s="48"/>
    </row>
    <row r="512" spans="1:12" ht="15.75" hidden="1" customHeight="1">
      <c r="G512" s="48"/>
      <c r="H512" s="48"/>
      <c r="I512" s="48"/>
    </row>
    <row r="513" spans="7:9" ht="15.75" hidden="1" customHeight="1">
      <c r="G513" s="48"/>
      <c r="H513" s="48"/>
      <c r="I513" s="48"/>
    </row>
    <row r="514" spans="7:9" ht="15.75" hidden="1" customHeight="1">
      <c r="G514" s="48"/>
      <c r="H514" s="48"/>
      <c r="I514" s="48"/>
    </row>
    <row r="515" spans="7:9" ht="15.75" hidden="1" customHeight="1">
      <c r="G515" s="48"/>
      <c r="H515" s="48"/>
      <c r="I515" s="48"/>
    </row>
    <row r="516" spans="7:9" ht="15.75" hidden="1" customHeight="1">
      <c r="G516" s="48"/>
      <c r="H516" s="48"/>
      <c r="I516" s="48"/>
    </row>
    <row r="517" spans="7:9" ht="15.75" hidden="1" customHeight="1">
      <c r="G517" s="48"/>
      <c r="H517" s="48"/>
      <c r="I517" s="48"/>
    </row>
    <row r="518" spans="7:9" ht="15.75" hidden="1" customHeight="1">
      <c r="G518" s="48"/>
      <c r="H518" s="48"/>
      <c r="I518" s="48"/>
    </row>
    <row r="519" spans="7:9" ht="15.75" hidden="1" customHeight="1">
      <c r="G519" s="48"/>
      <c r="H519" s="48"/>
      <c r="I519" s="48"/>
    </row>
    <row r="520" spans="7:9" ht="15.75" hidden="1" customHeight="1">
      <c r="G520" s="48"/>
      <c r="H520" s="48"/>
      <c r="I520" s="48"/>
    </row>
    <row r="521" spans="7:9" ht="15.75" customHeight="1">
      <c r="G521" s="48"/>
      <c r="H521" s="48"/>
      <c r="I521" s="48"/>
    </row>
    <row r="522" spans="7:9" ht="15.75" customHeight="1">
      <c r="G522" s="48"/>
      <c r="H522" s="48"/>
      <c r="I522" s="48"/>
    </row>
    <row r="523" spans="7:9" ht="15.75" customHeight="1">
      <c r="G523" s="48"/>
      <c r="H523" s="48"/>
      <c r="I523" s="48"/>
    </row>
    <row r="524" spans="7:9" ht="15.75" customHeight="1">
      <c r="G524" s="48"/>
      <c r="H524" s="48"/>
      <c r="I524" s="48"/>
    </row>
    <row r="525" spans="7:9" ht="15.75" customHeight="1">
      <c r="G525" s="48"/>
      <c r="H525" s="48"/>
      <c r="I525" s="48"/>
    </row>
    <row r="526" spans="7:9" ht="15.75" customHeight="1">
      <c r="G526" s="48"/>
      <c r="H526" s="48"/>
      <c r="I526" s="48"/>
    </row>
    <row r="527" spans="7:9" ht="15.75" customHeight="1">
      <c r="G527" s="48"/>
      <c r="H527" s="48"/>
      <c r="I527" s="48"/>
    </row>
    <row r="528" spans="7:9" ht="15.75" customHeight="1">
      <c r="G528" s="48"/>
      <c r="H528" s="48"/>
      <c r="I528" s="48"/>
    </row>
    <row r="529" spans="7:9" ht="15.75" customHeight="1">
      <c r="G529" s="48"/>
      <c r="H529" s="48"/>
      <c r="I529" s="48"/>
    </row>
    <row r="530" spans="7:9" ht="15.75" customHeight="1">
      <c r="G530" s="48"/>
      <c r="H530" s="48"/>
      <c r="I530" s="48"/>
    </row>
    <row r="531" spans="7:9" ht="15.75" customHeight="1">
      <c r="G531" s="48"/>
      <c r="H531" s="48"/>
      <c r="I531" s="48"/>
    </row>
    <row r="532" spans="7:9" ht="15.75" customHeight="1">
      <c r="G532" s="48"/>
      <c r="H532" s="48"/>
      <c r="I532" s="48"/>
    </row>
    <row r="533" spans="7:9" ht="15.75" customHeight="1">
      <c r="G533" s="48"/>
      <c r="H533" s="48"/>
      <c r="I533" s="48"/>
    </row>
    <row r="534" spans="7:9" ht="15.75" customHeight="1">
      <c r="G534" s="48"/>
      <c r="H534" s="48"/>
      <c r="I534" s="48"/>
    </row>
    <row r="535" spans="7:9" ht="15.75" customHeight="1">
      <c r="G535" s="48"/>
      <c r="H535" s="48"/>
      <c r="I535" s="48"/>
    </row>
    <row r="536" spans="7:9" ht="15.75" customHeight="1">
      <c r="G536" s="48"/>
      <c r="H536" s="48"/>
      <c r="I536" s="48"/>
    </row>
    <row r="537" spans="7:9" ht="15.75" customHeight="1">
      <c r="G537" s="48"/>
      <c r="H537" s="48"/>
      <c r="I537" s="48"/>
    </row>
    <row r="538" spans="7:9" ht="15.75" customHeight="1">
      <c r="G538" s="48"/>
      <c r="H538" s="48"/>
      <c r="I538" s="48"/>
    </row>
    <row r="539" spans="7:9" ht="15.75" customHeight="1">
      <c r="G539" s="48"/>
      <c r="H539" s="48"/>
      <c r="I539" s="48"/>
    </row>
    <row r="540" spans="7:9" ht="15.75" customHeight="1">
      <c r="G540" s="48"/>
      <c r="H540" s="48"/>
      <c r="I540" s="48"/>
    </row>
    <row r="541" spans="7:9" ht="15.75" customHeight="1">
      <c r="G541" s="48"/>
      <c r="H541" s="48"/>
      <c r="I541" s="48"/>
    </row>
    <row r="542" spans="7:9" ht="15.75" customHeight="1">
      <c r="G542" s="48"/>
      <c r="H542" s="48"/>
      <c r="I542" s="48"/>
    </row>
    <row r="543" spans="7:9" ht="15.75" customHeight="1">
      <c r="G543" s="48"/>
      <c r="H543" s="48"/>
      <c r="I543" s="48"/>
    </row>
    <row r="544" spans="7:9" ht="15.75" customHeight="1">
      <c r="G544" s="48"/>
      <c r="H544" s="48"/>
      <c r="I544" s="48"/>
    </row>
    <row r="545" spans="7:9" ht="15.75" customHeight="1">
      <c r="G545" s="48"/>
      <c r="H545" s="48"/>
      <c r="I545" s="48"/>
    </row>
    <row r="546" spans="7:9" ht="15.75" customHeight="1">
      <c r="G546" s="48"/>
      <c r="H546" s="48"/>
      <c r="I546" s="48"/>
    </row>
    <row r="547" spans="7:9" ht="15.75" customHeight="1">
      <c r="G547" s="48"/>
      <c r="H547" s="48"/>
      <c r="I547" s="48"/>
    </row>
    <row r="548" spans="7:9" ht="15.75" customHeight="1">
      <c r="G548" s="48"/>
      <c r="H548" s="48"/>
      <c r="I548" s="48"/>
    </row>
    <row r="549" spans="7:9" ht="15.75" customHeight="1">
      <c r="G549" s="48"/>
      <c r="H549" s="48"/>
      <c r="I549" s="48"/>
    </row>
    <row r="550" spans="7:9" ht="15.75" customHeight="1">
      <c r="G550" s="48"/>
      <c r="H550" s="48"/>
      <c r="I550" s="48"/>
    </row>
    <row r="551" spans="7:9" ht="15.75" customHeight="1">
      <c r="G551" s="48"/>
      <c r="H551" s="48"/>
      <c r="I551" s="48"/>
    </row>
    <row r="552" spans="7:9" ht="15.75" customHeight="1">
      <c r="G552" s="48"/>
      <c r="H552" s="48"/>
      <c r="I552" s="48"/>
    </row>
    <row r="553" spans="7:9" ht="15.75" customHeight="1">
      <c r="G553" s="48"/>
      <c r="H553" s="48"/>
      <c r="I553" s="48"/>
    </row>
    <row r="554" spans="7:9" ht="15.75" customHeight="1">
      <c r="G554" s="48"/>
      <c r="H554" s="48"/>
      <c r="I554" s="48"/>
    </row>
    <row r="555" spans="7:9" ht="15.75" customHeight="1">
      <c r="G555" s="48"/>
      <c r="H555" s="48"/>
      <c r="I555" s="48"/>
    </row>
    <row r="556" spans="7:9" ht="15.75" customHeight="1">
      <c r="G556" s="48"/>
      <c r="H556" s="48"/>
      <c r="I556" s="48"/>
    </row>
    <row r="557" spans="7:9" ht="15.75" customHeight="1">
      <c r="G557" s="48"/>
      <c r="H557" s="48"/>
      <c r="I557" s="48"/>
    </row>
    <row r="558" spans="7:9" ht="15.75" customHeight="1">
      <c r="G558" s="48"/>
      <c r="H558" s="48"/>
      <c r="I558" s="48"/>
    </row>
    <row r="559" spans="7:9" ht="15.75" customHeight="1">
      <c r="G559" s="48"/>
      <c r="H559" s="48"/>
      <c r="I559" s="48"/>
    </row>
    <row r="560" spans="7:9" ht="15.75" customHeight="1">
      <c r="G560" s="48"/>
      <c r="H560" s="48"/>
      <c r="I560" s="48"/>
    </row>
    <row r="561" spans="7:9" ht="15.75" customHeight="1">
      <c r="G561" s="48"/>
      <c r="H561" s="48"/>
      <c r="I561" s="48"/>
    </row>
    <row r="562" spans="7:9" ht="15.75" customHeight="1">
      <c r="G562" s="48"/>
      <c r="H562" s="48"/>
      <c r="I562" s="48"/>
    </row>
    <row r="563" spans="7:9" ht="15.75" customHeight="1">
      <c r="G563" s="48"/>
      <c r="H563" s="48"/>
      <c r="I563" s="48"/>
    </row>
    <row r="564" spans="7:9" ht="15.75" customHeight="1">
      <c r="G564" s="48"/>
      <c r="H564" s="48"/>
      <c r="I564" s="48"/>
    </row>
    <row r="565" spans="7:9" ht="15.75" customHeight="1">
      <c r="G565" s="48"/>
      <c r="H565" s="48"/>
      <c r="I565" s="48"/>
    </row>
    <row r="566" spans="7:9" ht="15.75" customHeight="1">
      <c r="G566" s="48"/>
      <c r="H566" s="48"/>
      <c r="I566" s="48"/>
    </row>
    <row r="567" spans="7:9" ht="15.75" customHeight="1">
      <c r="G567" s="48"/>
      <c r="H567" s="48"/>
      <c r="I567" s="48"/>
    </row>
    <row r="568" spans="7:9" ht="15.75" customHeight="1">
      <c r="G568" s="48"/>
      <c r="H568" s="48"/>
      <c r="I568" s="48"/>
    </row>
    <row r="569" spans="7:9" ht="15.75" customHeight="1">
      <c r="G569" s="48"/>
      <c r="H569" s="48"/>
      <c r="I569" s="48"/>
    </row>
    <row r="570" spans="7:9" ht="15.75" customHeight="1">
      <c r="G570" s="48"/>
      <c r="H570" s="48"/>
      <c r="I570" s="48"/>
    </row>
    <row r="571" spans="7:9" ht="15.75" customHeight="1">
      <c r="G571" s="48"/>
      <c r="H571" s="48"/>
      <c r="I571" s="48"/>
    </row>
    <row r="572" spans="7:9" ht="15.75" customHeight="1">
      <c r="G572" s="48"/>
      <c r="H572" s="48"/>
      <c r="I572" s="48"/>
    </row>
    <row r="573" spans="7:9" ht="15.75" customHeight="1">
      <c r="G573" s="48"/>
      <c r="H573" s="48"/>
      <c r="I573" s="48"/>
    </row>
    <row r="574" spans="7:9" ht="15.75" customHeight="1">
      <c r="G574" s="48"/>
      <c r="H574" s="48"/>
      <c r="I574" s="48"/>
    </row>
    <row r="575" spans="7:9" ht="15.75" customHeight="1">
      <c r="G575" s="48"/>
      <c r="H575" s="48"/>
      <c r="I575" s="48"/>
    </row>
    <row r="576" spans="7:9" ht="15.75" customHeight="1">
      <c r="G576" s="48"/>
      <c r="H576" s="48"/>
      <c r="I576" s="48"/>
    </row>
    <row r="577" spans="7:9" ht="15.75" customHeight="1">
      <c r="G577" s="48"/>
      <c r="H577" s="48"/>
      <c r="I577" s="48"/>
    </row>
    <row r="578" spans="7:9" ht="15.75" customHeight="1">
      <c r="G578" s="48"/>
      <c r="H578" s="48"/>
      <c r="I578" s="48"/>
    </row>
    <row r="579" spans="7:9" ht="15.75" customHeight="1">
      <c r="G579" s="48"/>
      <c r="H579" s="48"/>
      <c r="I579" s="48"/>
    </row>
    <row r="580" spans="7:9" ht="15.75" customHeight="1">
      <c r="G580" s="48"/>
      <c r="H580" s="48"/>
      <c r="I580" s="48"/>
    </row>
    <row r="581" spans="7:9" ht="15.75" customHeight="1">
      <c r="G581" s="48"/>
      <c r="H581" s="48"/>
      <c r="I581" s="48"/>
    </row>
    <row r="582" spans="7:9" ht="15.75" customHeight="1">
      <c r="G582" s="48"/>
      <c r="H582" s="48"/>
      <c r="I582" s="48"/>
    </row>
    <row r="583" spans="7:9" ht="15.75" customHeight="1">
      <c r="G583" s="48"/>
      <c r="H583" s="48"/>
      <c r="I583" s="48"/>
    </row>
    <row r="584" spans="7:9" ht="15.75" customHeight="1">
      <c r="G584" s="48"/>
      <c r="H584" s="48"/>
      <c r="I584" s="48"/>
    </row>
    <row r="585" spans="7:9" ht="15.75" customHeight="1">
      <c r="G585" s="48"/>
      <c r="H585" s="48"/>
      <c r="I585" s="48"/>
    </row>
    <row r="586" spans="7:9" ht="15.75" customHeight="1">
      <c r="G586" s="48"/>
      <c r="H586" s="48"/>
      <c r="I586" s="48"/>
    </row>
    <row r="587" spans="7:9" ht="15.75" customHeight="1">
      <c r="G587" s="48"/>
      <c r="H587" s="48"/>
      <c r="I587" s="48"/>
    </row>
    <row r="588" spans="7:9" ht="15.75" customHeight="1">
      <c r="G588" s="48"/>
      <c r="H588" s="48"/>
      <c r="I588" s="48"/>
    </row>
    <row r="589" spans="7:9" ht="15.75" customHeight="1">
      <c r="G589" s="48"/>
      <c r="H589" s="48"/>
      <c r="I589" s="48"/>
    </row>
    <row r="590" spans="7:9" ht="15.75" customHeight="1">
      <c r="G590" s="48"/>
      <c r="H590" s="48"/>
      <c r="I590" s="48"/>
    </row>
    <row r="591" spans="7:9" ht="15.75" customHeight="1">
      <c r="G591" s="48"/>
      <c r="H591" s="48"/>
      <c r="I591" s="48"/>
    </row>
    <row r="592" spans="7:9" ht="15.75" customHeight="1">
      <c r="G592" s="48"/>
      <c r="H592" s="48"/>
      <c r="I592" s="48"/>
    </row>
    <row r="593" spans="7:9" ht="15.75" customHeight="1">
      <c r="G593" s="48"/>
      <c r="H593" s="48"/>
      <c r="I593" s="48"/>
    </row>
    <row r="594" spans="7:9" ht="15.75" customHeight="1">
      <c r="G594" s="48"/>
      <c r="H594" s="48"/>
      <c r="I594" s="48"/>
    </row>
    <row r="595" spans="7:9" ht="15.75" customHeight="1">
      <c r="G595" s="48"/>
      <c r="H595" s="48"/>
      <c r="I595" s="48"/>
    </row>
    <row r="596" spans="7:9" ht="15.75" customHeight="1">
      <c r="G596" s="48"/>
      <c r="H596" s="48"/>
      <c r="I596" s="48"/>
    </row>
    <row r="597" spans="7:9" ht="15.75" customHeight="1">
      <c r="G597" s="48"/>
      <c r="H597" s="48"/>
      <c r="I597" s="48"/>
    </row>
    <row r="598" spans="7:9" ht="15.75" customHeight="1">
      <c r="G598" s="48"/>
      <c r="H598" s="48"/>
      <c r="I598" s="48"/>
    </row>
    <row r="599" spans="7:9" ht="15.75" customHeight="1">
      <c r="G599" s="48"/>
      <c r="H599" s="48"/>
      <c r="I599" s="48"/>
    </row>
    <row r="600" spans="7:9" ht="15.75" customHeight="1">
      <c r="G600" s="48"/>
      <c r="H600" s="48"/>
      <c r="I600" s="48"/>
    </row>
    <row r="601" spans="7:9" ht="15.75" customHeight="1">
      <c r="G601" s="48"/>
      <c r="H601" s="48"/>
      <c r="I601" s="48"/>
    </row>
    <row r="602" spans="7:9" ht="15.75" customHeight="1">
      <c r="G602" s="48"/>
      <c r="H602" s="48"/>
      <c r="I602" s="48"/>
    </row>
    <row r="603" spans="7:9" ht="15.75" customHeight="1">
      <c r="G603" s="48"/>
      <c r="H603" s="48"/>
      <c r="I603" s="48"/>
    </row>
    <row r="604" spans="7:9" ht="15.75" customHeight="1">
      <c r="G604" s="48"/>
      <c r="H604" s="48"/>
      <c r="I604" s="48"/>
    </row>
    <row r="605" spans="7:9" ht="15.75" customHeight="1">
      <c r="G605" s="48"/>
      <c r="H605" s="48"/>
      <c r="I605" s="48"/>
    </row>
    <row r="606" spans="7:9" ht="15.75" customHeight="1">
      <c r="G606" s="48"/>
      <c r="H606" s="48"/>
      <c r="I606" s="48"/>
    </row>
    <row r="607" spans="7:9" ht="15.75" customHeight="1">
      <c r="G607" s="48"/>
      <c r="H607" s="48"/>
      <c r="I607" s="48"/>
    </row>
    <row r="608" spans="7:9" ht="15.75" customHeight="1">
      <c r="G608" s="48"/>
      <c r="H608" s="48"/>
      <c r="I608" s="48"/>
    </row>
    <row r="609" spans="7:9" ht="15.75" customHeight="1">
      <c r="G609" s="48"/>
      <c r="H609" s="48"/>
      <c r="I609" s="48"/>
    </row>
    <row r="610" spans="7:9" ht="15.75" customHeight="1">
      <c r="G610" s="48"/>
      <c r="H610" s="48"/>
      <c r="I610" s="48"/>
    </row>
    <row r="611" spans="7:9" ht="15.75" customHeight="1">
      <c r="G611" s="48"/>
      <c r="H611" s="48"/>
      <c r="I611" s="48"/>
    </row>
    <row r="612" spans="7:9" ht="15.75" customHeight="1">
      <c r="G612" s="48"/>
      <c r="H612" s="48"/>
      <c r="I612" s="48"/>
    </row>
    <row r="613" spans="7:9" ht="15.75" customHeight="1">
      <c r="G613" s="48"/>
      <c r="H613" s="48"/>
      <c r="I613" s="48"/>
    </row>
    <row r="614" spans="7:9" ht="15.75" customHeight="1">
      <c r="G614" s="48"/>
      <c r="H614" s="48"/>
      <c r="I614" s="48"/>
    </row>
    <row r="615" spans="7:9" ht="15.75" customHeight="1">
      <c r="G615" s="48"/>
      <c r="H615" s="48"/>
      <c r="I615" s="48"/>
    </row>
    <row r="616" spans="7:9" ht="15.75" customHeight="1">
      <c r="G616" s="48"/>
      <c r="H616" s="48"/>
      <c r="I616" s="48"/>
    </row>
    <row r="617" spans="7:9" ht="15.75" customHeight="1">
      <c r="G617" s="48"/>
      <c r="H617" s="48"/>
      <c r="I617" s="48"/>
    </row>
    <row r="618" spans="7:9" ht="15.75" customHeight="1">
      <c r="G618" s="48"/>
      <c r="H618" s="48"/>
      <c r="I618" s="48"/>
    </row>
    <row r="619" spans="7:9" ht="15.75" customHeight="1">
      <c r="G619" s="48"/>
      <c r="H619" s="48"/>
      <c r="I619" s="48"/>
    </row>
    <row r="620" spans="7:9" ht="15.75" customHeight="1">
      <c r="G620" s="48"/>
      <c r="H620" s="48"/>
      <c r="I620" s="48"/>
    </row>
    <row r="621" spans="7:9" ht="15.75" customHeight="1">
      <c r="G621" s="48"/>
      <c r="H621" s="48"/>
      <c r="I621" s="48"/>
    </row>
    <row r="622" spans="7:9" ht="15.75" customHeight="1">
      <c r="G622" s="48"/>
      <c r="H622" s="48"/>
      <c r="I622" s="48"/>
    </row>
    <row r="623" spans="7:9" ht="15.75" customHeight="1">
      <c r="G623" s="48"/>
      <c r="H623" s="48"/>
      <c r="I623" s="48"/>
    </row>
    <row r="624" spans="7:9" ht="15.75" customHeight="1">
      <c r="G624" s="48"/>
      <c r="H624" s="48"/>
      <c r="I624" s="48"/>
    </row>
    <row r="625" spans="7:9" ht="15.75" customHeight="1">
      <c r="G625" s="48"/>
      <c r="H625" s="48"/>
      <c r="I625" s="48"/>
    </row>
    <row r="626" spans="7:9" ht="15.75" customHeight="1">
      <c r="G626" s="48"/>
      <c r="H626" s="48"/>
      <c r="I626" s="48"/>
    </row>
    <row r="627" spans="7:9" ht="15.75" customHeight="1">
      <c r="G627" s="48"/>
      <c r="H627" s="48"/>
      <c r="I627" s="48"/>
    </row>
    <row r="628" spans="7:9" ht="15.75" customHeight="1">
      <c r="G628" s="48"/>
      <c r="H628" s="48"/>
      <c r="I628" s="48"/>
    </row>
    <row r="629" spans="7:9" ht="15.75" customHeight="1">
      <c r="G629" s="48"/>
      <c r="H629" s="48"/>
      <c r="I629" s="48"/>
    </row>
    <row r="630" spans="7:9" ht="15.75" customHeight="1">
      <c r="G630" s="48"/>
      <c r="H630" s="48"/>
      <c r="I630" s="48"/>
    </row>
    <row r="631" spans="7:9" ht="15.75" customHeight="1">
      <c r="G631" s="48"/>
      <c r="H631" s="48"/>
      <c r="I631" s="48"/>
    </row>
    <row r="632" spans="7:9" ht="15.75" customHeight="1">
      <c r="G632" s="48"/>
      <c r="H632" s="48"/>
      <c r="I632" s="48"/>
    </row>
    <row r="633" spans="7:9" ht="15.75" customHeight="1">
      <c r="G633" s="48"/>
      <c r="H633" s="48"/>
      <c r="I633" s="48"/>
    </row>
    <row r="634" spans="7:9" ht="15.75" customHeight="1">
      <c r="G634" s="48"/>
      <c r="H634" s="48"/>
      <c r="I634" s="48"/>
    </row>
    <row r="635" spans="7:9" ht="15.75" customHeight="1">
      <c r="G635" s="48"/>
      <c r="H635" s="48"/>
      <c r="I635" s="48"/>
    </row>
    <row r="636" spans="7:9" ht="15.75" customHeight="1">
      <c r="G636" s="48"/>
      <c r="H636" s="48"/>
      <c r="I636" s="48"/>
    </row>
    <row r="637" spans="7:9" ht="15.75" customHeight="1">
      <c r="G637" s="48"/>
      <c r="H637" s="48"/>
      <c r="I637" s="48"/>
    </row>
    <row r="638" spans="7:9" ht="15.75" customHeight="1">
      <c r="G638" s="48"/>
      <c r="H638" s="48"/>
      <c r="I638" s="48"/>
    </row>
    <row r="639" spans="7:9" ht="15.75" customHeight="1">
      <c r="G639" s="48"/>
      <c r="H639" s="48"/>
      <c r="I639" s="48"/>
    </row>
    <row r="640" spans="7:9" ht="15.75" customHeight="1">
      <c r="G640" s="48"/>
      <c r="H640" s="48"/>
      <c r="I640" s="48"/>
    </row>
    <row r="641" spans="7:9" ht="15.75" customHeight="1">
      <c r="G641" s="48"/>
      <c r="H641" s="48"/>
      <c r="I641" s="48"/>
    </row>
    <row r="642" spans="7:9" ht="15.75" customHeight="1">
      <c r="G642" s="48"/>
      <c r="H642" s="48"/>
      <c r="I642" s="48"/>
    </row>
    <row r="643" spans="7:9" ht="15.75" customHeight="1">
      <c r="G643" s="48"/>
      <c r="H643" s="48"/>
      <c r="I643" s="48"/>
    </row>
    <row r="644" spans="7:9" ht="15.75" customHeight="1">
      <c r="G644" s="48"/>
      <c r="H644" s="48"/>
      <c r="I644" s="48"/>
    </row>
    <row r="645" spans="7:9" ht="15.75" customHeight="1">
      <c r="G645" s="48"/>
      <c r="H645" s="48"/>
      <c r="I645" s="48"/>
    </row>
    <row r="646" spans="7:9" ht="15.75" customHeight="1">
      <c r="G646" s="48"/>
      <c r="H646" s="48"/>
      <c r="I646" s="48"/>
    </row>
    <row r="647" spans="7:9" ht="15.75" customHeight="1">
      <c r="G647" s="48"/>
      <c r="H647" s="48"/>
      <c r="I647" s="48"/>
    </row>
    <row r="648" spans="7:9" ht="15.75" customHeight="1">
      <c r="G648" s="48"/>
      <c r="H648" s="48"/>
      <c r="I648" s="48"/>
    </row>
    <row r="649" spans="7:9" ht="15.75" customHeight="1">
      <c r="G649" s="48"/>
      <c r="H649" s="48"/>
      <c r="I649" s="48"/>
    </row>
    <row r="650" spans="7:9" ht="15.75" customHeight="1">
      <c r="G650" s="48"/>
      <c r="H650" s="48"/>
      <c r="I650" s="48"/>
    </row>
    <row r="651" spans="7:9" ht="15.75" customHeight="1">
      <c r="G651" s="48"/>
      <c r="H651" s="48"/>
      <c r="I651" s="48"/>
    </row>
    <row r="652" spans="7:9" ht="15.75" customHeight="1">
      <c r="G652" s="48"/>
      <c r="H652" s="48"/>
      <c r="I652" s="48"/>
    </row>
    <row r="653" spans="7:9" ht="15.75" customHeight="1">
      <c r="G653" s="48"/>
      <c r="H653" s="48"/>
      <c r="I653" s="48"/>
    </row>
    <row r="654" spans="7:9" ht="15.75" customHeight="1">
      <c r="G654" s="48"/>
      <c r="H654" s="48"/>
      <c r="I654" s="48"/>
    </row>
    <row r="655" spans="7:9" ht="15.75" customHeight="1">
      <c r="G655" s="48"/>
      <c r="H655" s="48"/>
      <c r="I655" s="48"/>
    </row>
    <row r="656" spans="7:9" ht="15.75" customHeight="1">
      <c r="G656" s="48"/>
      <c r="H656" s="48"/>
      <c r="I656" s="48"/>
    </row>
    <row r="657" spans="7:9" ht="15.75" customHeight="1">
      <c r="G657" s="48"/>
      <c r="H657" s="48"/>
      <c r="I657" s="48"/>
    </row>
    <row r="658" spans="7:9" ht="15.75" customHeight="1">
      <c r="G658" s="48"/>
      <c r="H658" s="48"/>
      <c r="I658" s="48"/>
    </row>
    <row r="659" spans="7:9" ht="15.75" customHeight="1">
      <c r="G659" s="48"/>
      <c r="H659" s="48"/>
      <c r="I659" s="48"/>
    </row>
    <row r="660" spans="7:9" ht="15.75" customHeight="1">
      <c r="G660" s="48"/>
      <c r="H660" s="48"/>
      <c r="I660" s="48"/>
    </row>
    <row r="661" spans="7:9" ht="15.75" customHeight="1">
      <c r="G661" s="48"/>
      <c r="H661" s="48"/>
      <c r="I661" s="48"/>
    </row>
    <row r="662" spans="7:9" ht="15.75" customHeight="1">
      <c r="G662" s="48"/>
      <c r="H662" s="48"/>
      <c r="I662" s="48"/>
    </row>
    <row r="663" spans="7:9" ht="15.75" customHeight="1">
      <c r="G663" s="48"/>
      <c r="H663" s="48"/>
      <c r="I663" s="48"/>
    </row>
    <row r="664" spans="7:9" ht="15.75" customHeight="1">
      <c r="G664" s="48"/>
      <c r="H664" s="48"/>
      <c r="I664" s="48"/>
    </row>
    <row r="665" spans="7:9" ht="15.75" customHeight="1">
      <c r="G665" s="48"/>
      <c r="H665" s="48"/>
      <c r="I665" s="48"/>
    </row>
    <row r="666" spans="7:9" ht="15.75" customHeight="1">
      <c r="G666" s="48"/>
      <c r="H666" s="48"/>
      <c r="I666" s="48"/>
    </row>
    <row r="667" spans="7:9" ht="15.75" customHeight="1">
      <c r="G667" s="48"/>
      <c r="H667" s="48"/>
      <c r="I667" s="48"/>
    </row>
    <row r="668" spans="7:9" ht="15.75" customHeight="1">
      <c r="G668" s="48"/>
      <c r="H668" s="48"/>
      <c r="I668" s="48"/>
    </row>
    <row r="669" spans="7:9" ht="15.75" customHeight="1">
      <c r="G669" s="48"/>
      <c r="H669" s="48"/>
      <c r="I669" s="48"/>
    </row>
    <row r="670" spans="7:9" ht="15.75" customHeight="1">
      <c r="G670" s="48"/>
      <c r="H670" s="48"/>
      <c r="I670" s="48"/>
    </row>
    <row r="671" spans="7:9" ht="15.75" customHeight="1">
      <c r="G671" s="48"/>
      <c r="H671" s="48"/>
      <c r="I671" s="48"/>
    </row>
    <row r="672" spans="7:9" ht="15.75" customHeight="1">
      <c r="G672" s="48"/>
      <c r="H672" s="48"/>
      <c r="I672" s="48"/>
    </row>
    <row r="673" spans="7:9" ht="15.75" customHeight="1">
      <c r="G673" s="48"/>
      <c r="H673" s="48"/>
      <c r="I673" s="48"/>
    </row>
    <row r="674" spans="7:9" ht="15.75" customHeight="1">
      <c r="G674" s="48"/>
      <c r="H674" s="48"/>
      <c r="I674" s="48"/>
    </row>
    <row r="675" spans="7:9" ht="15.75" customHeight="1">
      <c r="G675" s="48"/>
      <c r="H675" s="48"/>
      <c r="I675" s="48"/>
    </row>
    <row r="676" spans="7:9" ht="15.75" customHeight="1">
      <c r="G676" s="48"/>
      <c r="H676" s="48"/>
      <c r="I676" s="48"/>
    </row>
    <row r="677" spans="7:9" ht="15.75" customHeight="1">
      <c r="G677" s="48"/>
      <c r="H677" s="48"/>
      <c r="I677" s="48"/>
    </row>
    <row r="678" spans="7:9" ht="15.75" customHeight="1">
      <c r="G678" s="48"/>
      <c r="H678" s="48"/>
      <c r="I678" s="48"/>
    </row>
    <row r="679" spans="7:9" ht="15.75" customHeight="1">
      <c r="G679" s="48"/>
      <c r="H679" s="48"/>
      <c r="I679" s="48"/>
    </row>
    <row r="680" spans="7:9" ht="15.75" customHeight="1">
      <c r="G680" s="48"/>
      <c r="H680" s="48"/>
      <c r="I680" s="48"/>
    </row>
    <row r="681" spans="7:9" ht="15.75" customHeight="1">
      <c r="G681" s="48"/>
      <c r="H681" s="48"/>
      <c r="I681" s="48"/>
    </row>
    <row r="682" spans="7:9" ht="15.75" customHeight="1">
      <c r="G682" s="48"/>
      <c r="H682" s="48"/>
      <c r="I682" s="48"/>
    </row>
    <row r="683" spans="7:9" ht="15.75" customHeight="1">
      <c r="G683" s="48"/>
      <c r="H683" s="48"/>
      <c r="I683" s="48"/>
    </row>
    <row r="684" spans="7:9" ht="15.75" customHeight="1">
      <c r="G684" s="48"/>
      <c r="H684" s="48"/>
      <c r="I684" s="48"/>
    </row>
    <row r="685" spans="7:9" ht="15.75" customHeight="1">
      <c r="G685" s="48"/>
      <c r="H685" s="48"/>
      <c r="I685" s="48"/>
    </row>
    <row r="686" spans="7:9" ht="15.75" customHeight="1">
      <c r="G686" s="48"/>
      <c r="H686" s="48"/>
      <c r="I686" s="48"/>
    </row>
    <row r="687" spans="7:9" ht="15.75" customHeight="1">
      <c r="G687" s="48"/>
      <c r="H687" s="48"/>
      <c r="I687" s="48"/>
    </row>
    <row r="688" spans="7:9" ht="15.75" customHeight="1">
      <c r="G688" s="48"/>
      <c r="H688" s="48"/>
      <c r="I688" s="48"/>
    </row>
    <row r="689" spans="7:9" ht="15.75" customHeight="1">
      <c r="G689" s="48"/>
      <c r="H689" s="48"/>
      <c r="I689" s="48"/>
    </row>
    <row r="690" spans="7:9" ht="15.75" customHeight="1">
      <c r="G690" s="48"/>
      <c r="H690" s="48"/>
      <c r="I690" s="48"/>
    </row>
    <row r="691" spans="7:9" ht="15.75" customHeight="1">
      <c r="G691" s="48"/>
      <c r="H691" s="48"/>
      <c r="I691" s="48"/>
    </row>
    <row r="692" spans="7:9" ht="15.75" customHeight="1">
      <c r="G692" s="48"/>
      <c r="H692" s="48"/>
      <c r="I692" s="48"/>
    </row>
    <row r="693" spans="7:9" ht="15.75" customHeight="1">
      <c r="G693" s="48"/>
      <c r="H693" s="48"/>
      <c r="I693" s="48"/>
    </row>
    <row r="694" spans="7:9" ht="15.75" customHeight="1">
      <c r="G694" s="48"/>
      <c r="H694" s="48"/>
      <c r="I694" s="48"/>
    </row>
    <row r="695" spans="7:9" ht="15.75" customHeight="1">
      <c r="G695" s="48"/>
      <c r="H695" s="48"/>
      <c r="I695" s="48"/>
    </row>
    <row r="696" spans="7:9" ht="15.75" customHeight="1">
      <c r="G696" s="48"/>
      <c r="H696" s="48"/>
      <c r="I696" s="48"/>
    </row>
    <row r="697" spans="7:9" ht="15.75" customHeight="1">
      <c r="G697" s="48"/>
      <c r="H697" s="48"/>
      <c r="I697" s="48"/>
    </row>
    <row r="698" spans="7:9" ht="15.75" customHeight="1">
      <c r="G698" s="48"/>
      <c r="H698" s="48"/>
      <c r="I698" s="48"/>
    </row>
    <row r="699" spans="7:9" ht="15.75" customHeight="1">
      <c r="G699" s="48"/>
      <c r="H699" s="48"/>
      <c r="I699" s="48"/>
    </row>
    <row r="700" spans="7:9" ht="15.75" customHeight="1">
      <c r="G700" s="48"/>
      <c r="H700" s="48"/>
      <c r="I700" s="48"/>
    </row>
    <row r="701" spans="7:9" ht="15.75" customHeight="1">
      <c r="G701" s="48"/>
      <c r="H701" s="48"/>
      <c r="I701" s="48"/>
    </row>
    <row r="702" spans="7:9" ht="15.75" customHeight="1">
      <c r="G702" s="48"/>
      <c r="H702" s="48"/>
      <c r="I702" s="48"/>
    </row>
    <row r="703" spans="7:9" ht="15.75" customHeight="1">
      <c r="G703" s="48"/>
      <c r="H703" s="48"/>
      <c r="I703" s="48"/>
    </row>
    <row r="704" spans="7:9" ht="15.75" customHeight="1">
      <c r="G704" s="48"/>
      <c r="H704" s="48"/>
      <c r="I704" s="48"/>
    </row>
    <row r="705" spans="7:9" ht="15.75" customHeight="1">
      <c r="G705" s="48"/>
      <c r="H705" s="48"/>
      <c r="I705" s="48"/>
    </row>
    <row r="706" spans="7:9" ht="15.75" customHeight="1">
      <c r="G706" s="48"/>
      <c r="H706" s="48"/>
      <c r="I706" s="48"/>
    </row>
    <row r="707" spans="7:9" ht="15.75" customHeight="1">
      <c r="G707" s="48"/>
      <c r="H707" s="48"/>
      <c r="I707" s="48"/>
    </row>
    <row r="708" spans="7:9" ht="15.75" customHeight="1">
      <c r="G708" s="48"/>
      <c r="H708" s="48"/>
      <c r="I708" s="48"/>
    </row>
    <row r="709" spans="7:9" ht="15.75" customHeight="1">
      <c r="G709" s="48"/>
      <c r="H709" s="48"/>
      <c r="I709" s="48"/>
    </row>
    <row r="710" spans="7:9" ht="15.75" customHeight="1">
      <c r="G710" s="48"/>
      <c r="H710" s="48"/>
      <c r="I710" s="48"/>
    </row>
    <row r="711" spans="7:9" ht="15.75" customHeight="1">
      <c r="G711" s="48"/>
      <c r="H711" s="48"/>
      <c r="I711" s="48"/>
    </row>
    <row r="712" spans="7:9" ht="15.75" customHeight="1">
      <c r="G712" s="48"/>
      <c r="H712" s="48"/>
      <c r="I712" s="48"/>
    </row>
    <row r="713" spans="7:9" ht="15.75" customHeight="1">
      <c r="G713" s="48"/>
      <c r="H713" s="48"/>
      <c r="I713" s="48"/>
    </row>
    <row r="714" spans="7:9" ht="15.75" customHeight="1">
      <c r="G714" s="48"/>
      <c r="H714" s="48"/>
      <c r="I714" s="48"/>
    </row>
    <row r="715" spans="7:9" ht="15.75" customHeight="1">
      <c r="G715" s="48"/>
      <c r="H715" s="48"/>
      <c r="I715" s="48"/>
    </row>
    <row r="716" spans="7:9" ht="15.75" customHeight="1">
      <c r="G716" s="48"/>
      <c r="H716" s="48"/>
      <c r="I716" s="48"/>
    </row>
    <row r="717" spans="7:9" ht="15.75" customHeight="1">
      <c r="G717" s="48"/>
      <c r="H717" s="48"/>
      <c r="I717" s="48"/>
    </row>
    <row r="718" spans="7:9" ht="15.75" customHeight="1">
      <c r="G718" s="48"/>
      <c r="H718" s="48"/>
      <c r="I718" s="48"/>
    </row>
    <row r="719" spans="7:9" ht="15.75" customHeight="1">
      <c r="G719" s="48"/>
      <c r="H719" s="48"/>
      <c r="I719" s="48"/>
    </row>
    <row r="720" spans="7:9" ht="15.75" customHeight="1">
      <c r="G720" s="48"/>
      <c r="H720" s="48"/>
      <c r="I720" s="48"/>
    </row>
    <row r="721" spans="7:9" ht="15.75" customHeight="1">
      <c r="G721" s="48"/>
      <c r="H721" s="48"/>
      <c r="I721" s="48"/>
    </row>
    <row r="722" spans="7:9" ht="15.75" customHeight="1">
      <c r="G722" s="48"/>
      <c r="H722" s="48"/>
      <c r="I722" s="48"/>
    </row>
    <row r="723" spans="7:9" ht="15.75" customHeight="1">
      <c r="G723" s="48"/>
      <c r="H723" s="48"/>
      <c r="I723" s="48"/>
    </row>
    <row r="724" spans="7:9" ht="15.75" customHeight="1">
      <c r="G724" s="48"/>
      <c r="H724" s="48"/>
      <c r="I724" s="48"/>
    </row>
    <row r="725" spans="7:9" ht="15.75" customHeight="1">
      <c r="G725" s="48"/>
      <c r="H725" s="48"/>
      <c r="I725" s="48"/>
    </row>
    <row r="726" spans="7:9" ht="15.75" customHeight="1">
      <c r="G726" s="48"/>
      <c r="H726" s="48"/>
      <c r="I726" s="48"/>
    </row>
    <row r="727" spans="7:9" ht="15.75" customHeight="1">
      <c r="G727" s="48"/>
      <c r="H727" s="48"/>
      <c r="I727" s="48"/>
    </row>
    <row r="728" spans="7:9" ht="15.75" customHeight="1">
      <c r="G728" s="48"/>
      <c r="H728" s="48"/>
      <c r="I728" s="48"/>
    </row>
    <row r="729" spans="7:9" ht="15.75" customHeight="1">
      <c r="G729" s="48"/>
      <c r="H729" s="48"/>
      <c r="I729" s="48"/>
    </row>
    <row r="730" spans="7:9" ht="15.75" customHeight="1">
      <c r="G730" s="48"/>
      <c r="H730" s="48"/>
      <c r="I730" s="48"/>
    </row>
    <row r="731" spans="7:9" ht="15.75" customHeight="1">
      <c r="G731" s="48"/>
      <c r="H731" s="48"/>
      <c r="I731" s="48"/>
    </row>
    <row r="732" spans="7:9" ht="15.75" customHeight="1">
      <c r="G732" s="48"/>
      <c r="H732" s="48"/>
      <c r="I732" s="48"/>
    </row>
    <row r="733" spans="7:9" ht="15.75" customHeight="1">
      <c r="G733" s="48"/>
      <c r="H733" s="48"/>
      <c r="I733" s="48"/>
    </row>
    <row r="734" spans="7:9" ht="15.75" customHeight="1">
      <c r="G734" s="48"/>
      <c r="H734" s="48"/>
      <c r="I734" s="48"/>
    </row>
    <row r="735" spans="7:9" ht="15.75" customHeight="1">
      <c r="G735" s="48"/>
      <c r="H735" s="48"/>
      <c r="I735" s="48"/>
    </row>
    <row r="736" spans="7:9" ht="15.75" customHeight="1">
      <c r="G736" s="48"/>
      <c r="H736" s="48"/>
      <c r="I736" s="48"/>
    </row>
    <row r="737" spans="7:9" ht="15.75" customHeight="1">
      <c r="G737" s="48"/>
      <c r="H737" s="48"/>
      <c r="I737" s="48"/>
    </row>
    <row r="738" spans="7:9" ht="15.75" customHeight="1">
      <c r="G738" s="48"/>
      <c r="H738" s="48"/>
      <c r="I738" s="48"/>
    </row>
    <row r="739" spans="7:9" ht="15.75" customHeight="1">
      <c r="G739" s="48"/>
      <c r="H739" s="48"/>
      <c r="I739" s="48"/>
    </row>
    <row r="740" spans="7:9" ht="15.75" customHeight="1">
      <c r="G740" s="48"/>
      <c r="H740" s="48"/>
      <c r="I740" s="48"/>
    </row>
    <row r="741" spans="7:9" ht="15.75" customHeight="1">
      <c r="G741" s="48"/>
      <c r="H741" s="48"/>
      <c r="I741" s="48"/>
    </row>
    <row r="742" spans="7:9" ht="15.75" customHeight="1">
      <c r="G742" s="48"/>
      <c r="H742" s="48"/>
      <c r="I742" s="48"/>
    </row>
    <row r="743" spans="7:9" ht="15.75" customHeight="1">
      <c r="G743" s="48"/>
      <c r="H743" s="48"/>
      <c r="I743" s="48"/>
    </row>
    <row r="744" spans="7:9" ht="15.75" customHeight="1">
      <c r="G744" s="48"/>
      <c r="H744" s="48"/>
      <c r="I744" s="48"/>
    </row>
    <row r="745" spans="7:9" ht="15.75" customHeight="1">
      <c r="G745" s="48"/>
      <c r="H745" s="48"/>
      <c r="I745" s="48"/>
    </row>
    <row r="746" spans="7:9" ht="15.75" customHeight="1">
      <c r="G746" s="48"/>
      <c r="H746" s="48"/>
      <c r="I746" s="48"/>
    </row>
    <row r="747" spans="7:9" ht="15.75" customHeight="1">
      <c r="G747" s="48"/>
      <c r="H747" s="48"/>
      <c r="I747" s="48"/>
    </row>
    <row r="748" spans="7:9" ht="15.75" customHeight="1">
      <c r="G748" s="48"/>
      <c r="H748" s="48"/>
      <c r="I748" s="48"/>
    </row>
    <row r="749" spans="7:9" ht="15.75" customHeight="1">
      <c r="G749" s="48"/>
      <c r="H749" s="48"/>
      <c r="I749" s="48"/>
    </row>
    <row r="750" spans="7:9" ht="15.75" customHeight="1">
      <c r="G750" s="48"/>
      <c r="H750" s="48"/>
      <c r="I750" s="48"/>
    </row>
    <row r="751" spans="7:9" ht="15.75" customHeight="1">
      <c r="G751" s="48"/>
      <c r="H751" s="48"/>
      <c r="I751" s="48"/>
    </row>
    <row r="752" spans="7:9" ht="15.75" customHeight="1">
      <c r="G752" s="48"/>
      <c r="H752" s="48"/>
      <c r="I752" s="48"/>
    </row>
    <row r="753" spans="7:9" ht="15.75" customHeight="1">
      <c r="G753" s="48"/>
      <c r="H753" s="48"/>
      <c r="I753" s="48"/>
    </row>
    <row r="754" spans="7:9" ht="15.75" customHeight="1">
      <c r="G754" s="48"/>
      <c r="H754" s="48"/>
      <c r="I754" s="48"/>
    </row>
    <row r="755" spans="7:9" ht="15.75" customHeight="1">
      <c r="G755" s="48"/>
      <c r="H755" s="48"/>
      <c r="I755" s="48"/>
    </row>
    <row r="756" spans="7:9" ht="15.75" customHeight="1">
      <c r="G756" s="48"/>
      <c r="H756" s="48"/>
      <c r="I756" s="48"/>
    </row>
    <row r="757" spans="7:9" ht="15.75" customHeight="1">
      <c r="G757" s="48"/>
      <c r="H757" s="48"/>
      <c r="I757" s="48"/>
    </row>
    <row r="758" spans="7:9" ht="15.75" customHeight="1">
      <c r="G758" s="48"/>
      <c r="H758" s="48"/>
      <c r="I758" s="48"/>
    </row>
    <row r="759" spans="7:9" ht="15.75" customHeight="1">
      <c r="G759" s="48"/>
      <c r="H759" s="48"/>
      <c r="I759" s="48"/>
    </row>
    <row r="760" spans="7:9" ht="15.75" customHeight="1">
      <c r="G760" s="48"/>
      <c r="H760" s="48"/>
      <c r="I760" s="48"/>
    </row>
    <row r="761" spans="7:9" ht="15.75" customHeight="1">
      <c r="G761" s="48"/>
      <c r="H761" s="48"/>
      <c r="I761" s="48"/>
    </row>
    <row r="762" spans="7:9" ht="15.75" customHeight="1">
      <c r="G762" s="48"/>
      <c r="H762" s="48"/>
      <c r="I762" s="48"/>
    </row>
    <row r="763" spans="7:9" ht="15.75" customHeight="1">
      <c r="G763" s="48"/>
      <c r="H763" s="48"/>
      <c r="I763" s="48"/>
    </row>
    <row r="764" spans="7:9" ht="15.75" customHeight="1">
      <c r="G764" s="48"/>
      <c r="H764" s="48"/>
      <c r="I764" s="48"/>
    </row>
    <row r="765" spans="7:9" ht="15.75" customHeight="1">
      <c r="G765" s="48"/>
      <c r="H765" s="48"/>
      <c r="I765" s="48"/>
    </row>
    <row r="766" spans="7:9" ht="15.75" customHeight="1">
      <c r="G766" s="48"/>
      <c r="H766" s="48"/>
      <c r="I766" s="48"/>
    </row>
    <row r="767" spans="7:9" ht="15.75" customHeight="1">
      <c r="G767" s="48"/>
      <c r="H767" s="48"/>
      <c r="I767" s="48"/>
    </row>
    <row r="768" spans="7:9" ht="15.75" customHeight="1">
      <c r="G768" s="48"/>
      <c r="H768" s="48"/>
      <c r="I768" s="48"/>
    </row>
    <row r="769" spans="7:9" ht="15.75" customHeight="1">
      <c r="G769" s="48"/>
      <c r="H769" s="48"/>
      <c r="I769" s="48"/>
    </row>
    <row r="770" spans="7:9" ht="15.75" customHeight="1">
      <c r="G770" s="48"/>
      <c r="H770" s="48"/>
      <c r="I770" s="48"/>
    </row>
    <row r="771" spans="7:9" ht="15.75" customHeight="1">
      <c r="G771" s="48"/>
      <c r="H771" s="48"/>
      <c r="I771" s="48"/>
    </row>
    <row r="772" spans="7:9" ht="15.75" customHeight="1">
      <c r="G772" s="48"/>
      <c r="H772" s="48"/>
      <c r="I772" s="48"/>
    </row>
    <row r="773" spans="7:9" ht="15.75" customHeight="1">
      <c r="G773" s="48"/>
      <c r="H773" s="48"/>
      <c r="I773" s="48"/>
    </row>
    <row r="774" spans="7:9" ht="15.75" customHeight="1">
      <c r="G774" s="48"/>
      <c r="H774" s="48"/>
      <c r="I774" s="48"/>
    </row>
    <row r="775" spans="7:9" ht="15.75" customHeight="1">
      <c r="G775" s="48"/>
      <c r="H775" s="48"/>
      <c r="I775" s="48"/>
    </row>
    <row r="776" spans="7:9" ht="15.75" customHeight="1">
      <c r="G776" s="48"/>
      <c r="H776" s="48"/>
      <c r="I776" s="48"/>
    </row>
    <row r="777" spans="7:9" ht="15.75" customHeight="1">
      <c r="G777" s="48"/>
      <c r="H777" s="48"/>
      <c r="I777" s="48"/>
    </row>
    <row r="778" spans="7:9" ht="15.75" customHeight="1">
      <c r="G778" s="48"/>
      <c r="H778" s="48"/>
      <c r="I778" s="48"/>
    </row>
    <row r="779" spans="7:9" ht="15.75" customHeight="1">
      <c r="G779" s="48"/>
      <c r="H779" s="48"/>
      <c r="I779" s="48"/>
    </row>
    <row r="780" spans="7:9" ht="15.75" customHeight="1">
      <c r="G780" s="48"/>
      <c r="H780" s="48"/>
      <c r="I780" s="48"/>
    </row>
    <row r="781" spans="7:9" ht="15.75" customHeight="1">
      <c r="G781" s="48"/>
      <c r="H781" s="48"/>
      <c r="I781" s="48"/>
    </row>
    <row r="782" spans="7:9" ht="15.75" customHeight="1">
      <c r="G782" s="48"/>
      <c r="H782" s="48"/>
      <c r="I782" s="48"/>
    </row>
    <row r="783" spans="7:9" ht="15.75" customHeight="1">
      <c r="G783" s="48"/>
      <c r="H783" s="48"/>
      <c r="I783" s="48"/>
    </row>
    <row r="784" spans="7:9" ht="15.75" customHeight="1">
      <c r="G784" s="48"/>
      <c r="H784" s="48"/>
      <c r="I784" s="48"/>
    </row>
    <row r="785" spans="7:9" ht="15.75" customHeight="1">
      <c r="G785" s="48"/>
      <c r="H785" s="48"/>
      <c r="I785" s="48"/>
    </row>
    <row r="786" spans="7:9" ht="15.75" customHeight="1">
      <c r="G786" s="48"/>
      <c r="H786" s="48"/>
      <c r="I786" s="48"/>
    </row>
    <row r="787" spans="7:9" ht="15.75" customHeight="1">
      <c r="G787" s="48"/>
      <c r="H787" s="48"/>
      <c r="I787" s="48"/>
    </row>
    <row r="788" spans="7:9" ht="15.75" customHeight="1">
      <c r="G788" s="48"/>
      <c r="H788" s="48"/>
      <c r="I788" s="48"/>
    </row>
    <row r="789" spans="7:9" ht="15.75" customHeight="1">
      <c r="G789" s="48"/>
      <c r="H789" s="48"/>
      <c r="I789" s="48"/>
    </row>
    <row r="790" spans="7:9" ht="15.75" customHeight="1">
      <c r="G790" s="48"/>
      <c r="H790" s="48"/>
      <c r="I790" s="48"/>
    </row>
    <row r="791" spans="7:9" ht="15.75" customHeight="1">
      <c r="G791" s="48"/>
      <c r="H791" s="48"/>
      <c r="I791" s="48"/>
    </row>
    <row r="792" spans="7:9" ht="15.75" customHeight="1">
      <c r="G792" s="48"/>
      <c r="H792" s="48"/>
      <c r="I792" s="48"/>
    </row>
    <row r="793" spans="7:9" ht="15.75" customHeight="1">
      <c r="G793" s="48"/>
      <c r="H793" s="48"/>
      <c r="I793" s="48"/>
    </row>
    <row r="794" spans="7:9" ht="15.75" customHeight="1">
      <c r="G794" s="48"/>
      <c r="H794" s="48"/>
      <c r="I794" s="48"/>
    </row>
    <row r="795" spans="7:9" ht="15.75" customHeight="1">
      <c r="G795" s="48"/>
      <c r="H795" s="48"/>
      <c r="I795" s="48"/>
    </row>
    <row r="796" spans="7:9" ht="15.75" customHeight="1">
      <c r="G796" s="48"/>
      <c r="H796" s="48"/>
      <c r="I796" s="48"/>
    </row>
    <row r="797" spans="7:9" ht="15.75" customHeight="1">
      <c r="G797" s="48"/>
      <c r="H797" s="48"/>
      <c r="I797" s="48"/>
    </row>
    <row r="798" spans="7:9" ht="15.75" customHeight="1">
      <c r="G798" s="48"/>
      <c r="H798" s="48"/>
      <c r="I798" s="48"/>
    </row>
    <row r="799" spans="7:9" ht="15.75" customHeight="1">
      <c r="G799" s="48"/>
      <c r="H799" s="48"/>
      <c r="I799" s="48"/>
    </row>
    <row r="800" spans="7:9" ht="15.75" customHeight="1">
      <c r="G800" s="48"/>
      <c r="H800" s="48"/>
      <c r="I800" s="48"/>
    </row>
    <row r="801" spans="7:9" ht="15.75" customHeight="1">
      <c r="G801" s="48"/>
      <c r="H801" s="48"/>
      <c r="I801" s="48"/>
    </row>
    <row r="802" spans="7:9" ht="15.75" customHeight="1">
      <c r="G802" s="48"/>
      <c r="H802" s="48"/>
      <c r="I802" s="48"/>
    </row>
    <row r="803" spans="7:9" ht="15.75" customHeight="1">
      <c r="G803" s="48"/>
      <c r="H803" s="48"/>
      <c r="I803" s="48"/>
    </row>
    <row r="804" spans="7:9" ht="15.75" customHeight="1">
      <c r="G804" s="48"/>
      <c r="H804" s="48"/>
      <c r="I804" s="48"/>
    </row>
    <row r="805" spans="7:9" ht="15.75" customHeight="1">
      <c r="G805" s="48"/>
      <c r="H805" s="48"/>
      <c r="I805" s="48"/>
    </row>
    <row r="806" spans="7:9" ht="15.75" customHeight="1">
      <c r="G806" s="48"/>
      <c r="H806" s="48"/>
      <c r="I806" s="48"/>
    </row>
    <row r="807" spans="7:9" ht="15.75" customHeight="1">
      <c r="G807" s="48"/>
      <c r="H807" s="48"/>
      <c r="I807" s="48"/>
    </row>
    <row r="808" spans="7:9" ht="15.75" customHeight="1">
      <c r="G808" s="48"/>
      <c r="H808" s="48"/>
      <c r="I808" s="48"/>
    </row>
    <row r="809" spans="7:9" ht="15.75" customHeight="1">
      <c r="G809" s="48"/>
      <c r="H809" s="48"/>
      <c r="I809" s="48"/>
    </row>
    <row r="810" spans="7:9" ht="15.75" customHeight="1">
      <c r="G810" s="48"/>
      <c r="H810" s="48"/>
      <c r="I810" s="48"/>
    </row>
    <row r="811" spans="7:9" ht="15.75" customHeight="1">
      <c r="G811" s="48"/>
      <c r="H811" s="48"/>
      <c r="I811" s="48"/>
    </row>
    <row r="812" spans="7:9" ht="15.75" customHeight="1">
      <c r="G812" s="48"/>
      <c r="H812" s="48"/>
      <c r="I812" s="48"/>
    </row>
    <row r="813" spans="7:9" ht="15.75" customHeight="1">
      <c r="G813" s="48"/>
      <c r="H813" s="48"/>
      <c r="I813" s="48"/>
    </row>
    <row r="814" spans="7:9" ht="15.75" customHeight="1">
      <c r="G814" s="48"/>
      <c r="H814" s="48"/>
      <c r="I814" s="48"/>
    </row>
    <row r="815" spans="7:9" ht="15.75" customHeight="1">
      <c r="G815" s="48"/>
      <c r="H815" s="48"/>
      <c r="I815" s="48"/>
    </row>
    <row r="816" spans="7:9" ht="15.75" customHeight="1">
      <c r="G816" s="48"/>
      <c r="H816" s="48"/>
      <c r="I816" s="48"/>
    </row>
    <row r="817" spans="7:9" ht="15.75" customHeight="1">
      <c r="G817" s="48"/>
      <c r="H817" s="48"/>
      <c r="I817" s="48"/>
    </row>
    <row r="818" spans="7:9" ht="15.75" customHeight="1">
      <c r="G818" s="48"/>
      <c r="H818" s="48"/>
      <c r="I818" s="48"/>
    </row>
    <row r="819" spans="7:9" ht="15.75" customHeight="1">
      <c r="G819" s="48"/>
      <c r="H819" s="48"/>
      <c r="I819" s="48"/>
    </row>
    <row r="820" spans="7:9" ht="15.75" customHeight="1">
      <c r="G820" s="48"/>
      <c r="H820" s="48"/>
      <c r="I820" s="48"/>
    </row>
    <row r="821" spans="7:9" ht="15.75" customHeight="1">
      <c r="G821" s="48"/>
      <c r="H821" s="48"/>
      <c r="I821" s="48"/>
    </row>
    <row r="822" spans="7:9" ht="15.75" customHeight="1">
      <c r="G822" s="48"/>
      <c r="H822" s="48"/>
      <c r="I822" s="48"/>
    </row>
    <row r="823" spans="7:9" ht="15.75" customHeight="1">
      <c r="G823" s="48"/>
      <c r="H823" s="48"/>
      <c r="I823" s="48"/>
    </row>
    <row r="824" spans="7:9" ht="15.75" customHeight="1">
      <c r="G824" s="48"/>
      <c r="H824" s="48"/>
      <c r="I824" s="48"/>
    </row>
    <row r="825" spans="7:9" ht="15.75" customHeight="1">
      <c r="G825" s="48"/>
      <c r="H825" s="48"/>
      <c r="I825" s="48"/>
    </row>
    <row r="826" spans="7:9" ht="15.75" customHeight="1">
      <c r="G826" s="48"/>
      <c r="H826" s="48"/>
      <c r="I826" s="48"/>
    </row>
    <row r="827" spans="7:9" ht="15.75" customHeight="1">
      <c r="G827" s="48"/>
      <c r="H827" s="48"/>
      <c r="I827" s="48"/>
    </row>
    <row r="828" spans="7:9" ht="15.75" customHeight="1">
      <c r="G828" s="48"/>
      <c r="H828" s="48"/>
      <c r="I828" s="48"/>
    </row>
    <row r="829" spans="7:9" ht="15.75" customHeight="1">
      <c r="G829" s="48"/>
      <c r="H829" s="48"/>
      <c r="I829" s="48"/>
    </row>
    <row r="830" spans="7:9" ht="15.75" customHeight="1">
      <c r="G830" s="48"/>
      <c r="H830" s="48"/>
      <c r="I830" s="48"/>
    </row>
    <row r="831" spans="7:9" ht="15.75" customHeight="1">
      <c r="G831" s="48"/>
      <c r="H831" s="48"/>
      <c r="I831" s="48"/>
    </row>
    <row r="832" spans="7:9" ht="15.75" customHeight="1">
      <c r="G832" s="48"/>
      <c r="H832" s="48"/>
      <c r="I832" s="48"/>
    </row>
    <row r="833" spans="7:9" ht="15.75" customHeight="1">
      <c r="G833" s="48"/>
      <c r="H833" s="48"/>
      <c r="I833" s="48"/>
    </row>
    <row r="834" spans="7:9" ht="15.75" customHeight="1">
      <c r="G834" s="48"/>
      <c r="H834" s="48"/>
      <c r="I834" s="48"/>
    </row>
    <row r="835" spans="7:9" ht="15.75" customHeight="1">
      <c r="G835" s="48"/>
      <c r="H835" s="48"/>
      <c r="I835" s="48"/>
    </row>
    <row r="836" spans="7:9" ht="15.75" customHeight="1">
      <c r="G836" s="48"/>
      <c r="H836" s="48"/>
      <c r="I836" s="48"/>
    </row>
    <row r="837" spans="7:9" ht="15.75" customHeight="1">
      <c r="G837" s="48"/>
      <c r="H837" s="48"/>
      <c r="I837" s="48"/>
    </row>
    <row r="838" spans="7:9" ht="15.75" customHeight="1">
      <c r="G838" s="48"/>
      <c r="H838" s="48"/>
      <c r="I838" s="48"/>
    </row>
    <row r="839" spans="7:9" ht="15.75" customHeight="1">
      <c r="G839" s="48"/>
      <c r="H839" s="48"/>
      <c r="I839" s="48"/>
    </row>
    <row r="840" spans="7:9" ht="15.75" customHeight="1">
      <c r="G840" s="48"/>
      <c r="H840" s="48"/>
      <c r="I840" s="48"/>
    </row>
    <row r="841" spans="7:9" ht="15.75" customHeight="1">
      <c r="G841" s="48"/>
      <c r="H841" s="48"/>
      <c r="I841" s="48"/>
    </row>
    <row r="842" spans="7:9" ht="15.75" customHeight="1">
      <c r="G842" s="48"/>
      <c r="H842" s="48"/>
      <c r="I842" s="48"/>
    </row>
    <row r="843" spans="7:9" ht="15.75" customHeight="1">
      <c r="G843" s="48"/>
      <c r="H843" s="48"/>
      <c r="I843" s="48"/>
    </row>
    <row r="844" spans="7:9" ht="15.75" customHeight="1">
      <c r="G844" s="48"/>
      <c r="H844" s="48"/>
      <c r="I844" s="48"/>
    </row>
    <row r="845" spans="7:9" ht="15.75" customHeight="1">
      <c r="G845" s="48"/>
      <c r="H845" s="48"/>
      <c r="I845" s="48"/>
    </row>
    <row r="846" spans="7:9" ht="15.75" customHeight="1">
      <c r="G846" s="48"/>
      <c r="H846" s="48"/>
      <c r="I846" s="48"/>
    </row>
    <row r="847" spans="7:9" ht="15.75" customHeight="1">
      <c r="G847" s="48"/>
      <c r="H847" s="48"/>
      <c r="I847" s="48"/>
    </row>
    <row r="848" spans="7:9" ht="15.75" customHeight="1">
      <c r="G848" s="48"/>
      <c r="H848" s="48"/>
      <c r="I848" s="48"/>
    </row>
    <row r="849" spans="7:9" ht="15.75" customHeight="1">
      <c r="G849" s="48"/>
      <c r="H849" s="48"/>
      <c r="I849" s="48"/>
    </row>
    <row r="850" spans="7:9" ht="15.75" customHeight="1">
      <c r="G850" s="48"/>
      <c r="H850" s="48"/>
      <c r="I850" s="48"/>
    </row>
    <row r="851" spans="7:9" ht="15.75" customHeight="1">
      <c r="G851" s="48"/>
      <c r="H851" s="48"/>
      <c r="I851" s="48"/>
    </row>
    <row r="852" spans="7:9" ht="15.75" customHeight="1">
      <c r="G852" s="48"/>
      <c r="H852" s="48"/>
      <c r="I852" s="48"/>
    </row>
    <row r="853" spans="7:9" ht="15.75" customHeight="1">
      <c r="G853" s="48"/>
      <c r="H853" s="48"/>
      <c r="I853" s="48"/>
    </row>
    <row r="854" spans="7:9" ht="15.75" customHeight="1">
      <c r="G854" s="48"/>
      <c r="H854" s="48"/>
      <c r="I854" s="48"/>
    </row>
    <row r="855" spans="7:9" ht="15.75" customHeight="1">
      <c r="G855" s="48"/>
      <c r="H855" s="48"/>
      <c r="I855" s="48"/>
    </row>
    <row r="856" spans="7:9" ht="15.75" customHeight="1">
      <c r="G856" s="48"/>
      <c r="H856" s="48"/>
      <c r="I856" s="48"/>
    </row>
    <row r="857" spans="7:9" ht="15.75" customHeight="1">
      <c r="G857" s="48"/>
      <c r="H857" s="48"/>
      <c r="I857" s="48"/>
    </row>
    <row r="858" spans="7:9" ht="15.75" customHeight="1">
      <c r="G858" s="48"/>
      <c r="H858" s="48"/>
      <c r="I858" s="48"/>
    </row>
    <row r="859" spans="7:9" ht="15.75" customHeight="1">
      <c r="G859" s="48"/>
      <c r="H859" s="48"/>
      <c r="I859" s="48"/>
    </row>
    <row r="860" spans="7:9" ht="15.75" customHeight="1">
      <c r="G860" s="48"/>
      <c r="H860" s="48"/>
      <c r="I860" s="48"/>
    </row>
    <row r="861" spans="7:9" ht="15.75" customHeight="1">
      <c r="G861" s="48"/>
      <c r="H861" s="48"/>
      <c r="I861" s="48"/>
    </row>
    <row r="862" spans="7:9" ht="15.75" customHeight="1">
      <c r="G862" s="48"/>
      <c r="H862" s="48"/>
      <c r="I862" s="48"/>
    </row>
    <row r="863" spans="7:9" ht="15.75" customHeight="1">
      <c r="G863" s="48"/>
      <c r="H863" s="48"/>
      <c r="I863" s="48"/>
    </row>
    <row r="864" spans="7:9" ht="15.75" customHeight="1">
      <c r="G864" s="48"/>
      <c r="H864" s="48"/>
      <c r="I864" s="48"/>
    </row>
    <row r="865" spans="7:9" ht="15.75" customHeight="1">
      <c r="G865" s="48"/>
      <c r="H865" s="48"/>
      <c r="I865" s="48"/>
    </row>
    <row r="866" spans="7:9" ht="15.75" customHeight="1">
      <c r="G866" s="48"/>
      <c r="H866" s="48"/>
      <c r="I866" s="48"/>
    </row>
    <row r="867" spans="7:9" ht="15.75" customHeight="1">
      <c r="G867" s="48"/>
      <c r="H867" s="48"/>
      <c r="I867" s="48"/>
    </row>
    <row r="868" spans="7:9" ht="15.75" customHeight="1">
      <c r="G868" s="48"/>
      <c r="H868" s="48"/>
      <c r="I868" s="48"/>
    </row>
    <row r="869" spans="7:9" ht="15.75" customHeight="1">
      <c r="G869" s="48"/>
      <c r="H869" s="48"/>
      <c r="I869" s="48"/>
    </row>
    <row r="870" spans="7:9" ht="15.75" customHeight="1">
      <c r="G870" s="48"/>
      <c r="H870" s="48"/>
      <c r="I870" s="48"/>
    </row>
    <row r="871" spans="7:9" ht="15.75" customHeight="1">
      <c r="G871" s="48"/>
      <c r="H871" s="48"/>
      <c r="I871" s="48"/>
    </row>
    <row r="872" spans="7:9" ht="15.75" customHeight="1">
      <c r="G872" s="48"/>
      <c r="H872" s="48"/>
      <c r="I872" s="48"/>
    </row>
    <row r="873" spans="7:9" ht="15.75" customHeight="1">
      <c r="G873" s="48"/>
      <c r="H873" s="48"/>
      <c r="I873" s="48"/>
    </row>
    <row r="874" spans="7:9" ht="15.75" customHeight="1">
      <c r="G874" s="48"/>
      <c r="H874" s="48"/>
      <c r="I874" s="48"/>
    </row>
    <row r="875" spans="7:9" ht="15.75" customHeight="1">
      <c r="G875" s="48"/>
      <c r="H875" s="48"/>
      <c r="I875" s="48"/>
    </row>
    <row r="876" spans="7:9" ht="15.75" customHeight="1">
      <c r="G876" s="48"/>
      <c r="H876" s="48"/>
      <c r="I876" s="48"/>
    </row>
    <row r="877" spans="7:9" ht="15.75" customHeight="1">
      <c r="G877" s="48"/>
      <c r="H877" s="48"/>
      <c r="I877" s="48"/>
    </row>
    <row r="878" spans="7:9" ht="15.75" customHeight="1">
      <c r="G878" s="48"/>
      <c r="H878" s="48"/>
      <c r="I878" s="48"/>
    </row>
    <row r="879" spans="7:9" ht="15.75" customHeight="1">
      <c r="G879" s="48"/>
      <c r="H879" s="48"/>
      <c r="I879" s="48"/>
    </row>
    <row r="880" spans="7:9" ht="15.75" customHeight="1">
      <c r="G880" s="48"/>
      <c r="H880" s="48"/>
      <c r="I880" s="48"/>
    </row>
    <row r="881" spans="7:9" ht="15.75" customHeight="1">
      <c r="G881" s="48"/>
      <c r="H881" s="48"/>
      <c r="I881" s="48"/>
    </row>
    <row r="882" spans="7:9" ht="15.75" customHeight="1">
      <c r="G882" s="48"/>
      <c r="H882" s="48"/>
      <c r="I882" s="48"/>
    </row>
    <row r="883" spans="7:9" ht="15.75" customHeight="1">
      <c r="G883" s="48"/>
      <c r="H883" s="48"/>
      <c r="I883" s="48"/>
    </row>
    <row r="884" spans="7:9" ht="15.75" customHeight="1">
      <c r="G884" s="48"/>
      <c r="H884" s="48"/>
      <c r="I884" s="48"/>
    </row>
    <row r="885" spans="7:9" ht="15.75" customHeight="1">
      <c r="G885" s="48"/>
      <c r="H885" s="48"/>
      <c r="I885" s="48"/>
    </row>
    <row r="886" spans="7:9" ht="15.75" customHeight="1">
      <c r="G886" s="48"/>
      <c r="H886" s="48"/>
      <c r="I886" s="48"/>
    </row>
    <row r="887" spans="7:9" ht="15.75" customHeight="1">
      <c r="G887" s="48"/>
      <c r="H887" s="48"/>
      <c r="I887" s="48"/>
    </row>
    <row r="888" spans="7:9" ht="15.75" customHeight="1">
      <c r="G888" s="48"/>
      <c r="H888" s="48"/>
      <c r="I888" s="48"/>
    </row>
    <row r="889" spans="7:9" ht="15.75" customHeight="1">
      <c r="G889" s="48"/>
      <c r="H889" s="48"/>
      <c r="I889" s="48"/>
    </row>
    <row r="890" spans="7:9" ht="15.75" customHeight="1">
      <c r="G890" s="48"/>
      <c r="H890" s="48"/>
      <c r="I890" s="48"/>
    </row>
    <row r="891" spans="7:9" ht="15.75" customHeight="1">
      <c r="G891" s="48"/>
      <c r="H891" s="48"/>
      <c r="I891" s="48"/>
    </row>
    <row r="892" spans="7:9" ht="15.75" customHeight="1">
      <c r="G892" s="48"/>
      <c r="H892" s="48"/>
      <c r="I892" s="48"/>
    </row>
    <row r="893" spans="7:9" ht="15.75" customHeight="1">
      <c r="G893" s="48"/>
      <c r="H893" s="48"/>
      <c r="I893" s="48"/>
    </row>
    <row r="894" spans="7:9" ht="15.75" customHeight="1">
      <c r="G894" s="48"/>
      <c r="H894" s="48"/>
      <c r="I894" s="48"/>
    </row>
    <row r="895" spans="7:9" ht="15.75" customHeight="1">
      <c r="G895" s="48"/>
      <c r="H895" s="48"/>
      <c r="I895" s="48"/>
    </row>
    <row r="896" spans="7:9" ht="15.75" customHeight="1">
      <c r="G896" s="48"/>
      <c r="H896" s="48"/>
      <c r="I896" s="48"/>
    </row>
    <row r="897" spans="7:9" ht="15.75" customHeight="1">
      <c r="G897" s="48"/>
      <c r="H897" s="48"/>
      <c r="I897" s="48"/>
    </row>
    <row r="898" spans="7:9" ht="15.75" customHeight="1">
      <c r="G898" s="48"/>
      <c r="H898" s="48"/>
      <c r="I898" s="48"/>
    </row>
    <row r="899" spans="7:9" ht="15.75" customHeight="1">
      <c r="G899" s="48"/>
      <c r="H899" s="48"/>
      <c r="I899" s="48"/>
    </row>
    <row r="900" spans="7:9" ht="15.75" customHeight="1">
      <c r="G900" s="48"/>
      <c r="H900" s="48"/>
      <c r="I900" s="48"/>
    </row>
    <row r="901" spans="7:9" ht="15.75" customHeight="1">
      <c r="G901" s="48"/>
      <c r="H901" s="48"/>
      <c r="I901" s="48"/>
    </row>
    <row r="902" spans="7:9" ht="15.75" customHeight="1">
      <c r="G902" s="48"/>
      <c r="H902" s="48"/>
      <c r="I902" s="48"/>
    </row>
    <row r="903" spans="7:9" ht="15.75" customHeight="1">
      <c r="G903" s="48"/>
      <c r="H903" s="48"/>
      <c r="I903" s="48"/>
    </row>
    <row r="904" spans="7:9" ht="15.75" customHeight="1">
      <c r="G904" s="48"/>
      <c r="H904" s="48"/>
      <c r="I904" s="48"/>
    </row>
    <row r="905" spans="7:9" ht="15.75" customHeight="1">
      <c r="G905" s="48"/>
      <c r="H905" s="48"/>
      <c r="I905" s="48"/>
    </row>
    <row r="906" spans="7:9" ht="15.75" customHeight="1">
      <c r="G906" s="48"/>
      <c r="H906" s="48"/>
      <c r="I906" s="48"/>
    </row>
    <row r="907" spans="7:9" ht="15.75" customHeight="1">
      <c r="G907" s="48"/>
      <c r="H907" s="48"/>
      <c r="I907" s="48"/>
    </row>
    <row r="908" spans="7:9" ht="15.75" customHeight="1">
      <c r="G908" s="48"/>
      <c r="H908" s="48"/>
      <c r="I908" s="48"/>
    </row>
    <row r="909" spans="7:9" ht="15.75" customHeight="1">
      <c r="G909" s="48"/>
      <c r="H909" s="48"/>
      <c r="I909" s="48"/>
    </row>
    <row r="910" spans="7:9" ht="15.75" customHeight="1">
      <c r="G910" s="48"/>
      <c r="H910" s="48"/>
      <c r="I910" s="48"/>
    </row>
    <row r="911" spans="7:9" ht="15.75" customHeight="1">
      <c r="G911" s="48"/>
      <c r="H911" s="48"/>
      <c r="I911" s="48"/>
    </row>
    <row r="912" spans="7:9" ht="15.75" customHeight="1">
      <c r="G912" s="48"/>
      <c r="H912" s="48"/>
      <c r="I912" s="48"/>
    </row>
    <row r="913" spans="7:9" ht="15.75" customHeight="1">
      <c r="G913" s="48"/>
      <c r="H913" s="48"/>
      <c r="I913" s="48"/>
    </row>
    <row r="914" spans="7:9" ht="15.75" customHeight="1">
      <c r="G914" s="48"/>
      <c r="H914" s="48"/>
      <c r="I914" s="48"/>
    </row>
    <row r="915" spans="7:9" ht="15.75" customHeight="1">
      <c r="G915" s="48"/>
      <c r="H915" s="48"/>
      <c r="I915" s="48"/>
    </row>
    <row r="916" spans="7:9" ht="15.75" customHeight="1">
      <c r="G916" s="48"/>
      <c r="H916" s="48"/>
      <c r="I916" s="48"/>
    </row>
    <row r="917" spans="7:9" ht="15.75" customHeight="1">
      <c r="G917" s="48"/>
      <c r="H917" s="48"/>
      <c r="I917" s="48"/>
    </row>
    <row r="918" spans="7:9" ht="15.75" customHeight="1">
      <c r="G918" s="48"/>
      <c r="H918" s="48"/>
      <c r="I918" s="48"/>
    </row>
    <row r="919" spans="7:9" ht="15.75" customHeight="1">
      <c r="G919" s="48"/>
      <c r="H919" s="48"/>
      <c r="I919" s="48"/>
    </row>
    <row r="920" spans="7:9" ht="15.75" customHeight="1">
      <c r="G920" s="48"/>
      <c r="H920" s="48"/>
      <c r="I920" s="48"/>
    </row>
    <row r="921" spans="7:9" ht="15.75" customHeight="1">
      <c r="G921" s="48"/>
      <c r="H921" s="48"/>
      <c r="I921" s="48"/>
    </row>
    <row r="922" spans="7:9" ht="15.75" customHeight="1">
      <c r="G922" s="48"/>
      <c r="H922" s="48"/>
      <c r="I922" s="48"/>
    </row>
    <row r="923" spans="7:9" ht="15.75" customHeight="1">
      <c r="G923" s="48"/>
      <c r="H923" s="48"/>
      <c r="I923" s="48"/>
    </row>
    <row r="924" spans="7:9" ht="15.75" customHeight="1">
      <c r="G924" s="48"/>
      <c r="H924" s="48"/>
      <c r="I924" s="48"/>
    </row>
    <row r="925" spans="7:9" ht="15.75" customHeight="1">
      <c r="G925" s="48"/>
      <c r="H925" s="48"/>
      <c r="I925" s="48"/>
    </row>
    <row r="926" spans="7:9" ht="15.75" customHeight="1">
      <c r="G926" s="48"/>
      <c r="H926" s="48"/>
      <c r="I926" s="48"/>
    </row>
    <row r="927" spans="7:9" ht="15.75" customHeight="1">
      <c r="G927" s="48"/>
      <c r="H927" s="48"/>
      <c r="I927" s="48"/>
    </row>
    <row r="928" spans="7:9" ht="15.75" customHeight="1">
      <c r="G928" s="48"/>
      <c r="H928" s="48"/>
      <c r="I928" s="48"/>
    </row>
    <row r="929" spans="7:9" ht="15.75" customHeight="1">
      <c r="G929" s="48"/>
      <c r="H929" s="48"/>
      <c r="I929" s="48"/>
    </row>
    <row r="930" spans="7:9" ht="15.75" customHeight="1">
      <c r="G930" s="48"/>
      <c r="H930" s="48"/>
      <c r="I930" s="48"/>
    </row>
    <row r="931" spans="7:9" ht="15.75" customHeight="1">
      <c r="G931" s="48"/>
      <c r="H931" s="48"/>
      <c r="I931" s="48"/>
    </row>
    <row r="932" spans="7:9" ht="15.75" customHeight="1">
      <c r="G932" s="48"/>
      <c r="H932" s="48"/>
      <c r="I932" s="48"/>
    </row>
    <row r="933" spans="7:9" ht="15.75" customHeight="1">
      <c r="G933" s="48"/>
      <c r="H933" s="48"/>
      <c r="I933" s="48"/>
    </row>
    <row r="934" spans="7:9" ht="15.75" customHeight="1">
      <c r="G934" s="48"/>
      <c r="H934" s="48"/>
      <c r="I934" s="48"/>
    </row>
    <row r="935" spans="7:9" ht="15.75" customHeight="1">
      <c r="G935" s="48"/>
      <c r="H935" s="48"/>
      <c r="I935" s="48"/>
    </row>
    <row r="936" spans="7:9" ht="15.75" customHeight="1">
      <c r="G936" s="48"/>
      <c r="H936" s="48"/>
      <c r="I936" s="48"/>
    </row>
    <row r="937" spans="7:9" ht="15.75" customHeight="1">
      <c r="G937" s="48"/>
      <c r="H937" s="48"/>
      <c r="I937" s="48"/>
    </row>
    <row r="938" spans="7:9" ht="15.75" customHeight="1">
      <c r="G938" s="48"/>
      <c r="H938" s="48"/>
      <c r="I938" s="48"/>
    </row>
    <row r="939" spans="7:9" ht="15.75" customHeight="1">
      <c r="G939" s="48"/>
      <c r="H939" s="48"/>
      <c r="I939" s="48"/>
    </row>
    <row r="940" spans="7:9" ht="15.75" customHeight="1">
      <c r="G940" s="48"/>
      <c r="H940" s="48"/>
      <c r="I940" s="48"/>
    </row>
    <row r="941" spans="7:9" ht="15.75" customHeight="1">
      <c r="G941" s="48"/>
      <c r="H941" s="48"/>
      <c r="I941" s="48"/>
    </row>
    <row r="942" spans="7:9" ht="15.75" customHeight="1">
      <c r="G942" s="48"/>
      <c r="H942" s="48"/>
      <c r="I942" s="48"/>
    </row>
    <row r="943" spans="7:9" ht="15.75" customHeight="1">
      <c r="G943" s="48"/>
      <c r="H943" s="48"/>
      <c r="I943" s="48"/>
    </row>
    <row r="944" spans="7:9" ht="15.75" customHeight="1">
      <c r="G944" s="48"/>
      <c r="H944" s="48"/>
      <c r="I944" s="48"/>
    </row>
    <row r="945" spans="7:9" ht="15.75" customHeight="1">
      <c r="G945" s="48"/>
      <c r="H945" s="48"/>
      <c r="I945" s="48"/>
    </row>
    <row r="946" spans="7:9" ht="15.75" customHeight="1">
      <c r="G946" s="48"/>
      <c r="H946" s="48"/>
      <c r="I946" s="48"/>
    </row>
    <row r="947" spans="7:9" ht="15.75" customHeight="1">
      <c r="G947" s="48"/>
      <c r="H947" s="48"/>
      <c r="I947" s="48"/>
    </row>
    <row r="948" spans="7:9" ht="15.75" customHeight="1">
      <c r="G948" s="48"/>
      <c r="H948" s="48"/>
      <c r="I948" s="48"/>
    </row>
    <row r="949" spans="7:9" ht="15.75" customHeight="1">
      <c r="G949" s="48"/>
      <c r="H949" s="48"/>
      <c r="I949" s="48"/>
    </row>
    <row r="950" spans="7:9" ht="15.75" customHeight="1">
      <c r="G950" s="48"/>
      <c r="H950" s="48"/>
      <c r="I950" s="48"/>
    </row>
    <row r="951" spans="7:9" ht="15.75" customHeight="1">
      <c r="G951" s="48"/>
      <c r="H951" s="48"/>
      <c r="I951" s="48"/>
    </row>
    <row r="952" spans="7:9" ht="15.75" customHeight="1">
      <c r="G952" s="48"/>
      <c r="H952" s="48"/>
      <c r="I952" s="48"/>
    </row>
    <row r="953" spans="7:9" ht="15.75" customHeight="1">
      <c r="G953" s="48"/>
      <c r="H953" s="48"/>
      <c r="I953" s="48"/>
    </row>
    <row r="954" spans="7:9" ht="15.75" customHeight="1">
      <c r="G954" s="48"/>
      <c r="H954" s="48"/>
      <c r="I954" s="48"/>
    </row>
    <row r="955" spans="7:9" ht="15.75" customHeight="1">
      <c r="G955" s="48"/>
      <c r="H955" s="48"/>
      <c r="I955" s="48"/>
    </row>
    <row r="956" spans="7:9" ht="15.75" customHeight="1">
      <c r="G956" s="48"/>
      <c r="H956" s="48"/>
      <c r="I956" s="48"/>
    </row>
    <row r="957" spans="7:9" ht="15.75" customHeight="1">
      <c r="G957" s="48"/>
      <c r="H957" s="48"/>
      <c r="I957" s="48"/>
    </row>
    <row r="958" spans="7:9" ht="15.75" customHeight="1">
      <c r="G958" s="48"/>
      <c r="H958" s="48"/>
      <c r="I958" s="48"/>
    </row>
    <row r="959" spans="7:9" ht="15.75" customHeight="1">
      <c r="G959" s="48"/>
      <c r="H959" s="48"/>
      <c r="I959" s="48"/>
    </row>
    <row r="960" spans="7:9" ht="15.75" customHeight="1">
      <c r="G960" s="48"/>
      <c r="H960" s="48"/>
      <c r="I960" s="48"/>
    </row>
    <row r="961" spans="7:9" ht="15.75" customHeight="1">
      <c r="G961" s="48"/>
      <c r="H961" s="48"/>
      <c r="I961" s="48"/>
    </row>
    <row r="962" spans="7:9" ht="15.75" customHeight="1">
      <c r="G962" s="48"/>
      <c r="H962" s="48"/>
      <c r="I962" s="48"/>
    </row>
    <row r="963" spans="7:9" ht="15.75" customHeight="1">
      <c r="G963" s="48"/>
      <c r="H963" s="48"/>
      <c r="I963" s="48"/>
    </row>
    <row r="964" spans="7:9" ht="15.75" customHeight="1">
      <c r="G964" s="48"/>
      <c r="H964" s="48"/>
      <c r="I964" s="48"/>
    </row>
    <row r="965" spans="7:9" ht="15.75" customHeight="1">
      <c r="G965" s="48"/>
      <c r="H965" s="48"/>
      <c r="I965" s="48"/>
    </row>
    <row r="966" spans="7:9" ht="15.75" customHeight="1">
      <c r="G966" s="48"/>
      <c r="H966" s="48"/>
      <c r="I966" s="48"/>
    </row>
    <row r="967" spans="7:9" ht="15.75" customHeight="1">
      <c r="G967" s="48"/>
      <c r="H967" s="48"/>
      <c r="I967" s="48"/>
    </row>
    <row r="968" spans="7:9" ht="15.75" customHeight="1">
      <c r="G968" s="48"/>
      <c r="H968" s="48"/>
      <c r="I968" s="48"/>
    </row>
    <row r="969" spans="7:9" ht="15.75" customHeight="1">
      <c r="G969" s="48"/>
      <c r="H969" s="48"/>
      <c r="I969" s="48"/>
    </row>
    <row r="970" spans="7:9" ht="15.75" customHeight="1">
      <c r="G970" s="48"/>
      <c r="H970" s="48"/>
      <c r="I970" s="48"/>
    </row>
    <row r="971" spans="7:9" ht="15.75" customHeight="1">
      <c r="G971" s="48"/>
      <c r="H971" s="48"/>
      <c r="I971" s="48"/>
    </row>
    <row r="972" spans="7:9" ht="15.75" customHeight="1">
      <c r="G972" s="48"/>
      <c r="H972" s="48"/>
      <c r="I972" s="48"/>
    </row>
    <row r="973" spans="7:9" ht="15.75" customHeight="1">
      <c r="G973" s="48"/>
      <c r="H973" s="48"/>
      <c r="I973" s="48"/>
    </row>
    <row r="974" spans="7:9" ht="15.75" customHeight="1">
      <c r="G974" s="48"/>
      <c r="H974" s="48"/>
      <c r="I974" s="48"/>
    </row>
    <row r="975" spans="7:9" ht="15.75" customHeight="1">
      <c r="G975" s="48"/>
      <c r="H975" s="48"/>
      <c r="I975" s="48"/>
    </row>
    <row r="976" spans="7:9" ht="15.75" customHeight="1">
      <c r="G976" s="48"/>
      <c r="H976" s="48"/>
      <c r="I976" s="48"/>
    </row>
    <row r="977" spans="7:9" ht="15.75" customHeight="1">
      <c r="G977" s="48"/>
      <c r="H977" s="48"/>
      <c r="I977" s="48"/>
    </row>
    <row r="978" spans="7:9" ht="15.75" customHeight="1">
      <c r="G978" s="48"/>
      <c r="H978" s="48"/>
      <c r="I978" s="48"/>
    </row>
    <row r="979" spans="7:9" ht="15.75" customHeight="1">
      <c r="G979" s="48"/>
      <c r="H979" s="48"/>
      <c r="I979" s="48"/>
    </row>
    <row r="980" spans="7:9" ht="15.75" customHeight="1">
      <c r="G980" s="48"/>
      <c r="H980" s="48"/>
      <c r="I980" s="48"/>
    </row>
    <row r="981" spans="7:9" ht="15.75" customHeight="1">
      <c r="G981" s="48"/>
      <c r="H981" s="48"/>
      <c r="I981" s="48"/>
    </row>
    <row r="982" spans="7:9" ht="15.75" customHeight="1">
      <c r="G982" s="48"/>
      <c r="H982" s="48"/>
      <c r="I982" s="48"/>
    </row>
    <row r="983" spans="7:9" ht="15.75" customHeight="1">
      <c r="G983" s="48"/>
      <c r="H983" s="48"/>
      <c r="I983" s="48"/>
    </row>
    <row r="984" spans="7:9" ht="15.75" customHeight="1">
      <c r="G984" s="48"/>
      <c r="H984" s="48"/>
      <c r="I984" s="48"/>
    </row>
    <row r="985" spans="7:9" ht="15.75" customHeight="1">
      <c r="G985" s="48"/>
      <c r="H985" s="48"/>
      <c r="I985" s="48"/>
    </row>
    <row r="986" spans="7:9" ht="15.75" customHeight="1">
      <c r="G986" s="48"/>
      <c r="H986" s="48"/>
      <c r="I986" s="48"/>
    </row>
    <row r="987" spans="7:9" ht="15.75" customHeight="1">
      <c r="G987" s="48"/>
      <c r="H987" s="48"/>
      <c r="I987" s="48"/>
    </row>
    <row r="988" spans="7:9" ht="15.75" customHeight="1">
      <c r="G988" s="48"/>
      <c r="H988" s="48"/>
      <c r="I988" s="48"/>
    </row>
    <row r="989" spans="7:9" ht="15.75" customHeight="1">
      <c r="G989" s="48"/>
      <c r="H989" s="48"/>
      <c r="I989" s="48"/>
    </row>
    <row r="990" spans="7:9" ht="15.75" customHeight="1">
      <c r="G990" s="48"/>
      <c r="H990" s="48"/>
      <c r="I990" s="48"/>
    </row>
    <row r="991" spans="7:9" ht="15.75" customHeight="1">
      <c r="G991" s="48"/>
      <c r="H991" s="48"/>
      <c r="I991" s="48"/>
    </row>
    <row r="992" spans="7:9" ht="15.75" customHeight="1">
      <c r="G992" s="48"/>
      <c r="H992" s="48"/>
      <c r="I992" s="48"/>
    </row>
    <row r="993" spans="7:9" ht="15.75" customHeight="1">
      <c r="G993" s="48"/>
      <c r="H993" s="48"/>
      <c r="I993" s="48"/>
    </row>
    <row r="994" spans="7:9" ht="15.75" customHeight="1">
      <c r="G994" s="48"/>
      <c r="H994" s="48"/>
      <c r="I994" s="48"/>
    </row>
    <row r="995" spans="7:9" ht="15.75" customHeight="1">
      <c r="G995" s="48"/>
      <c r="H995" s="48"/>
      <c r="I995" s="48"/>
    </row>
    <row r="996" spans="7:9" ht="15.75" customHeight="1">
      <c r="G996" s="48"/>
      <c r="H996" s="48"/>
      <c r="I996" s="48"/>
    </row>
    <row r="997" spans="7:9" ht="15.75" customHeight="1">
      <c r="G997" s="48"/>
      <c r="H997" s="48"/>
      <c r="I997" s="48"/>
    </row>
    <row r="998" spans="7:9" ht="15.75" customHeight="1">
      <c r="G998" s="48"/>
      <c r="H998" s="48"/>
      <c r="I998" s="48"/>
    </row>
    <row r="999" spans="7:9" ht="15.75" customHeight="1">
      <c r="G999" s="48"/>
      <c r="H999" s="48"/>
      <c r="I999" s="48"/>
    </row>
  </sheetData>
  <sheetProtection algorithmName="SHA-512" hashValue="nodL1X50pBkJffLg17zoW43KbKzaq1k2NqoOz30QWyY51091sXuDfJ+KQcfCb1jYCyS2cO5CBH4GCG2m9WcAkg==" saltValue="iNM2I4R74oD3JMlBm8jCfg==" spinCount="100000" sheet="1" objects="1" scenarios="1" formatCells="0"/>
  <autoFilter ref="Q5:U108"/>
  <mergeCells count="1">
    <mergeCell ref="A1:D1"/>
  </mergeCells>
  <dataValidations count="2">
    <dataValidation type="list" allowBlank="1" showInputMessage="1" showErrorMessage="1" prompt="Molimo odaberite vrijednost iz padajućeg izbornika!" sqref="E3:E500">
      <formula1>$Q$6:$Q$104</formula1>
    </dataValidation>
    <dataValidation type="decimal" allowBlank="1" showInputMessage="1" showErrorMessage="1" prompt="GREŠKA - U ovo polje je dozvoljen unos samo brojčanih vrijednosti (bez decimala!)" sqref="G3:I500">
      <formula1>0</formula1>
      <formula2>10000000000</formula2>
    </dataValidation>
  </dataValidations>
  <pageMargins left="0.70866141732283472" right="0.70866141732283472" top="0.74803149606299213" bottom="0.74803149606299213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79"/>
  <sheetViews>
    <sheetView showGridLines="0" workbookViewId="0">
      <pane ySplit="2" topLeftCell="A3" activePane="bottomLeft" state="frozen"/>
      <selection pane="bottomLeft" activeCell="C12" sqref="C12 O6:P23"/>
    </sheetView>
  </sheetViews>
  <sheetFormatPr defaultColWidth="12.625" defaultRowHeight="15" customHeight="1"/>
  <cols>
    <col min="1" max="1" width="7.25" customWidth="1"/>
    <col min="2" max="2" width="17.75" customWidth="1"/>
    <col min="3" max="3" width="10.125" customWidth="1"/>
    <col min="4" max="4" width="28.875" customWidth="1"/>
    <col min="5" max="5" width="9.875" customWidth="1"/>
    <col min="6" max="6" width="19.125" customWidth="1"/>
    <col min="7" max="7" width="11" customWidth="1"/>
    <col min="8" max="8" width="32.125" customWidth="1"/>
    <col min="9" max="9" width="14.375" style="234" customWidth="1"/>
    <col min="10" max="10" width="13.75" customWidth="1"/>
    <col min="11" max="11" width="13.25" customWidth="1"/>
    <col min="12" max="12" width="8" customWidth="1"/>
    <col min="13" max="15" width="8" hidden="1" customWidth="1"/>
    <col min="16" max="16" width="40.75" hidden="1" customWidth="1"/>
    <col min="17" max="18" width="8" hidden="1" customWidth="1"/>
    <col min="19" max="19" width="51.5" hidden="1" customWidth="1"/>
    <col min="20" max="25" width="8" hidden="1" customWidth="1"/>
    <col min="26" max="26" width="7.625" customWidth="1"/>
  </cols>
  <sheetData>
    <row r="1" spans="1:26" ht="35.25" customHeight="1">
      <c r="A1" s="244" t="s">
        <v>603</v>
      </c>
      <c r="B1" s="245"/>
      <c r="C1" s="245"/>
      <c r="D1" s="245"/>
      <c r="E1" s="47" t="str">
        <f>IF('Opći dio'!C3="odaberite -","Molimo odaberite proračunskog korisnika na radnom listu Opći podaci!","")</f>
        <v/>
      </c>
      <c r="F1" s="44"/>
      <c r="G1" s="44"/>
      <c r="H1" s="44"/>
      <c r="I1" s="190"/>
      <c r="J1" s="48"/>
      <c r="K1" s="48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</row>
    <row r="2" spans="1:26" ht="36" customHeight="1">
      <c r="A2" s="49" t="s">
        <v>465</v>
      </c>
      <c r="B2" s="49" t="s">
        <v>466</v>
      </c>
      <c r="C2" s="50" t="s">
        <v>604</v>
      </c>
      <c r="D2" s="49" t="s">
        <v>468</v>
      </c>
      <c r="E2" s="50" t="s">
        <v>469</v>
      </c>
      <c r="F2" s="49" t="s">
        <v>470</v>
      </c>
      <c r="G2" s="50" t="s">
        <v>605</v>
      </c>
      <c r="H2" s="49" t="s">
        <v>606</v>
      </c>
      <c r="I2" s="233" t="s">
        <v>471</v>
      </c>
      <c r="J2" s="51" t="s">
        <v>472</v>
      </c>
      <c r="K2" s="51" t="s">
        <v>55</v>
      </c>
      <c r="L2" s="44"/>
      <c r="M2" s="52" t="s">
        <v>473</v>
      </c>
      <c r="N2" s="52" t="s">
        <v>474</v>
      </c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</row>
    <row r="3" spans="1:26">
      <c r="A3" s="54" t="str">
        <f>IF(C3="","",VLOOKUP('Opći dio'!$C$3,'Opći dio'!$L$6:$U$137,10,FALSE))</f>
        <v>08006</v>
      </c>
      <c r="B3" s="54" t="str">
        <f>IF(C3="","",VLOOKUP('Opći dio'!$C$3,'Opći dio'!$L$6:$U$137,9,FALSE))</f>
        <v>Sveučilišta i veleučilišta u Republici Hrvatskoj</v>
      </c>
      <c r="C3" s="71">
        <v>11</v>
      </c>
      <c r="D3" s="66" t="str">
        <f t="shared" ref="D3:D480" si="0">IFERROR(VLOOKUP(C3,$O$6:$P$23,2,FALSE),"")</f>
        <v>Opći prihodi i primici</v>
      </c>
      <c r="E3" s="71">
        <v>3111</v>
      </c>
      <c r="F3" s="66" t="str">
        <f t="shared" ref="F3:F49" si="1">IFERROR(VLOOKUP(E3,$R$5:$T$109,2,FALSE),"")</f>
        <v>Plaće za redovan rad</v>
      </c>
      <c r="G3" s="71" t="s">
        <v>607</v>
      </c>
      <c r="H3" s="66" t="str">
        <f t="shared" ref="H3:H66" si="2">IFERROR(VLOOKUP(G3,$X$6:$Y$276,2,FALSE),"")</f>
        <v>REDOVNA DJELATNOST SVEUČILIŠTA U ZAGREBU</v>
      </c>
      <c r="I3" s="59">
        <v>106370782</v>
      </c>
      <c r="J3" s="59">
        <v>106370782</v>
      </c>
      <c r="K3" s="59">
        <v>106370782</v>
      </c>
      <c r="L3" s="44"/>
      <c r="M3" s="44" t="str">
        <f t="shared" ref="M3:M480" si="3">LEFT(E3,3)</f>
        <v>311</v>
      </c>
      <c r="N3" s="44" t="str">
        <f t="shared" ref="N3:N480" si="4">LEFT(E3,2)</f>
        <v>31</v>
      </c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</row>
    <row r="4" spans="1:26">
      <c r="A4" s="54" t="str">
        <f>IF(C4="","",VLOOKUP('Opći dio'!$C$3,'Opći dio'!$L$6:$U$137,10,FALSE))</f>
        <v>08006</v>
      </c>
      <c r="B4" s="54" t="str">
        <f>IF(C4="","",VLOOKUP('Opći dio'!$C$3,'Opći dio'!$L$6:$U$137,9,FALSE))</f>
        <v>Sveučilišta i veleučilišta u Republici Hrvatskoj</v>
      </c>
      <c r="C4" s="71">
        <v>11</v>
      </c>
      <c r="D4" s="66" t="str">
        <f t="shared" si="0"/>
        <v>Opći prihodi i primici</v>
      </c>
      <c r="E4" s="71">
        <v>3121</v>
      </c>
      <c r="F4" s="66" t="str">
        <f t="shared" si="1"/>
        <v>Ostali rashodi za zaposlene</v>
      </c>
      <c r="G4" s="71" t="s">
        <v>607</v>
      </c>
      <c r="H4" s="66" t="str">
        <f t="shared" si="2"/>
        <v>REDOVNA DJELATNOST SVEUČILIŠTA U ZAGREBU</v>
      </c>
      <c r="I4" s="59">
        <v>1942773</v>
      </c>
      <c r="J4" s="59">
        <v>1942773</v>
      </c>
      <c r="K4" s="59">
        <v>1942773</v>
      </c>
      <c r="L4" s="44"/>
      <c r="M4" s="44" t="str">
        <f t="shared" si="3"/>
        <v>312</v>
      </c>
      <c r="N4" s="44" t="str">
        <f t="shared" si="4"/>
        <v>31</v>
      </c>
      <c r="O4" s="44"/>
      <c r="P4" s="44"/>
      <c r="Q4" s="44"/>
      <c r="R4" s="72"/>
      <c r="S4" s="72"/>
      <c r="T4" s="44"/>
      <c r="U4" s="44"/>
      <c r="V4" s="44"/>
      <c r="W4" s="44"/>
      <c r="X4" s="44"/>
      <c r="Y4" s="44"/>
      <c r="Z4" s="44"/>
    </row>
    <row r="5" spans="1:26">
      <c r="A5" s="54" t="str">
        <f>IF(C5="","",VLOOKUP('Opći dio'!$C$3,'Opći dio'!$L$6:$U$137,10,FALSE))</f>
        <v>08006</v>
      </c>
      <c r="B5" s="54" t="str">
        <f>IF(C5="","",VLOOKUP('Opći dio'!$C$3,'Opći dio'!$L$6:$U$137,9,FALSE))</f>
        <v>Sveučilišta i veleučilišta u Republici Hrvatskoj</v>
      </c>
      <c r="C5" s="71">
        <v>11</v>
      </c>
      <c r="D5" s="66" t="str">
        <f t="shared" si="0"/>
        <v>Opći prihodi i primici</v>
      </c>
      <c r="E5" s="71">
        <v>3132</v>
      </c>
      <c r="F5" s="66" t="str">
        <f t="shared" si="1"/>
        <v>Doprinosi za obvezno zdravstveno osiguranje</v>
      </c>
      <c r="G5" s="71" t="s">
        <v>607</v>
      </c>
      <c r="H5" s="66" t="str">
        <f t="shared" si="2"/>
        <v>REDOVNA DJELATNOST SVEUČILIŠTA U ZAGREBU</v>
      </c>
      <c r="I5" s="59">
        <v>16905437</v>
      </c>
      <c r="J5" s="59">
        <v>16905437</v>
      </c>
      <c r="K5" s="59">
        <v>16905437</v>
      </c>
      <c r="L5" s="44"/>
      <c r="M5" s="44" t="str">
        <f t="shared" si="3"/>
        <v>313</v>
      </c>
      <c r="N5" s="44" t="str">
        <f t="shared" si="4"/>
        <v>31</v>
      </c>
      <c r="O5" s="44" t="s">
        <v>467</v>
      </c>
      <c r="P5" s="44" t="s">
        <v>468</v>
      </c>
      <c r="Q5" s="44"/>
      <c r="R5" s="44">
        <v>3111</v>
      </c>
      <c r="S5" s="44" t="s">
        <v>608</v>
      </c>
      <c r="T5" s="44"/>
      <c r="U5" s="44" t="str">
        <f t="shared" ref="U5:U109" si="5">LEFT(R5,2)</f>
        <v>31</v>
      </c>
      <c r="V5" s="44" t="str">
        <f t="shared" ref="V5:V109" si="6">LEFT(R5,3)</f>
        <v>311</v>
      </c>
      <c r="W5" s="44"/>
      <c r="X5" s="44" t="s">
        <v>609</v>
      </c>
      <c r="Y5" s="44" t="s">
        <v>606</v>
      </c>
      <c r="Z5" s="44"/>
    </row>
    <row r="6" spans="1:26">
      <c r="A6" s="54" t="str">
        <f>IF(C6="","",VLOOKUP('Opći dio'!$C$3,'Opći dio'!$L$6:$U$137,10,FALSE))</f>
        <v>08006</v>
      </c>
      <c r="B6" s="54" t="str">
        <f>IF(C6="","",VLOOKUP('Opći dio'!$C$3,'Opći dio'!$L$6:$U$137,9,FALSE))</f>
        <v>Sveučilišta i veleučilišta u Republici Hrvatskoj</v>
      </c>
      <c r="C6" s="71">
        <v>11</v>
      </c>
      <c r="D6" s="66" t="str">
        <f t="shared" si="0"/>
        <v>Opći prihodi i primici</v>
      </c>
      <c r="E6" s="71">
        <v>3212</v>
      </c>
      <c r="F6" s="66" t="str">
        <f t="shared" si="1"/>
        <v>Naknade za prijevoz, za rad na terenu i odvojeni život</v>
      </c>
      <c r="G6" s="71" t="s">
        <v>607</v>
      </c>
      <c r="H6" s="66" t="str">
        <f t="shared" si="2"/>
        <v>REDOVNA DJELATNOST SVEUČILIŠTA U ZAGREBU</v>
      </c>
      <c r="I6" s="59">
        <v>2200060</v>
      </c>
      <c r="J6" s="59">
        <v>2200060</v>
      </c>
      <c r="K6" s="59">
        <v>2200060</v>
      </c>
      <c r="L6" s="44"/>
      <c r="M6" s="44" t="str">
        <f t="shared" si="3"/>
        <v>321</v>
      </c>
      <c r="N6" s="44" t="str">
        <f t="shared" si="4"/>
        <v>32</v>
      </c>
      <c r="O6" s="44">
        <v>11</v>
      </c>
      <c r="P6" s="44" t="s">
        <v>482</v>
      </c>
      <c r="Q6" s="44"/>
      <c r="R6" s="44">
        <v>3112</v>
      </c>
      <c r="S6" s="44" t="s">
        <v>610</v>
      </c>
      <c r="T6" s="44"/>
      <c r="U6" s="44" t="str">
        <f t="shared" si="5"/>
        <v>31</v>
      </c>
      <c r="V6" s="44" t="str">
        <f t="shared" si="6"/>
        <v>311</v>
      </c>
      <c r="W6" s="44"/>
      <c r="X6" s="44" t="s">
        <v>611</v>
      </c>
      <c r="Y6" s="44" t="s">
        <v>611</v>
      </c>
      <c r="Z6" s="44"/>
    </row>
    <row r="7" spans="1:26">
      <c r="A7" s="54" t="str">
        <f>IF(C7="","",VLOOKUP('Opći dio'!$C$3,'Opći dio'!$L$6:$U$137,10,FALSE))</f>
        <v>08006</v>
      </c>
      <c r="B7" s="54" t="str">
        <f>IF(C7="","",VLOOKUP('Opći dio'!$C$3,'Opći dio'!$L$6:$U$137,9,FALSE))</f>
        <v>Sveučilišta i veleučilišta u Republici Hrvatskoj</v>
      </c>
      <c r="C7" s="71">
        <v>11</v>
      </c>
      <c r="D7" s="66" t="str">
        <f t="shared" si="0"/>
        <v>Opći prihodi i primici</v>
      </c>
      <c r="E7" s="71">
        <v>3211</v>
      </c>
      <c r="F7" s="66" t="str">
        <f t="shared" si="1"/>
        <v>Službena putovanja</v>
      </c>
      <c r="G7" s="71" t="s">
        <v>607</v>
      </c>
      <c r="H7" s="66" t="str">
        <f t="shared" si="2"/>
        <v>REDOVNA DJELATNOST SVEUČILIŠTA U ZAGREBU</v>
      </c>
      <c r="I7" s="59">
        <v>74972</v>
      </c>
      <c r="J7" s="59">
        <v>74972</v>
      </c>
      <c r="K7" s="59">
        <v>74972</v>
      </c>
      <c r="L7" s="44"/>
      <c r="M7" s="44" t="str">
        <f t="shared" si="3"/>
        <v>321</v>
      </c>
      <c r="N7" s="44" t="str">
        <f t="shared" si="4"/>
        <v>32</v>
      </c>
      <c r="O7" s="44">
        <v>12</v>
      </c>
      <c r="P7" s="44" t="s">
        <v>484</v>
      </c>
      <c r="Q7" s="44"/>
      <c r="R7" s="44">
        <v>3113</v>
      </c>
      <c r="S7" s="44" t="s">
        <v>612</v>
      </c>
      <c r="T7" s="44"/>
      <c r="U7" s="44" t="str">
        <f t="shared" si="5"/>
        <v>31</v>
      </c>
      <c r="V7" s="44" t="str">
        <f t="shared" si="6"/>
        <v>311</v>
      </c>
      <c r="W7" s="44"/>
      <c r="X7" s="60" t="s">
        <v>613</v>
      </c>
      <c r="Y7" s="60" t="s">
        <v>614</v>
      </c>
      <c r="Z7" s="44"/>
    </row>
    <row r="8" spans="1:26">
      <c r="A8" s="54" t="str">
        <f>IF(C8="","",VLOOKUP('Opći dio'!$C$3,'Opći dio'!$L$6:$U$137,10,FALSE))</f>
        <v>08006</v>
      </c>
      <c r="B8" s="54" t="str">
        <f>IF(C8="","",VLOOKUP('Opći dio'!$C$3,'Opći dio'!$L$6:$U$137,9,FALSE))</f>
        <v>Sveučilišta i veleučilišta u Republici Hrvatskoj</v>
      </c>
      <c r="C8" s="71">
        <v>11</v>
      </c>
      <c r="D8" s="66" t="str">
        <f t="shared" si="0"/>
        <v>Opći prihodi i primici</v>
      </c>
      <c r="E8" s="71">
        <v>3233</v>
      </c>
      <c r="F8" s="66" t="str">
        <f t="shared" si="1"/>
        <v>Usluge promidžbe i informiranja</v>
      </c>
      <c r="G8" s="71" t="s">
        <v>607</v>
      </c>
      <c r="H8" s="66" t="str">
        <f t="shared" si="2"/>
        <v>REDOVNA DJELATNOST SVEUČILIŠTA U ZAGREBU</v>
      </c>
      <c r="I8" s="59">
        <v>181097</v>
      </c>
      <c r="J8" s="59">
        <v>181097</v>
      </c>
      <c r="K8" s="59">
        <v>181097</v>
      </c>
      <c r="L8" s="44"/>
      <c r="M8" s="44" t="str">
        <f t="shared" si="3"/>
        <v>323</v>
      </c>
      <c r="N8" s="44" t="str">
        <f t="shared" si="4"/>
        <v>32</v>
      </c>
      <c r="O8" s="44">
        <v>31</v>
      </c>
      <c r="P8" s="44" t="s">
        <v>485</v>
      </c>
      <c r="Q8" s="44"/>
      <c r="R8" s="44">
        <v>3114</v>
      </c>
      <c r="S8" s="44" t="s">
        <v>615</v>
      </c>
      <c r="T8" s="44"/>
      <c r="U8" s="44" t="str">
        <f t="shared" si="5"/>
        <v>31</v>
      </c>
      <c r="V8" s="44" t="str">
        <f t="shared" si="6"/>
        <v>311</v>
      </c>
      <c r="W8" s="44"/>
      <c r="X8" s="60" t="s">
        <v>616</v>
      </c>
      <c r="Y8" s="60" t="s">
        <v>617</v>
      </c>
      <c r="Z8" s="44"/>
    </row>
    <row r="9" spans="1:26">
      <c r="A9" s="54" t="str">
        <f>IF(C9="","",VLOOKUP('Opći dio'!$C$3,'Opći dio'!$L$6:$U$137,10,FALSE))</f>
        <v>08006</v>
      </c>
      <c r="B9" s="54" t="str">
        <f>IF(C9="","",VLOOKUP('Opći dio'!$C$3,'Opći dio'!$L$6:$U$137,9,FALSE))</f>
        <v>Sveučilišta i veleučilišta u Republici Hrvatskoj</v>
      </c>
      <c r="C9" s="71">
        <v>11</v>
      </c>
      <c r="D9" s="66" t="str">
        <f t="shared" si="0"/>
        <v>Opći prihodi i primici</v>
      </c>
      <c r="E9" s="71">
        <v>3236</v>
      </c>
      <c r="F9" s="66" t="str">
        <f t="shared" si="1"/>
        <v>Zdravstvene i veterinarske usluge</v>
      </c>
      <c r="G9" s="71" t="s">
        <v>607</v>
      </c>
      <c r="H9" s="66" t="str">
        <f t="shared" si="2"/>
        <v>REDOVNA DJELATNOST SVEUČILIŠTA U ZAGREBU</v>
      </c>
      <c r="I9" s="59">
        <v>145167</v>
      </c>
      <c r="J9" s="59">
        <v>145167</v>
      </c>
      <c r="K9" s="59">
        <v>145167</v>
      </c>
      <c r="L9" s="44"/>
      <c r="M9" s="44" t="str">
        <f t="shared" si="3"/>
        <v>323</v>
      </c>
      <c r="N9" s="44" t="str">
        <f t="shared" si="4"/>
        <v>32</v>
      </c>
      <c r="O9" s="60">
        <v>41</v>
      </c>
      <c r="P9" s="60" t="s">
        <v>487</v>
      </c>
      <c r="Q9" s="44"/>
      <c r="R9" s="44">
        <v>3121</v>
      </c>
      <c r="S9" s="44" t="s">
        <v>618</v>
      </c>
      <c r="T9" s="44"/>
      <c r="U9" s="44" t="str">
        <f t="shared" si="5"/>
        <v>31</v>
      </c>
      <c r="V9" s="44" t="str">
        <f t="shared" si="6"/>
        <v>312</v>
      </c>
      <c r="W9" s="44"/>
      <c r="X9" s="60" t="s">
        <v>619</v>
      </c>
      <c r="Y9" s="60" t="s">
        <v>620</v>
      </c>
      <c r="Z9" s="44"/>
    </row>
    <row r="10" spans="1:26">
      <c r="A10" s="54" t="str">
        <f>IF(C10="","",VLOOKUP('Opći dio'!$C$3,'Opći dio'!$L$6:$U$137,10,FALSE))</f>
        <v>08006</v>
      </c>
      <c r="B10" s="54" t="str">
        <f>IF(C10="","",VLOOKUP('Opći dio'!$C$3,'Opći dio'!$L$6:$U$137,9,FALSE))</f>
        <v>Sveučilišta i veleučilišta u Republici Hrvatskoj</v>
      </c>
      <c r="C10" s="71">
        <v>11</v>
      </c>
      <c r="D10" s="66" t="str">
        <f t="shared" si="0"/>
        <v>Opći prihodi i primici</v>
      </c>
      <c r="E10" s="71">
        <v>3237</v>
      </c>
      <c r="F10" s="66" t="str">
        <f t="shared" si="1"/>
        <v>Intelektualne i osobne usluge</v>
      </c>
      <c r="G10" s="71" t="s">
        <v>607</v>
      </c>
      <c r="H10" s="66" t="str">
        <f t="shared" si="2"/>
        <v>REDOVNA DJELATNOST SVEUČILIŠTA U ZAGREBU</v>
      </c>
      <c r="I10" s="59">
        <v>12652</v>
      </c>
      <c r="J10" s="59">
        <v>12652</v>
      </c>
      <c r="K10" s="59">
        <v>12652</v>
      </c>
      <c r="L10" s="44"/>
      <c r="M10" s="44" t="str">
        <f t="shared" si="3"/>
        <v>323</v>
      </c>
      <c r="N10" s="44" t="str">
        <f t="shared" si="4"/>
        <v>32</v>
      </c>
      <c r="O10" s="44">
        <v>43</v>
      </c>
      <c r="P10" s="44" t="s">
        <v>489</v>
      </c>
      <c r="Q10" s="44"/>
      <c r="R10" s="44">
        <v>3132</v>
      </c>
      <c r="S10" s="44" t="s">
        <v>621</v>
      </c>
      <c r="T10" s="44"/>
      <c r="U10" s="44" t="str">
        <f t="shared" si="5"/>
        <v>31</v>
      </c>
      <c r="V10" s="44" t="str">
        <f t="shared" si="6"/>
        <v>313</v>
      </c>
      <c r="W10" s="44"/>
      <c r="X10" s="60" t="s">
        <v>622</v>
      </c>
      <c r="Y10" s="60" t="s">
        <v>623</v>
      </c>
      <c r="Z10" s="44"/>
    </row>
    <row r="11" spans="1:26">
      <c r="A11" s="54" t="str">
        <f>IF(C11="","",VLOOKUP('Opći dio'!$C$3,'Opći dio'!$L$6:$U$137,10,FALSE))</f>
        <v>08006</v>
      </c>
      <c r="B11" s="54" t="str">
        <f>IF(C11="","",VLOOKUP('Opći dio'!$C$3,'Opći dio'!$L$6:$U$137,9,FALSE))</f>
        <v>Sveučilišta i veleučilišta u Republici Hrvatskoj</v>
      </c>
      <c r="C11" s="71">
        <v>11</v>
      </c>
      <c r="D11" s="66" t="str">
        <f t="shared" si="0"/>
        <v>Opći prihodi i primici</v>
      </c>
      <c r="E11" s="71">
        <v>3239</v>
      </c>
      <c r="F11" s="66" t="str">
        <f t="shared" si="1"/>
        <v>Ostale usluge</v>
      </c>
      <c r="G11" s="71" t="s">
        <v>607</v>
      </c>
      <c r="H11" s="66" t="str">
        <f t="shared" si="2"/>
        <v>REDOVNA DJELATNOST SVEUČILIŠTA U ZAGREBU</v>
      </c>
      <c r="I11" s="59">
        <v>131783</v>
      </c>
      <c r="J11" s="59">
        <v>131783</v>
      </c>
      <c r="K11" s="59">
        <v>131783</v>
      </c>
      <c r="L11" s="44"/>
      <c r="M11" s="44" t="str">
        <f t="shared" si="3"/>
        <v>323</v>
      </c>
      <c r="N11" s="44" t="str">
        <f t="shared" si="4"/>
        <v>32</v>
      </c>
      <c r="O11" s="44">
        <v>51</v>
      </c>
      <c r="P11" s="44" t="s">
        <v>491</v>
      </c>
      <c r="Q11" s="44"/>
      <c r="R11" s="44">
        <v>3211</v>
      </c>
      <c r="S11" s="44" t="s">
        <v>624</v>
      </c>
      <c r="T11" s="44"/>
      <c r="U11" s="44" t="str">
        <f t="shared" si="5"/>
        <v>32</v>
      </c>
      <c r="V11" s="44" t="str">
        <f t="shared" si="6"/>
        <v>321</v>
      </c>
      <c r="W11" s="44"/>
      <c r="X11" s="60" t="s">
        <v>625</v>
      </c>
      <c r="Y11" s="60" t="s">
        <v>626</v>
      </c>
      <c r="Z11" s="44"/>
    </row>
    <row r="12" spans="1:26">
      <c r="A12" s="54" t="str">
        <f>IF(C12="","",VLOOKUP('Opći dio'!$C$3,'Opći dio'!$L$6:$U$137,10,FALSE))</f>
        <v>08006</v>
      </c>
      <c r="B12" s="54" t="str">
        <f>IF(C12="","",VLOOKUP('Opći dio'!$C$3,'Opći dio'!$L$6:$U$137,9,FALSE))</f>
        <v>Sveučilišta i veleučilišta u Republici Hrvatskoj</v>
      </c>
      <c r="C12" s="71">
        <v>11</v>
      </c>
      <c r="D12" s="66" t="str">
        <f t="shared" si="0"/>
        <v>Opći prihodi i primici</v>
      </c>
      <c r="E12" s="71">
        <v>3223</v>
      </c>
      <c r="F12" s="66" t="str">
        <f t="shared" si="1"/>
        <v>Energija</v>
      </c>
      <c r="G12" s="71" t="s">
        <v>627</v>
      </c>
      <c r="H12" s="66" t="str">
        <f t="shared" si="2"/>
        <v>PROGRAMSKO FINANCIRANJE JAVNIH VISOKIH UČILIŠTA</v>
      </c>
      <c r="I12" s="59">
        <v>3331390</v>
      </c>
      <c r="J12" s="59">
        <v>3581263</v>
      </c>
      <c r="K12" s="59">
        <v>3581263</v>
      </c>
      <c r="L12" s="44"/>
      <c r="M12" s="44" t="str">
        <f t="shared" si="3"/>
        <v>322</v>
      </c>
      <c r="N12" s="44" t="str">
        <f t="shared" si="4"/>
        <v>32</v>
      </c>
      <c r="O12" s="44">
        <v>52</v>
      </c>
      <c r="P12" s="44" t="s">
        <v>493</v>
      </c>
      <c r="Q12" s="44"/>
      <c r="R12" s="44">
        <v>3212</v>
      </c>
      <c r="S12" s="44" t="s">
        <v>628</v>
      </c>
      <c r="T12" s="44"/>
      <c r="U12" s="44" t="str">
        <f t="shared" si="5"/>
        <v>32</v>
      </c>
      <c r="V12" s="44" t="str">
        <f t="shared" si="6"/>
        <v>321</v>
      </c>
      <c r="W12" s="44"/>
      <c r="X12" s="60" t="s">
        <v>629</v>
      </c>
      <c r="Y12" s="60" t="s">
        <v>630</v>
      </c>
      <c r="Z12" s="44"/>
    </row>
    <row r="13" spans="1:26">
      <c r="A13" s="54" t="str">
        <f>IF(C13="","",VLOOKUP('Opći dio'!$C$3,'Opći dio'!$L$6:$U$137,10,FALSE))</f>
        <v>08006</v>
      </c>
      <c r="B13" s="54" t="str">
        <f>IF(C13="","",VLOOKUP('Opći dio'!$C$3,'Opći dio'!$L$6:$U$137,9,FALSE))</f>
        <v>Sveučilišta i veleučilišta u Republici Hrvatskoj</v>
      </c>
      <c r="C13" s="71">
        <v>11</v>
      </c>
      <c r="D13" s="66" t="str">
        <f t="shared" si="0"/>
        <v>Opći prihodi i primici</v>
      </c>
      <c r="E13" s="71">
        <v>3232</v>
      </c>
      <c r="F13" s="66" t="str">
        <f t="shared" si="1"/>
        <v>Usluge tekućeg i investicijskog održavanja</v>
      </c>
      <c r="G13" s="71" t="s">
        <v>627</v>
      </c>
      <c r="H13" s="66" t="str">
        <f t="shared" si="2"/>
        <v>PROGRAMSKO FINANCIRANJE JAVNIH VISOKIH UČILIŠTA</v>
      </c>
      <c r="I13" s="59">
        <v>859471</v>
      </c>
      <c r="J13" s="59">
        <v>923929</v>
      </c>
      <c r="K13" s="59">
        <v>923929</v>
      </c>
      <c r="L13" s="44"/>
      <c r="M13" s="44" t="str">
        <f t="shared" si="3"/>
        <v>323</v>
      </c>
      <c r="N13" s="44" t="str">
        <f t="shared" si="4"/>
        <v>32</v>
      </c>
      <c r="O13" s="60">
        <v>552</v>
      </c>
      <c r="P13" s="60" t="s">
        <v>496</v>
      </c>
      <c r="Q13" s="44"/>
      <c r="R13" s="44">
        <v>3213</v>
      </c>
      <c r="S13" s="44" t="s">
        <v>631</v>
      </c>
      <c r="T13" s="44"/>
      <c r="U13" s="44" t="str">
        <f t="shared" si="5"/>
        <v>32</v>
      </c>
      <c r="V13" s="44" t="str">
        <f t="shared" si="6"/>
        <v>321</v>
      </c>
      <c r="W13" s="44"/>
      <c r="X13" s="60" t="s">
        <v>632</v>
      </c>
      <c r="Y13" s="60" t="s">
        <v>633</v>
      </c>
      <c r="Z13" s="44"/>
    </row>
    <row r="14" spans="1:26">
      <c r="A14" s="54" t="str">
        <f>IF(C14="","",VLOOKUP('Opći dio'!$C$3,'Opći dio'!$L$6:$U$137,10,FALSE))</f>
        <v>08006</v>
      </c>
      <c r="B14" s="54" t="str">
        <f>IF(C14="","",VLOOKUP('Opći dio'!$C$3,'Opći dio'!$L$6:$U$137,9,FALSE))</f>
        <v>Sveučilišta i veleučilišta u Republici Hrvatskoj</v>
      </c>
      <c r="C14" s="71">
        <v>11</v>
      </c>
      <c r="D14" s="66" t="str">
        <f t="shared" si="0"/>
        <v>Opći prihodi i primici</v>
      </c>
      <c r="E14" s="71">
        <v>3234</v>
      </c>
      <c r="F14" s="66" t="str">
        <f t="shared" si="1"/>
        <v>Komunalne usluge</v>
      </c>
      <c r="G14" s="71" t="s">
        <v>627</v>
      </c>
      <c r="H14" s="66" t="str">
        <f t="shared" si="2"/>
        <v>PROGRAMSKO FINANCIRANJE JAVNIH VISOKIH UČILIŠTA</v>
      </c>
      <c r="I14" s="59">
        <v>1196879</v>
      </c>
      <c r="J14" s="59">
        <v>1286642</v>
      </c>
      <c r="K14" s="59">
        <v>1286642</v>
      </c>
      <c r="L14" s="44"/>
      <c r="M14" s="44" t="str">
        <f t="shared" si="3"/>
        <v>323</v>
      </c>
      <c r="N14" s="44" t="str">
        <f t="shared" si="4"/>
        <v>32</v>
      </c>
      <c r="O14" s="60">
        <v>559</v>
      </c>
      <c r="P14" s="60" t="s">
        <v>498</v>
      </c>
      <c r="Q14" s="44"/>
      <c r="R14" s="44">
        <v>3214</v>
      </c>
      <c r="S14" s="44" t="s">
        <v>634</v>
      </c>
      <c r="T14" s="44"/>
      <c r="U14" s="44" t="str">
        <f t="shared" si="5"/>
        <v>32</v>
      </c>
      <c r="V14" s="44" t="str">
        <f t="shared" si="6"/>
        <v>321</v>
      </c>
      <c r="W14" s="44"/>
      <c r="X14" s="60" t="s">
        <v>635</v>
      </c>
      <c r="Y14" s="60" t="s">
        <v>636</v>
      </c>
      <c r="Z14" s="44"/>
    </row>
    <row r="15" spans="1:26">
      <c r="A15" s="54" t="str">
        <f>IF(C15="","",VLOOKUP('Opći dio'!$C$3,'Opći dio'!$L$6:$U$137,10,FALSE))</f>
        <v>08006</v>
      </c>
      <c r="B15" s="54" t="str">
        <f>IF(C15="","",VLOOKUP('Opći dio'!$C$3,'Opći dio'!$L$6:$U$137,9,FALSE))</f>
        <v>Sveučilišta i veleučilišta u Republici Hrvatskoj</v>
      </c>
      <c r="C15" s="71">
        <v>11</v>
      </c>
      <c r="D15" s="66" t="str">
        <f t="shared" si="0"/>
        <v>Opći prihodi i primici</v>
      </c>
      <c r="E15" s="71">
        <v>3211</v>
      </c>
      <c r="F15" s="66" t="str">
        <f t="shared" si="1"/>
        <v>Službena putovanja</v>
      </c>
      <c r="G15" s="71" t="s">
        <v>627</v>
      </c>
      <c r="H15" s="66" t="str">
        <f t="shared" si="2"/>
        <v>PROGRAMSKO FINANCIRANJE JAVNIH VISOKIH UČILIŠTA</v>
      </c>
      <c r="I15" s="59">
        <v>302263</v>
      </c>
      <c r="J15" s="59">
        <v>324932</v>
      </c>
      <c r="K15" s="59">
        <v>324932</v>
      </c>
      <c r="L15" s="44"/>
      <c r="M15" s="44" t="str">
        <f t="shared" si="3"/>
        <v>321</v>
      </c>
      <c r="N15" s="44" t="str">
        <f t="shared" si="4"/>
        <v>32</v>
      </c>
      <c r="O15" s="44">
        <v>561</v>
      </c>
      <c r="P15" s="44" t="s">
        <v>500</v>
      </c>
      <c r="Q15" s="44"/>
      <c r="R15" s="44">
        <v>3221</v>
      </c>
      <c r="S15" s="44" t="s">
        <v>637</v>
      </c>
      <c r="T15" s="44"/>
      <c r="U15" s="44" t="str">
        <f t="shared" si="5"/>
        <v>32</v>
      </c>
      <c r="V15" s="44" t="str">
        <f t="shared" si="6"/>
        <v>322</v>
      </c>
      <c r="W15" s="44"/>
      <c r="X15" s="60" t="s">
        <v>638</v>
      </c>
      <c r="Y15" s="60" t="s">
        <v>639</v>
      </c>
      <c r="Z15" s="44"/>
    </row>
    <row r="16" spans="1:26">
      <c r="A16" s="54" t="str">
        <f>IF(C16="","",VLOOKUP('Opći dio'!$C$3,'Opći dio'!$L$6:$U$137,10,FALSE))</f>
        <v>08006</v>
      </c>
      <c r="B16" s="54" t="str">
        <f>IF(C16="","",VLOOKUP('Opći dio'!$C$3,'Opći dio'!$L$6:$U$137,9,FALSE))</f>
        <v>Sveučilišta i veleučilišta u Republici Hrvatskoj</v>
      </c>
      <c r="C16" s="71">
        <v>11</v>
      </c>
      <c r="D16" s="66" t="str">
        <f t="shared" si="0"/>
        <v>Opći prihodi i primici</v>
      </c>
      <c r="E16" s="71">
        <v>3237</v>
      </c>
      <c r="F16" s="66" t="str">
        <f t="shared" si="1"/>
        <v>Intelektualne i osobne usluge</v>
      </c>
      <c r="G16" s="71" t="s">
        <v>627</v>
      </c>
      <c r="H16" s="66" t="str">
        <f t="shared" si="2"/>
        <v>PROGRAMSKO FINANCIRANJE JAVNIH VISOKIH UČILIŠTA</v>
      </c>
      <c r="I16" s="59">
        <v>3022725</v>
      </c>
      <c r="J16" s="59">
        <v>3249421</v>
      </c>
      <c r="K16" s="59">
        <v>3249421</v>
      </c>
      <c r="L16" s="44"/>
      <c r="M16" s="44" t="str">
        <f t="shared" si="3"/>
        <v>323</v>
      </c>
      <c r="N16" s="44" t="str">
        <f t="shared" si="4"/>
        <v>32</v>
      </c>
      <c r="O16" s="44">
        <v>563</v>
      </c>
      <c r="P16" s="44" t="s">
        <v>502</v>
      </c>
      <c r="Q16" s="44"/>
      <c r="R16" s="44">
        <v>3222</v>
      </c>
      <c r="S16" s="44" t="s">
        <v>640</v>
      </c>
      <c r="T16" s="44"/>
      <c r="U16" s="44" t="str">
        <f t="shared" si="5"/>
        <v>32</v>
      </c>
      <c r="V16" s="44" t="str">
        <f t="shared" si="6"/>
        <v>322</v>
      </c>
      <c r="W16" s="44"/>
      <c r="X16" s="60" t="s">
        <v>641</v>
      </c>
      <c r="Y16" s="60" t="s">
        <v>642</v>
      </c>
      <c r="Z16" s="44"/>
    </row>
    <row r="17" spans="1:26">
      <c r="A17" s="54" t="str">
        <f>IF(C17="","",VLOOKUP('Opći dio'!$C$3,'Opći dio'!$L$6:$U$137,10,FALSE))</f>
        <v>08006</v>
      </c>
      <c r="B17" s="54" t="str">
        <f>IF(C17="","",VLOOKUP('Opći dio'!$C$3,'Opći dio'!$L$6:$U$137,9,FALSE))</f>
        <v>Sveučilišta i veleučilišta u Republici Hrvatskoj</v>
      </c>
      <c r="C17" s="71">
        <v>11</v>
      </c>
      <c r="D17" s="66" t="str">
        <f t="shared" si="0"/>
        <v>Opći prihodi i primici</v>
      </c>
      <c r="E17" s="71">
        <v>3221</v>
      </c>
      <c r="F17" s="66" t="str">
        <f t="shared" si="1"/>
        <v>Uredski materijal i ostali materijalni rashodi</v>
      </c>
      <c r="G17" s="71" t="s">
        <v>627</v>
      </c>
      <c r="H17" s="66" t="str">
        <f t="shared" si="2"/>
        <v>PROGRAMSKO FINANCIRANJE JAVNIH VISOKIH UČILIŠTA</v>
      </c>
      <c r="I17" s="59">
        <v>1834319</v>
      </c>
      <c r="J17" s="59">
        <v>1971888</v>
      </c>
      <c r="K17" s="59">
        <v>1971888</v>
      </c>
      <c r="L17" s="44"/>
      <c r="M17" s="44" t="str">
        <f t="shared" si="3"/>
        <v>322</v>
      </c>
      <c r="N17" s="44" t="str">
        <f t="shared" si="4"/>
        <v>32</v>
      </c>
      <c r="O17" s="44">
        <v>573</v>
      </c>
      <c r="P17" s="60" t="s">
        <v>504</v>
      </c>
      <c r="Q17" s="44"/>
      <c r="R17" s="44">
        <v>3223</v>
      </c>
      <c r="S17" s="44" t="s">
        <v>643</v>
      </c>
      <c r="T17" s="44"/>
      <c r="U17" s="44" t="str">
        <f t="shared" si="5"/>
        <v>32</v>
      </c>
      <c r="V17" s="44" t="str">
        <f t="shared" si="6"/>
        <v>322</v>
      </c>
      <c r="W17" s="44"/>
      <c r="X17" s="60" t="s">
        <v>644</v>
      </c>
      <c r="Y17" s="60" t="s">
        <v>645</v>
      </c>
      <c r="Z17" s="44"/>
    </row>
    <row r="18" spans="1:26">
      <c r="A18" s="66" t="str">
        <f>IF(C18="","",VLOOKUP('Opći dio'!$C$3,'Opći dio'!$L$6:$U$137,10,FALSE))</f>
        <v/>
      </c>
      <c r="B18" s="66" t="str">
        <f>IF(C18="","",VLOOKUP('Opći dio'!$C$3,'Opći dio'!$L$6:$U$137,9,FALSE))</f>
        <v/>
      </c>
      <c r="C18" s="71"/>
      <c r="D18" s="66" t="str">
        <f t="shared" si="0"/>
        <v/>
      </c>
      <c r="E18" s="71"/>
      <c r="F18" s="66" t="str">
        <f t="shared" si="1"/>
        <v/>
      </c>
      <c r="G18" s="71"/>
      <c r="H18" s="66" t="str">
        <f t="shared" si="2"/>
        <v/>
      </c>
      <c r="I18" s="59"/>
      <c r="J18" s="59"/>
      <c r="K18" s="59"/>
      <c r="L18" s="44"/>
      <c r="M18" s="44" t="str">
        <f t="shared" si="3"/>
        <v/>
      </c>
      <c r="N18" s="44" t="str">
        <f t="shared" si="4"/>
        <v/>
      </c>
      <c r="O18" s="60">
        <v>575</v>
      </c>
      <c r="P18" s="60" t="s">
        <v>506</v>
      </c>
      <c r="Q18" s="44"/>
      <c r="R18" s="44">
        <v>3224</v>
      </c>
      <c r="S18" s="44" t="s">
        <v>646</v>
      </c>
      <c r="T18" s="44"/>
      <c r="U18" s="44" t="str">
        <f t="shared" si="5"/>
        <v>32</v>
      </c>
      <c r="V18" s="44" t="str">
        <f t="shared" si="6"/>
        <v>322</v>
      </c>
      <c r="W18" s="44"/>
      <c r="X18" s="60" t="s">
        <v>647</v>
      </c>
      <c r="Y18" s="60" t="s">
        <v>648</v>
      </c>
      <c r="Z18" s="44"/>
    </row>
    <row r="19" spans="1:26">
      <c r="A19" s="54" t="str">
        <f>IF(C19="","",VLOOKUP('Opći dio'!$C$3,'Opći dio'!$L$6:$U$137,10,FALSE))</f>
        <v>08006</v>
      </c>
      <c r="B19" s="54" t="str">
        <f>IF(C19="","",VLOOKUP('Opći dio'!$C$3,'Opći dio'!$L$6:$U$137,9,FALSE))</f>
        <v>Sveučilišta i veleučilišta u Republici Hrvatskoj</v>
      </c>
      <c r="C19" s="71">
        <v>31</v>
      </c>
      <c r="D19" s="66" t="str">
        <f t="shared" si="0"/>
        <v>Vlastiti prihodi</v>
      </c>
      <c r="E19" s="71">
        <v>3111</v>
      </c>
      <c r="F19" s="66" t="str">
        <f t="shared" si="1"/>
        <v>Plaće za redovan rad</v>
      </c>
      <c r="G19" s="71" t="s">
        <v>649</v>
      </c>
      <c r="H19" s="66" t="str">
        <f t="shared" si="2"/>
        <v>REDOVNA DJELATNOST SVEUČILIŠTA U ZAGREBU (IZ EVIDENCIJSKIH PRIHODA)</v>
      </c>
      <c r="I19" s="59">
        <v>5542454</v>
      </c>
      <c r="J19" s="73">
        <f t="shared" ref="J19:K19" si="7">(I19*1%)+I19</f>
        <v>5597878.54</v>
      </c>
      <c r="K19" s="59">
        <f t="shared" si="7"/>
        <v>5653857.3254000004</v>
      </c>
      <c r="L19" s="44"/>
      <c r="M19" s="44" t="str">
        <f t="shared" si="3"/>
        <v>311</v>
      </c>
      <c r="N19" s="44" t="str">
        <f t="shared" si="4"/>
        <v>31</v>
      </c>
      <c r="O19" s="44">
        <v>576</v>
      </c>
      <c r="P19" s="67" t="s">
        <v>508</v>
      </c>
      <c r="Q19" s="44"/>
      <c r="R19" s="44">
        <v>3225</v>
      </c>
      <c r="S19" s="44" t="s">
        <v>650</v>
      </c>
      <c r="T19" s="44"/>
      <c r="U19" s="44" t="str">
        <f t="shared" si="5"/>
        <v>32</v>
      </c>
      <c r="V19" s="44" t="str">
        <f t="shared" si="6"/>
        <v>322</v>
      </c>
      <c r="W19" s="44"/>
      <c r="X19" s="60" t="s">
        <v>651</v>
      </c>
      <c r="Y19" s="60" t="s">
        <v>652</v>
      </c>
      <c r="Z19" s="44"/>
    </row>
    <row r="20" spans="1:26">
      <c r="A20" s="54" t="str">
        <f>IF(C20="","",VLOOKUP('Opći dio'!$C$3,'Opći dio'!$L$6:$U$137,10,FALSE))</f>
        <v>08006</v>
      </c>
      <c r="B20" s="54" t="str">
        <f>IF(C20="","",VLOOKUP('Opći dio'!$C$3,'Opći dio'!$L$6:$U$137,9,FALSE))</f>
        <v>Sveučilišta i veleučilišta u Republici Hrvatskoj</v>
      </c>
      <c r="C20" s="71">
        <v>31</v>
      </c>
      <c r="D20" s="66" t="str">
        <f t="shared" si="0"/>
        <v>Vlastiti prihodi</v>
      </c>
      <c r="E20" s="71">
        <v>3121</v>
      </c>
      <c r="F20" s="66" t="str">
        <f t="shared" si="1"/>
        <v>Ostali rashodi za zaposlene</v>
      </c>
      <c r="G20" s="71" t="s">
        <v>649</v>
      </c>
      <c r="H20" s="66" t="str">
        <f t="shared" si="2"/>
        <v>REDOVNA DJELATNOST SVEUČILIŠTA U ZAGREBU (IZ EVIDENCIJSKIH PRIHODA)</v>
      </c>
      <c r="I20" s="59">
        <v>25875</v>
      </c>
      <c r="J20" s="59">
        <f t="shared" ref="J20:K20" si="8">(I20*1%)+I20</f>
        <v>26133.75</v>
      </c>
      <c r="K20" s="59">
        <f t="shared" si="8"/>
        <v>26395.087500000001</v>
      </c>
      <c r="L20" s="44"/>
      <c r="M20" s="44" t="str">
        <f t="shared" si="3"/>
        <v>312</v>
      </c>
      <c r="N20" s="44" t="str">
        <f t="shared" si="4"/>
        <v>31</v>
      </c>
      <c r="O20" s="68">
        <v>581</v>
      </c>
      <c r="P20" s="69" t="s">
        <v>510</v>
      </c>
      <c r="Q20" s="44"/>
      <c r="R20" s="44">
        <v>3226</v>
      </c>
      <c r="S20" s="44" t="s">
        <v>653</v>
      </c>
      <c r="T20" s="44"/>
      <c r="U20" s="44" t="str">
        <f t="shared" si="5"/>
        <v>32</v>
      </c>
      <c r="V20" s="44" t="str">
        <f t="shared" si="6"/>
        <v>322</v>
      </c>
      <c r="W20" s="44"/>
      <c r="X20" s="60" t="s">
        <v>654</v>
      </c>
      <c r="Y20" s="60" t="s">
        <v>655</v>
      </c>
      <c r="Z20" s="44"/>
    </row>
    <row r="21" spans="1:26" ht="15.75" customHeight="1">
      <c r="A21" s="54" t="str">
        <f>IF(C21="","",VLOOKUP('Opći dio'!$C$3,'Opći dio'!$L$6:$U$137,10,FALSE))</f>
        <v>08006</v>
      </c>
      <c r="B21" s="54" t="str">
        <f>IF(C21="","",VLOOKUP('Opći dio'!$C$3,'Opći dio'!$L$6:$U$137,9,FALSE))</f>
        <v>Sveučilišta i veleučilišta u Republici Hrvatskoj</v>
      </c>
      <c r="C21" s="71">
        <v>31</v>
      </c>
      <c r="D21" s="66" t="str">
        <f t="shared" si="0"/>
        <v>Vlastiti prihodi</v>
      </c>
      <c r="E21" s="71">
        <v>3132</v>
      </c>
      <c r="F21" s="66" t="str">
        <f t="shared" si="1"/>
        <v>Doprinosi za obvezno zdravstveno osiguranje</v>
      </c>
      <c r="G21" s="71" t="s">
        <v>649</v>
      </c>
      <c r="H21" s="66" t="str">
        <f t="shared" si="2"/>
        <v>REDOVNA DJELATNOST SVEUČILIŠTA U ZAGREBU (IZ EVIDENCIJSKIH PRIHODA)</v>
      </c>
      <c r="I21" s="59">
        <v>902810</v>
      </c>
      <c r="J21" s="59">
        <f t="shared" ref="J21:K21" si="9">(I21*1%)+I21</f>
        <v>911838.1</v>
      </c>
      <c r="K21" s="59">
        <f t="shared" si="9"/>
        <v>920956.48100000003</v>
      </c>
      <c r="L21" s="44"/>
      <c r="M21" s="44" t="str">
        <f t="shared" si="3"/>
        <v>313</v>
      </c>
      <c r="N21" s="44" t="str">
        <f t="shared" si="4"/>
        <v>31</v>
      </c>
      <c r="O21" s="44">
        <v>61</v>
      </c>
      <c r="P21" s="44" t="s">
        <v>511</v>
      </c>
      <c r="Q21" s="44"/>
      <c r="R21" s="44">
        <v>3227</v>
      </c>
      <c r="S21" s="44" t="s">
        <v>656</v>
      </c>
      <c r="T21" s="44"/>
      <c r="U21" s="44" t="str">
        <f t="shared" si="5"/>
        <v>32</v>
      </c>
      <c r="V21" s="44" t="str">
        <f t="shared" si="6"/>
        <v>322</v>
      </c>
      <c r="W21" s="44"/>
      <c r="X21" s="60" t="s">
        <v>657</v>
      </c>
      <c r="Y21" s="60" t="s">
        <v>658</v>
      </c>
      <c r="Z21" s="44"/>
    </row>
    <row r="22" spans="1:26" ht="15.75" customHeight="1">
      <c r="A22" s="54" t="str">
        <f>IF(C22="","",VLOOKUP('Opći dio'!$C$3,'Opći dio'!$L$6:$U$137,10,FALSE))</f>
        <v>08006</v>
      </c>
      <c r="B22" s="54" t="str">
        <f>IF(C22="","",VLOOKUP('Opći dio'!$C$3,'Opći dio'!$L$6:$U$137,9,FALSE))</f>
        <v>Sveučilišta i veleučilišta u Republici Hrvatskoj</v>
      </c>
      <c r="C22" s="71">
        <v>31</v>
      </c>
      <c r="D22" s="66" t="str">
        <f t="shared" si="0"/>
        <v>Vlastiti prihodi</v>
      </c>
      <c r="E22" s="71">
        <v>3211</v>
      </c>
      <c r="F22" s="66" t="str">
        <f t="shared" si="1"/>
        <v>Službena putovanja</v>
      </c>
      <c r="G22" s="71" t="s">
        <v>649</v>
      </c>
      <c r="H22" s="66" t="str">
        <f t="shared" si="2"/>
        <v>REDOVNA DJELATNOST SVEUČILIŠTA U ZAGREBU (IZ EVIDENCIJSKIH PRIHODA)</v>
      </c>
      <c r="I22" s="59">
        <v>137345</v>
      </c>
      <c r="J22" s="59">
        <f t="shared" ref="J22:K22" si="10">(I22*1%)+I22</f>
        <v>138718.45000000001</v>
      </c>
      <c r="K22" s="59">
        <f t="shared" si="10"/>
        <v>140105.63450000001</v>
      </c>
      <c r="L22" s="44"/>
      <c r="M22" s="44" t="str">
        <f t="shared" si="3"/>
        <v>321</v>
      </c>
      <c r="N22" s="44" t="str">
        <f t="shared" si="4"/>
        <v>32</v>
      </c>
      <c r="O22" s="44">
        <v>71</v>
      </c>
      <c r="P22" s="44" t="s">
        <v>513</v>
      </c>
      <c r="Q22" s="44"/>
      <c r="R22" s="44">
        <v>3231</v>
      </c>
      <c r="S22" s="44" t="s">
        <v>659</v>
      </c>
      <c r="T22" s="44"/>
      <c r="U22" s="44" t="str">
        <f t="shared" si="5"/>
        <v>32</v>
      </c>
      <c r="V22" s="44" t="str">
        <f t="shared" si="6"/>
        <v>323</v>
      </c>
      <c r="W22" s="44"/>
      <c r="X22" s="60" t="s">
        <v>660</v>
      </c>
      <c r="Y22" s="60" t="s">
        <v>661</v>
      </c>
      <c r="Z22" s="44"/>
    </row>
    <row r="23" spans="1:26" ht="15.75" customHeight="1">
      <c r="A23" s="54" t="str">
        <f>IF(C23="","",VLOOKUP('Opći dio'!$C$3,'Opći dio'!$L$6:$U$137,10,FALSE))</f>
        <v>08006</v>
      </c>
      <c r="B23" s="54" t="str">
        <f>IF(C23="","",VLOOKUP('Opći dio'!$C$3,'Opći dio'!$L$6:$U$137,9,FALSE))</f>
        <v>Sveučilišta i veleučilišta u Republici Hrvatskoj</v>
      </c>
      <c r="C23" s="71">
        <v>31</v>
      </c>
      <c r="D23" s="66" t="str">
        <f t="shared" si="0"/>
        <v>Vlastiti prihodi</v>
      </c>
      <c r="E23" s="71">
        <v>3212</v>
      </c>
      <c r="F23" s="66" t="str">
        <f t="shared" si="1"/>
        <v>Naknade za prijevoz, za rad na terenu i odvojeni život</v>
      </c>
      <c r="G23" s="71" t="s">
        <v>649</v>
      </c>
      <c r="H23" s="66" t="str">
        <f t="shared" si="2"/>
        <v>REDOVNA DJELATNOST SVEUČILIŠTA U ZAGREBU (IZ EVIDENCIJSKIH PRIHODA)</v>
      </c>
      <c r="I23" s="59">
        <v>59027</v>
      </c>
      <c r="J23" s="59">
        <f t="shared" ref="J23:K23" si="11">(I23*1%)+I23</f>
        <v>59617.27</v>
      </c>
      <c r="K23" s="59">
        <f t="shared" si="11"/>
        <v>60213.4427</v>
      </c>
      <c r="L23" s="44"/>
      <c r="M23" s="44" t="str">
        <f t="shared" si="3"/>
        <v>321</v>
      </c>
      <c r="N23" s="44" t="str">
        <f t="shared" si="4"/>
        <v>32</v>
      </c>
      <c r="O23" s="44">
        <v>81</v>
      </c>
      <c r="P23" s="44" t="s">
        <v>515</v>
      </c>
      <c r="Q23" s="44"/>
      <c r="R23" s="44">
        <v>3232</v>
      </c>
      <c r="S23" s="44" t="s">
        <v>662</v>
      </c>
      <c r="T23" s="44"/>
      <c r="U23" s="44" t="str">
        <f t="shared" si="5"/>
        <v>32</v>
      </c>
      <c r="V23" s="44" t="str">
        <f t="shared" si="6"/>
        <v>323</v>
      </c>
      <c r="W23" s="44"/>
      <c r="X23" s="60" t="s">
        <v>663</v>
      </c>
      <c r="Y23" s="60" t="s">
        <v>664</v>
      </c>
      <c r="Z23" s="44"/>
    </row>
    <row r="24" spans="1:26" ht="15.75" customHeight="1">
      <c r="A24" s="54" t="str">
        <f>IF(C24="","",VLOOKUP('Opći dio'!$C$3,'Opći dio'!$L$6:$U$137,10,FALSE))</f>
        <v>08006</v>
      </c>
      <c r="B24" s="54" t="str">
        <f>IF(C24="","",VLOOKUP('Opći dio'!$C$3,'Opći dio'!$L$6:$U$137,9,FALSE))</f>
        <v>Sveučilišta i veleučilišta u Republici Hrvatskoj</v>
      </c>
      <c r="C24" s="71">
        <v>31</v>
      </c>
      <c r="D24" s="66" t="str">
        <f t="shared" si="0"/>
        <v>Vlastiti prihodi</v>
      </c>
      <c r="E24" s="71">
        <v>3213</v>
      </c>
      <c r="F24" s="66" t="str">
        <f t="shared" si="1"/>
        <v>Stručno usavršavanje zaposlenika</v>
      </c>
      <c r="G24" s="71" t="s">
        <v>649</v>
      </c>
      <c r="H24" s="66" t="str">
        <f t="shared" si="2"/>
        <v>REDOVNA DJELATNOST SVEUČILIŠTA U ZAGREBU (IZ EVIDENCIJSKIH PRIHODA)</v>
      </c>
      <c r="I24" s="59">
        <v>52252</v>
      </c>
      <c r="J24" s="59">
        <f t="shared" ref="J24:K24" si="12">(I24*1%)+I24</f>
        <v>52774.52</v>
      </c>
      <c r="K24" s="59">
        <f t="shared" si="12"/>
        <v>53302.265199999994</v>
      </c>
      <c r="L24" s="44"/>
      <c r="M24" s="44" t="str">
        <f t="shared" si="3"/>
        <v>321</v>
      </c>
      <c r="N24" s="44" t="str">
        <f t="shared" si="4"/>
        <v>32</v>
      </c>
      <c r="O24" s="70">
        <v>83</v>
      </c>
      <c r="P24" s="70" t="s">
        <v>517</v>
      </c>
      <c r="Q24" s="44"/>
      <c r="R24" s="44">
        <v>3233</v>
      </c>
      <c r="S24" s="44" t="s">
        <v>665</v>
      </c>
      <c r="T24" s="44"/>
      <c r="U24" s="44" t="str">
        <f t="shared" si="5"/>
        <v>32</v>
      </c>
      <c r="V24" s="44" t="str">
        <f t="shared" si="6"/>
        <v>323</v>
      </c>
      <c r="W24" s="44"/>
      <c r="X24" s="60" t="s">
        <v>666</v>
      </c>
      <c r="Y24" s="60" t="s">
        <v>667</v>
      </c>
      <c r="Z24" s="44"/>
    </row>
    <row r="25" spans="1:26" ht="15.75" customHeight="1">
      <c r="A25" s="54" t="str">
        <f>IF(C25="","",VLOOKUP('Opći dio'!$C$3,'Opći dio'!$L$6:$U$137,10,FALSE))</f>
        <v>08006</v>
      </c>
      <c r="B25" s="54" t="str">
        <f>IF(C25="","",VLOOKUP('Opći dio'!$C$3,'Opći dio'!$L$6:$U$137,9,FALSE))</f>
        <v>Sveučilišta i veleučilišta u Republici Hrvatskoj</v>
      </c>
      <c r="C25" s="71">
        <v>31</v>
      </c>
      <c r="D25" s="66" t="str">
        <f t="shared" si="0"/>
        <v>Vlastiti prihodi</v>
      </c>
      <c r="E25" s="71">
        <v>3221</v>
      </c>
      <c r="F25" s="66" t="str">
        <f t="shared" si="1"/>
        <v>Uredski materijal i ostali materijalni rashodi</v>
      </c>
      <c r="G25" s="71" t="s">
        <v>649</v>
      </c>
      <c r="H25" s="66" t="str">
        <f t="shared" si="2"/>
        <v>REDOVNA DJELATNOST SVEUČILIŠTA U ZAGREBU (IZ EVIDENCIJSKIH PRIHODA)</v>
      </c>
      <c r="I25" s="59">
        <v>941320</v>
      </c>
      <c r="J25" s="59">
        <f t="shared" ref="J25:K25" si="13">(I25*1%)+I25</f>
        <v>950733.2</v>
      </c>
      <c r="K25" s="59">
        <f t="shared" si="13"/>
        <v>960240.53200000001</v>
      </c>
      <c r="L25" s="44"/>
      <c r="M25" s="44" t="str">
        <f t="shared" si="3"/>
        <v>322</v>
      </c>
      <c r="N25" s="44" t="str">
        <f t="shared" si="4"/>
        <v>32</v>
      </c>
      <c r="O25" s="44"/>
      <c r="P25" s="44"/>
      <c r="Q25" s="44"/>
      <c r="R25" s="44">
        <v>3234</v>
      </c>
      <c r="S25" s="44" t="s">
        <v>668</v>
      </c>
      <c r="T25" s="44"/>
      <c r="U25" s="44" t="str">
        <f t="shared" si="5"/>
        <v>32</v>
      </c>
      <c r="V25" s="44" t="str">
        <f t="shared" si="6"/>
        <v>323</v>
      </c>
      <c r="W25" s="44"/>
      <c r="X25" s="60" t="s">
        <v>669</v>
      </c>
      <c r="Y25" s="60" t="s">
        <v>670</v>
      </c>
      <c r="Z25" s="44"/>
    </row>
    <row r="26" spans="1:26" ht="15.75" customHeight="1">
      <c r="A26" s="54" t="str">
        <f>IF(C26="","",VLOOKUP('Opći dio'!$C$3,'Opći dio'!$L$6:$U$137,10,FALSE))</f>
        <v>08006</v>
      </c>
      <c r="B26" s="54" t="str">
        <f>IF(C26="","",VLOOKUP('Opći dio'!$C$3,'Opći dio'!$L$6:$U$137,9,FALSE))</f>
        <v>Sveučilišta i veleučilišta u Republici Hrvatskoj</v>
      </c>
      <c r="C26" s="71">
        <v>31</v>
      </c>
      <c r="D26" s="66" t="str">
        <f t="shared" si="0"/>
        <v>Vlastiti prihodi</v>
      </c>
      <c r="E26" s="71">
        <v>3224</v>
      </c>
      <c r="F26" s="66" t="str">
        <f t="shared" si="1"/>
        <v>Materijal i dijelovi za tekuće i investicijsko održavanje</v>
      </c>
      <c r="G26" s="71" t="s">
        <v>649</v>
      </c>
      <c r="H26" s="66" t="str">
        <f t="shared" si="2"/>
        <v>REDOVNA DJELATNOST SVEUČILIŠTA U ZAGREBU (IZ EVIDENCIJSKIH PRIHODA)</v>
      </c>
      <c r="I26" s="59">
        <v>117402</v>
      </c>
      <c r="J26" s="59">
        <f t="shared" ref="J26:K26" si="14">(I26*1%)+I26</f>
        <v>118576.02</v>
      </c>
      <c r="K26" s="59">
        <f t="shared" si="14"/>
        <v>119761.78020000001</v>
      </c>
      <c r="L26" s="44"/>
      <c r="M26" s="44" t="str">
        <f t="shared" si="3"/>
        <v>322</v>
      </c>
      <c r="N26" s="44" t="str">
        <f t="shared" si="4"/>
        <v>32</v>
      </c>
      <c r="O26" s="44"/>
      <c r="P26" s="44"/>
      <c r="Q26" s="44"/>
      <c r="R26" s="44">
        <v>3235</v>
      </c>
      <c r="S26" s="44" t="s">
        <v>671</v>
      </c>
      <c r="T26" s="44"/>
      <c r="U26" s="44" t="str">
        <f t="shared" si="5"/>
        <v>32</v>
      </c>
      <c r="V26" s="44" t="str">
        <f t="shared" si="6"/>
        <v>323</v>
      </c>
      <c r="W26" s="44"/>
      <c r="X26" s="60" t="s">
        <v>672</v>
      </c>
      <c r="Y26" s="60" t="s">
        <v>673</v>
      </c>
      <c r="Z26" s="44"/>
    </row>
    <row r="27" spans="1:26" ht="15.75" customHeight="1">
      <c r="A27" s="54" t="str">
        <f>IF(C27="","",VLOOKUP('Opći dio'!$C$3,'Opći dio'!$L$6:$U$137,10,FALSE))</f>
        <v>08006</v>
      </c>
      <c r="B27" s="54" t="str">
        <f>IF(C27="","",VLOOKUP('Opći dio'!$C$3,'Opći dio'!$L$6:$U$137,9,FALSE))</f>
        <v>Sveučilišta i veleučilišta u Republici Hrvatskoj</v>
      </c>
      <c r="C27" s="71">
        <v>31</v>
      </c>
      <c r="D27" s="66" t="str">
        <f t="shared" si="0"/>
        <v>Vlastiti prihodi</v>
      </c>
      <c r="E27" s="71">
        <v>3225</v>
      </c>
      <c r="F27" s="66" t="str">
        <f t="shared" si="1"/>
        <v>Sitni inventar i auto gume</v>
      </c>
      <c r="G27" s="71" t="s">
        <v>649</v>
      </c>
      <c r="H27" s="66" t="str">
        <f t="shared" si="2"/>
        <v>REDOVNA DJELATNOST SVEUČILIŠTA U ZAGREBU (IZ EVIDENCIJSKIH PRIHODA)</v>
      </c>
      <c r="I27" s="59">
        <v>29738</v>
      </c>
      <c r="J27" s="59">
        <f t="shared" ref="J27:K27" si="15">(I27*1%)+I27</f>
        <v>30035.38</v>
      </c>
      <c r="K27" s="59">
        <f t="shared" si="15"/>
        <v>30335.733800000002</v>
      </c>
      <c r="L27" s="44"/>
      <c r="M27" s="44" t="str">
        <f t="shared" si="3"/>
        <v>322</v>
      </c>
      <c r="N27" s="44" t="str">
        <f t="shared" si="4"/>
        <v>32</v>
      </c>
      <c r="O27" s="44"/>
      <c r="P27" s="44"/>
      <c r="Q27" s="44"/>
      <c r="R27" s="44">
        <v>3236</v>
      </c>
      <c r="S27" s="44" t="s">
        <v>674</v>
      </c>
      <c r="T27" s="44"/>
      <c r="U27" s="44" t="str">
        <f t="shared" si="5"/>
        <v>32</v>
      </c>
      <c r="V27" s="44" t="str">
        <f t="shared" si="6"/>
        <v>323</v>
      </c>
      <c r="W27" s="44"/>
      <c r="X27" s="60" t="s">
        <v>675</v>
      </c>
      <c r="Y27" s="60" t="s">
        <v>676</v>
      </c>
      <c r="Z27" s="44"/>
    </row>
    <row r="28" spans="1:26" ht="15.75" customHeight="1">
      <c r="A28" s="54" t="str">
        <f>IF(C28="","",VLOOKUP('Opći dio'!$C$3,'Opći dio'!$L$6:$U$137,10,FALSE))</f>
        <v>08006</v>
      </c>
      <c r="B28" s="54" t="str">
        <f>IF(C28="","",VLOOKUP('Opći dio'!$C$3,'Opći dio'!$L$6:$U$137,9,FALSE))</f>
        <v>Sveučilišta i veleučilišta u Republici Hrvatskoj</v>
      </c>
      <c r="C28" s="71">
        <v>31</v>
      </c>
      <c r="D28" s="66" t="str">
        <f t="shared" si="0"/>
        <v>Vlastiti prihodi</v>
      </c>
      <c r="E28" s="71">
        <v>3227</v>
      </c>
      <c r="F28" s="66" t="str">
        <f t="shared" si="1"/>
        <v>Službena, radna i zaštitna odjeća i obuća</v>
      </c>
      <c r="G28" s="71" t="s">
        <v>649</v>
      </c>
      <c r="H28" s="66" t="str">
        <f t="shared" si="2"/>
        <v>REDOVNA DJELATNOST SVEUČILIŠTA U ZAGREBU (IZ EVIDENCIJSKIH PRIHODA)</v>
      </c>
      <c r="I28" s="59">
        <v>121388</v>
      </c>
      <c r="J28" s="59">
        <f t="shared" ref="J28:K28" si="16">(I28*1%)+I28</f>
        <v>122601.88</v>
      </c>
      <c r="K28" s="59">
        <f t="shared" si="16"/>
        <v>123827.89880000001</v>
      </c>
      <c r="L28" s="44"/>
      <c r="M28" s="44" t="str">
        <f t="shared" si="3"/>
        <v>322</v>
      </c>
      <c r="N28" s="44" t="str">
        <f t="shared" si="4"/>
        <v>32</v>
      </c>
      <c r="O28" s="44"/>
      <c r="P28" s="44"/>
      <c r="Q28" s="44"/>
      <c r="R28" s="44">
        <v>3237</v>
      </c>
      <c r="S28" s="44" t="s">
        <v>677</v>
      </c>
      <c r="T28" s="44"/>
      <c r="U28" s="44" t="str">
        <f t="shared" si="5"/>
        <v>32</v>
      </c>
      <c r="V28" s="44" t="str">
        <f t="shared" si="6"/>
        <v>323</v>
      </c>
      <c r="W28" s="44"/>
      <c r="X28" s="60" t="s">
        <v>678</v>
      </c>
      <c r="Y28" s="60" t="s">
        <v>679</v>
      </c>
      <c r="Z28" s="44"/>
    </row>
    <row r="29" spans="1:26" ht="15.75" customHeight="1">
      <c r="A29" s="54" t="str">
        <f>IF(C29="","",VLOOKUP('Opći dio'!$C$3,'Opći dio'!$L$6:$U$137,10,FALSE))</f>
        <v>08006</v>
      </c>
      <c r="B29" s="54" t="str">
        <f>IF(C29="","",VLOOKUP('Opći dio'!$C$3,'Opći dio'!$L$6:$U$137,9,FALSE))</f>
        <v>Sveučilišta i veleučilišta u Republici Hrvatskoj</v>
      </c>
      <c r="C29" s="71">
        <v>31</v>
      </c>
      <c r="D29" s="66" t="str">
        <f t="shared" si="0"/>
        <v>Vlastiti prihodi</v>
      </c>
      <c r="E29" s="71">
        <v>3231</v>
      </c>
      <c r="F29" s="66" t="str">
        <f t="shared" si="1"/>
        <v>Usluge telefona, pošte i prijevoza</v>
      </c>
      <c r="G29" s="71" t="s">
        <v>649</v>
      </c>
      <c r="H29" s="66" t="str">
        <f t="shared" si="2"/>
        <v>REDOVNA DJELATNOST SVEUČILIŠTA U ZAGREBU (IZ EVIDENCIJSKIH PRIHODA)</v>
      </c>
      <c r="I29" s="59">
        <v>25038</v>
      </c>
      <c r="J29" s="59">
        <f t="shared" ref="J29:K29" si="17">(I29*1%)+I29</f>
        <v>25288.38</v>
      </c>
      <c r="K29" s="59">
        <f t="shared" si="17"/>
        <v>25541.263800000001</v>
      </c>
      <c r="L29" s="44"/>
      <c r="M29" s="44" t="str">
        <f t="shared" si="3"/>
        <v>323</v>
      </c>
      <c r="N29" s="44" t="str">
        <f t="shared" si="4"/>
        <v>32</v>
      </c>
      <c r="O29" s="44"/>
      <c r="P29" s="44"/>
      <c r="Q29" s="44"/>
      <c r="R29" s="44">
        <v>3238</v>
      </c>
      <c r="S29" s="44" t="s">
        <v>680</v>
      </c>
      <c r="T29" s="44"/>
      <c r="U29" s="44" t="str">
        <f t="shared" si="5"/>
        <v>32</v>
      </c>
      <c r="V29" s="44" t="str">
        <f t="shared" si="6"/>
        <v>323</v>
      </c>
      <c r="W29" s="44"/>
      <c r="X29" s="60" t="s">
        <v>681</v>
      </c>
      <c r="Y29" s="60" t="s">
        <v>682</v>
      </c>
      <c r="Z29" s="44"/>
    </row>
    <row r="30" spans="1:26" ht="15.75" customHeight="1">
      <c r="A30" s="54" t="str">
        <f>IF(C30="","",VLOOKUP('Opći dio'!$C$3,'Opći dio'!$L$6:$U$137,10,FALSE))</f>
        <v>08006</v>
      </c>
      <c r="B30" s="54" t="str">
        <f>IF(C30="","",VLOOKUP('Opći dio'!$C$3,'Opći dio'!$L$6:$U$137,9,FALSE))</f>
        <v>Sveučilišta i veleučilišta u Republici Hrvatskoj</v>
      </c>
      <c r="C30" s="71">
        <v>31</v>
      </c>
      <c r="D30" s="66" t="str">
        <f t="shared" si="0"/>
        <v>Vlastiti prihodi</v>
      </c>
      <c r="E30" s="71">
        <v>3232</v>
      </c>
      <c r="F30" s="66" t="str">
        <f t="shared" si="1"/>
        <v>Usluge tekućeg i investicijskog održavanja</v>
      </c>
      <c r="G30" s="71" t="s">
        <v>649</v>
      </c>
      <c r="H30" s="66" t="str">
        <f t="shared" si="2"/>
        <v>REDOVNA DJELATNOST SVEUČILIŠTA U ZAGREBU (IZ EVIDENCIJSKIH PRIHODA)</v>
      </c>
      <c r="I30" s="59">
        <v>463372</v>
      </c>
      <c r="J30" s="59">
        <v>868006</v>
      </c>
      <c r="K30" s="59">
        <f>(J30*1%)+J30</f>
        <v>876686.06</v>
      </c>
      <c r="L30" s="44"/>
      <c r="M30" s="44" t="str">
        <f t="shared" si="3"/>
        <v>323</v>
      </c>
      <c r="N30" s="44" t="str">
        <f t="shared" si="4"/>
        <v>32</v>
      </c>
      <c r="O30" s="44"/>
      <c r="P30" s="44"/>
      <c r="Q30" s="44"/>
      <c r="R30" s="44">
        <v>3239</v>
      </c>
      <c r="S30" s="44" t="s">
        <v>683</v>
      </c>
      <c r="T30" s="44"/>
      <c r="U30" s="44" t="str">
        <f t="shared" si="5"/>
        <v>32</v>
      </c>
      <c r="V30" s="44" t="str">
        <f t="shared" si="6"/>
        <v>323</v>
      </c>
      <c r="W30" s="44"/>
      <c r="X30" s="60" t="s">
        <v>684</v>
      </c>
      <c r="Y30" s="60" t="s">
        <v>685</v>
      </c>
      <c r="Z30" s="44"/>
    </row>
    <row r="31" spans="1:26" ht="15.75" customHeight="1">
      <c r="A31" s="54" t="str">
        <f>IF(C31="","",VLOOKUP('Opći dio'!$C$3,'Opći dio'!$L$6:$U$137,10,FALSE))</f>
        <v>08006</v>
      </c>
      <c r="B31" s="54" t="str">
        <f>IF(C31="","",VLOOKUP('Opći dio'!$C$3,'Opći dio'!$L$6:$U$137,9,FALSE))</f>
        <v>Sveučilišta i veleučilišta u Republici Hrvatskoj</v>
      </c>
      <c r="C31" s="71">
        <v>31</v>
      </c>
      <c r="D31" s="66" t="str">
        <f t="shared" si="0"/>
        <v>Vlastiti prihodi</v>
      </c>
      <c r="E31" s="71">
        <v>3233</v>
      </c>
      <c r="F31" s="66" t="str">
        <f t="shared" si="1"/>
        <v>Usluge promidžbe i informiranja</v>
      </c>
      <c r="G31" s="71" t="s">
        <v>649</v>
      </c>
      <c r="H31" s="66" t="str">
        <f t="shared" si="2"/>
        <v>REDOVNA DJELATNOST SVEUČILIŠTA U ZAGREBU (IZ EVIDENCIJSKIH PRIHODA)</v>
      </c>
      <c r="I31" s="59">
        <v>36404</v>
      </c>
      <c r="J31" s="59">
        <f t="shared" ref="J31:K31" si="18">(I31*1%)+I31</f>
        <v>36768.04</v>
      </c>
      <c r="K31" s="59">
        <f t="shared" si="18"/>
        <v>37135.720399999998</v>
      </c>
      <c r="L31" s="44"/>
      <c r="M31" s="44" t="str">
        <f t="shared" si="3"/>
        <v>323</v>
      </c>
      <c r="N31" s="44" t="str">
        <f t="shared" si="4"/>
        <v>32</v>
      </c>
      <c r="O31" s="44"/>
      <c r="P31" s="44"/>
      <c r="Q31" s="44"/>
      <c r="R31" s="44">
        <v>3241</v>
      </c>
      <c r="S31" s="44" t="s">
        <v>686</v>
      </c>
      <c r="T31" s="44"/>
      <c r="U31" s="44" t="str">
        <f t="shared" si="5"/>
        <v>32</v>
      </c>
      <c r="V31" s="44" t="str">
        <f t="shared" si="6"/>
        <v>324</v>
      </c>
      <c r="W31" s="44"/>
      <c r="X31" s="60" t="s">
        <v>687</v>
      </c>
      <c r="Y31" s="60" t="s">
        <v>688</v>
      </c>
      <c r="Z31" s="44"/>
    </row>
    <row r="32" spans="1:26" ht="15.75" customHeight="1">
      <c r="A32" s="54" t="str">
        <f>IF(C32="","",VLOOKUP('Opći dio'!$C$3,'Opći dio'!$L$6:$U$137,10,FALSE))</f>
        <v>08006</v>
      </c>
      <c r="B32" s="54" t="str">
        <f>IF(C32="","",VLOOKUP('Opći dio'!$C$3,'Opći dio'!$L$6:$U$137,9,FALSE))</f>
        <v>Sveučilišta i veleučilišta u Republici Hrvatskoj</v>
      </c>
      <c r="C32" s="71">
        <v>31</v>
      </c>
      <c r="D32" s="66" t="str">
        <f t="shared" si="0"/>
        <v>Vlastiti prihodi</v>
      </c>
      <c r="E32" s="71">
        <v>3234</v>
      </c>
      <c r="F32" s="66" t="str">
        <f t="shared" si="1"/>
        <v>Komunalne usluge</v>
      </c>
      <c r="G32" s="71" t="s">
        <v>649</v>
      </c>
      <c r="H32" s="66" t="str">
        <f t="shared" si="2"/>
        <v>REDOVNA DJELATNOST SVEUČILIŠTA U ZAGREBU (IZ EVIDENCIJSKIH PRIHODA)</v>
      </c>
      <c r="I32" s="59">
        <v>5700</v>
      </c>
      <c r="J32" s="59">
        <f t="shared" ref="J32:K32" si="19">(I32*1%)+I32</f>
        <v>5757</v>
      </c>
      <c r="K32" s="59">
        <f t="shared" si="19"/>
        <v>5814.57</v>
      </c>
      <c r="L32" s="44"/>
      <c r="M32" s="44" t="str">
        <f t="shared" si="3"/>
        <v>323</v>
      </c>
      <c r="N32" s="44" t="str">
        <f t="shared" si="4"/>
        <v>32</v>
      </c>
      <c r="O32" s="44"/>
      <c r="P32" s="44"/>
      <c r="Q32" s="44"/>
      <c r="R32" s="44">
        <v>3291</v>
      </c>
      <c r="S32" s="44" t="s">
        <v>689</v>
      </c>
      <c r="T32" s="44"/>
      <c r="U32" s="44" t="str">
        <f t="shared" si="5"/>
        <v>32</v>
      </c>
      <c r="V32" s="44" t="str">
        <f t="shared" si="6"/>
        <v>329</v>
      </c>
      <c r="W32" s="44"/>
      <c r="X32" s="60" t="s">
        <v>690</v>
      </c>
      <c r="Y32" s="60" t="s">
        <v>691</v>
      </c>
      <c r="Z32" s="44"/>
    </row>
    <row r="33" spans="1:26" ht="15.75" customHeight="1">
      <c r="A33" s="54" t="str">
        <f>IF(C33="","",VLOOKUP('Opći dio'!$C$3,'Opći dio'!$L$6:$U$137,10,FALSE))</f>
        <v>08006</v>
      </c>
      <c r="B33" s="54" t="str">
        <f>IF(C33="","",VLOOKUP('Opći dio'!$C$3,'Opći dio'!$L$6:$U$137,9,FALSE))</f>
        <v>Sveučilišta i veleučilišta u Republici Hrvatskoj</v>
      </c>
      <c r="C33" s="71">
        <v>31</v>
      </c>
      <c r="D33" s="66" t="str">
        <f t="shared" si="0"/>
        <v>Vlastiti prihodi</v>
      </c>
      <c r="E33" s="71">
        <v>3235</v>
      </c>
      <c r="F33" s="66" t="str">
        <f t="shared" si="1"/>
        <v>Zakupnine i najamnine</v>
      </c>
      <c r="G33" s="71" t="s">
        <v>649</v>
      </c>
      <c r="H33" s="66" t="str">
        <f t="shared" si="2"/>
        <v>REDOVNA DJELATNOST SVEUČILIŠTA U ZAGREBU (IZ EVIDENCIJSKIH PRIHODA)</v>
      </c>
      <c r="I33" s="59">
        <v>91662</v>
      </c>
      <c r="J33" s="59">
        <f t="shared" ref="J33:K33" si="20">(I33*1%)+I33</f>
        <v>92578.62</v>
      </c>
      <c r="K33" s="59">
        <f t="shared" si="20"/>
        <v>93504.406199999998</v>
      </c>
      <c r="L33" s="44"/>
      <c r="M33" s="44" t="str">
        <f t="shared" si="3"/>
        <v>323</v>
      </c>
      <c r="N33" s="44" t="str">
        <f t="shared" si="4"/>
        <v>32</v>
      </c>
      <c r="O33" s="44"/>
      <c r="P33" s="44"/>
      <c r="Q33" s="44"/>
      <c r="R33" s="44">
        <v>3292</v>
      </c>
      <c r="S33" s="44" t="s">
        <v>692</v>
      </c>
      <c r="T33" s="44"/>
      <c r="U33" s="44" t="str">
        <f t="shared" si="5"/>
        <v>32</v>
      </c>
      <c r="V33" s="44" t="str">
        <f t="shared" si="6"/>
        <v>329</v>
      </c>
      <c r="W33" s="44"/>
      <c r="X33" s="60" t="s">
        <v>693</v>
      </c>
      <c r="Y33" s="60" t="s">
        <v>694</v>
      </c>
      <c r="Z33" s="44"/>
    </row>
    <row r="34" spans="1:26" ht="15.75" customHeight="1">
      <c r="A34" s="54" t="str">
        <f>IF(C34="","",VLOOKUP('Opći dio'!$C$3,'Opći dio'!$L$6:$U$137,10,FALSE))</f>
        <v>08006</v>
      </c>
      <c r="B34" s="54" t="str">
        <f>IF(C34="","",VLOOKUP('Opći dio'!$C$3,'Opći dio'!$L$6:$U$137,9,FALSE))</f>
        <v>Sveučilišta i veleučilišta u Republici Hrvatskoj</v>
      </c>
      <c r="C34" s="71">
        <v>31</v>
      </c>
      <c r="D34" s="66" t="str">
        <f t="shared" si="0"/>
        <v>Vlastiti prihodi</v>
      </c>
      <c r="E34" s="71">
        <v>3236</v>
      </c>
      <c r="F34" s="66" t="str">
        <f t="shared" si="1"/>
        <v>Zdravstvene i veterinarske usluge</v>
      </c>
      <c r="G34" s="71" t="s">
        <v>649</v>
      </c>
      <c r="H34" s="66" t="str">
        <f t="shared" si="2"/>
        <v>REDOVNA DJELATNOST SVEUČILIŠTA U ZAGREBU (IZ EVIDENCIJSKIH PRIHODA)</v>
      </c>
      <c r="I34" s="59">
        <v>480218</v>
      </c>
      <c r="J34" s="59">
        <f t="shared" ref="J34:K34" si="21">(I34*1%)+I34</f>
        <v>485020.18</v>
      </c>
      <c r="K34" s="59">
        <f t="shared" si="21"/>
        <v>489870.38179999997</v>
      </c>
      <c r="L34" s="44"/>
      <c r="M34" s="44" t="str">
        <f t="shared" si="3"/>
        <v>323</v>
      </c>
      <c r="N34" s="44" t="str">
        <f t="shared" si="4"/>
        <v>32</v>
      </c>
      <c r="O34" s="44"/>
      <c r="P34" s="44"/>
      <c r="Q34" s="44"/>
      <c r="R34" s="44">
        <v>3293</v>
      </c>
      <c r="S34" s="44" t="s">
        <v>695</v>
      </c>
      <c r="T34" s="44"/>
      <c r="U34" s="44" t="str">
        <f t="shared" si="5"/>
        <v>32</v>
      </c>
      <c r="V34" s="44" t="str">
        <f t="shared" si="6"/>
        <v>329</v>
      </c>
      <c r="W34" s="44"/>
      <c r="X34" s="60" t="s">
        <v>696</v>
      </c>
      <c r="Y34" s="60" t="s">
        <v>697</v>
      </c>
      <c r="Z34" s="44"/>
    </row>
    <row r="35" spans="1:26" ht="15.75" customHeight="1">
      <c r="A35" s="54" t="str">
        <f>IF(C35="","",VLOOKUP('Opći dio'!$C$3,'Opći dio'!$L$6:$U$137,10,FALSE))</f>
        <v>08006</v>
      </c>
      <c r="B35" s="54" t="str">
        <f>IF(C35="","",VLOOKUP('Opći dio'!$C$3,'Opći dio'!$L$6:$U$137,9,FALSE))</f>
        <v>Sveučilišta i veleučilišta u Republici Hrvatskoj</v>
      </c>
      <c r="C35" s="71">
        <v>31</v>
      </c>
      <c r="D35" s="66" t="str">
        <f t="shared" si="0"/>
        <v>Vlastiti prihodi</v>
      </c>
      <c r="E35" s="71">
        <v>3237</v>
      </c>
      <c r="F35" s="66" t="str">
        <f t="shared" si="1"/>
        <v>Intelektualne i osobne usluge</v>
      </c>
      <c r="G35" s="71" t="s">
        <v>649</v>
      </c>
      <c r="H35" s="66" t="str">
        <f t="shared" si="2"/>
        <v>REDOVNA DJELATNOST SVEUČILIŠTA U ZAGREBU (IZ EVIDENCIJSKIH PRIHODA)</v>
      </c>
      <c r="I35" s="59">
        <v>1849093</v>
      </c>
      <c r="J35" s="59">
        <v>1961584</v>
      </c>
      <c r="K35" s="59">
        <f>(J35*1%)+J35</f>
        <v>1981199.84</v>
      </c>
      <c r="L35" s="44"/>
      <c r="M35" s="44" t="str">
        <f t="shared" si="3"/>
        <v>323</v>
      </c>
      <c r="N35" s="44" t="str">
        <f t="shared" si="4"/>
        <v>32</v>
      </c>
      <c r="O35" s="44"/>
      <c r="P35" s="44"/>
      <c r="Q35" s="44"/>
      <c r="R35" s="44">
        <v>3293</v>
      </c>
      <c r="S35" s="44" t="s">
        <v>698</v>
      </c>
      <c r="T35" s="44"/>
      <c r="U35" s="44" t="str">
        <f t="shared" si="5"/>
        <v>32</v>
      </c>
      <c r="V35" s="44" t="str">
        <f t="shared" si="6"/>
        <v>329</v>
      </c>
      <c r="W35" s="44"/>
      <c r="X35" s="60" t="s">
        <v>699</v>
      </c>
      <c r="Y35" s="60" t="s">
        <v>700</v>
      </c>
      <c r="Z35" s="44"/>
    </row>
    <row r="36" spans="1:26" ht="15.75" customHeight="1">
      <c r="A36" s="54" t="str">
        <f>IF(C36="","",VLOOKUP('Opći dio'!$C$3,'Opći dio'!$L$6:$U$137,10,FALSE))</f>
        <v>08006</v>
      </c>
      <c r="B36" s="54" t="str">
        <f>IF(C36="","",VLOOKUP('Opći dio'!$C$3,'Opći dio'!$L$6:$U$137,9,FALSE))</f>
        <v>Sveučilišta i veleučilišta u Republici Hrvatskoj</v>
      </c>
      <c r="C36" s="71">
        <v>31</v>
      </c>
      <c r="D36" s="66" t="str">
        <f t="shared" si="0"/>
        <v>Vlastiti prihodi</v>
      </c>
      <c r="E36" s="71">
        <v>3238</v>
      </c>
      <c r="F36" s="66" t="str">
        <f t="shared" si="1"/>
        <v>Računalne usluge</v>
      </c>
      <c r="G36" s="71" t="s">
        <v>649</v>
      </c>
      <c r="H36" s="66" t="str">
        <f t="shared" si="2"/>
        <v>REDOVNA DJELATNOST SVEUČILIŠTA U ZAGREBU (IZ EVIDENCIJSKIH PRIHODA)</v>
      </c>
      <c r="I36" s="59">
        <v>9450</v>
      </c>
      <c r="J36" s="59">
        <f t="shared" ref="J36:K36" si="22">(I36*1%)+I36</f>
        <v>9544.5</v>
      </c>
      <c r="K36" s="59">
        <f t="shared" si="22"/>
        <v>9639.9449999999997</v>
      </c>
      <c r="L36" s="44"/>
      <c r="M36" s="44" t="str">
        <f t="shared" si="3"/>
        <v>323</v>
      </c>
      <c r="N36" s="44" t="str">
        <f t="shared" si="4"/>
        <v>32</v>
      </c>
      <c r="O36" s="44"/>
      <c r="P36" s="44"/>
      <c r="Q36" s="44"/>
      <c r="R36" s="44">
        <v>3294</v>
      </c>
      <c r="S36" s="44" t="s">
        <v>701</v>
      </c>
      <c r="T36" s="44"/>
      <c r="U36" s="44" t="str">
        <f t="shared" si="5"/>
        <v>32</v>
      </c>
      <c r="V36" s="44" t="str">
        <f t="shared" si="6"/>
        <v>329</v>
      </c>
      <c r="W36" s="44"/>
      <c r="X36" s="60" t="s">
        <v>702</v>
      </c>
      <c r="Y36" s="60" t="s">
        <v>703</v>
      </c>
      <c r="Z36" s="44"/>
    </row>
    <row r="37" spans="1:26" ht="15.75" customHeight="1">
      <c r="A37" s="54" t="str">
        <f>IF(C37="","",VLOOKUP('Opći dio'!$C$3,'Opći dio'!$L$6:$U$137,10,FALSE))</f>
        <v>08006</v>
      </c>
      <c r="B37" s="54" t="str">
        <f>IF(C37="","",VLOOKUP('Opći dio'!$C$3,'Opći dio'!$L$6:$U$137,9,FALSE))</f>
        <v>Sveučilišta i veleučilišta u Republici Hrvatskoj</v>
      </c>
      <c r="C37" s="71">
        <v>31</v>
      </c>
      <c r="D37" s="66" t="str">
        <f t="shared" si="0"/>
        <v>Vlastiti prihodi</v>
      </c>
      <c r="E37" s="71">
        <v>3239</v>
      </c>
      <c r="F37" s="66" t="str">
        <f t="shared" si="1"/>
        <v>Ostale usluge</v>
      </c>
      <c r="G37" s="71" t="s">
        <v>649</v>
      </c>
      <c r="H37" s="66" t="str">
        <f t="shared" si="2"/>
        <v>REDOVNA DJELATNOST SVEUČILIŠTA U ZAGREBU (IZ EVIDENCIJSKIH PRIHODA)</v>
      </c>
      <c r="I37" s="59">
        <v>172742</v>
      </c>
      <c r="J37" s="59">
        <f t="shared" ref="J37:K37" si="23">(I37*1%)+I37</f>
        <v>174469.42</v>
      </c>
      <c r="K37" s="59">
        <f t="shared" si="23"/>
        <v>176214.11420000001</v>
      </c>
      <c r="L37" s="44"/>
      <c r="M37" s="44" t="str">
        <f t="shared" si="3"/>
        <v>323</v>
      </c>
      <c r="N37" s="44" t="str">
        <f t="shared" si="4"/>
        <v>32</v>
      </c>
      <c r="O37" s="44"/>
      <c r="P37" s="44"/>
      <c r="Q37" s="44"/>
      <c r="R37" s="44">
        <v>3295</v>
      </c>
      <c r="S37" s="44" t="s">
        <v>704</v>
      </c>
      <c r="T37" s="44"/>
      <c r="U37" s="44" t="str">
        <f t="shared" si="5"/>
        <v>32</v>
      </c>
      <c r="V37" s="44" t="str">
        <f t="shared" si="6"/>
        <v>329</v>
      </c>
      <c r="W37" s="44"/>
      <c r="X37" s="60" t="s">
        <v>705</v>
      </c>
      <c r="Y37" s="60" t="s">
        <v>706</v>
      </c>
      <c r="Z37" s="44"/>
    </row>
    <row r="38" spans="1:26" ht="15.75" customHeight="1">
      <c r="A38" s="54" t="str">
        <f>IF(C38="","",VLOOKUP('Opći dio'!$C$3,'Opći dio'!$L$6:$U$137,10,FALSE))</f>
        <v>08006</v>
      </c>
      <c r="B38" s="54" t="str">
        <f>IF(C38="","",VLOOKUP('Opći dio'!$C$3,'Opći dio'!$L$6:$U$137,9,FALSE))</f>
        <v>Sveučilišta i veleučilišta u Republici Hrvatskoj</v>
      </c>
      <c r="C38" s="71">
        <v>31</v>
      </c>
      <c r="D38" s="66" t="str">
        <f t="shared" si="0"/>
        <v>Vlastiti prihodi</v>
      </c>
      <c r="E38" s="71">
        <v>3241</v>
      </c>
      <c r="F38" s="66" t="str">
        <f t="shared" si="1"/>
        <v>Naknade troškova osobama izvan radnog odnosa</v>
      </c>
      <c r="G38" s="71" t="s">
        <v>649</v>
      </c>
      <c r="H38" s="66" t="str">
        <f t="shared" si="2"/>
        <v>REDOVNA DJELATNOST SVEUČILIŠTA U ZAGREBU (IZ EVIDENCIJSKIH PRIHODA)</v>
      </c>
      <c r="I38" s="59">
        <v>22744</v>
      </c>
      <c r="J38" s="59">
        <f t="shared" ref="J38:K38" si="24">(I38*1%)+I38</f>
        <v>22971.439999999999</v>
      </c>
      <c r="K38" s="59">
        <f t="shared" si="24"/>
        <v>23201.154399999999</v>
      </c>
      <c r="L38" s="44"/>
      <c r="M38" s="44" t="str">
        <f t="shared" si="3"/>
        <v>324</v>
      </c>
      <c r="N38" s="44" t="str">
        <f t="shared" si="4"/>
        <v>32</v>
      </c>
      <c r="O38" s="44"/>
      <c r="P38" s="44"/>
      <c r="Q38" s="44"/>
      <c r="R38" s="44">
        <v>3296</v>
      </c>
      <c r="S38" s="44" t="s">
        <v>707</v>
      </c>
      <c r="T38" s="44"/>
      <c r="U38" s="44" t="str">
        <f t="shared" si="5"/>
        <v>32</v>
      </c>
      <c r="V38" s="44" t="str">
        <f t="shared" si="6"/>
        <v>329</v>
      </c>
      <c r="W38" s="44"/>
      <c r="X38" s="60" t="s">
        <v>708</v>
      </c>
      <c r="Y38" s="60" t="s">
        <v>709</v>
      </c>
      <c r="Z38" s="44"/>
    </row>
    <row r="39" spans="1:26" ht="15.75" customHeight="1">
      <c r="A39" s="54" t="str">
        <f>IF(C39="","",VLOOKUP('Opći dio'!$C$3,'Opći dio'!$L$6:$U$137,10,FALSE))</f>
        <v>08006</v>
      </c>
      <c r="B39" s="54" t="str">
        <f>IF(C39="","",VLOOKUP('Opći dio'!$C$3,'Opći dio'!$L$6:$U$137,9,FALSE))</f>
        <v>Sveučilišta i veleučilišta u Republici Hrvatskoj</v>
      </c>
      <c r="C39" s="71">
        <v>31</v>
      </c>
      <c r="D39" s="66" t="str">
        <f t="shared" si="0"/>
        <v>Vlastiti prihodi</v>
      </c>
      <c r="E39" s="71">
        <v>3292</v>
      </c>
      <c r="F39" s="66" t="str">
        <f t="shared" si="1"/>
        <v>Premije osiguranja</v>
      </c>
      <c r="G39" s="71" t="s">
        <v>649</v>
      </c>
      <c r="H39" s="66" t="str">
        <f t="shared" si="2"/>
        <v>REDOVNA DJELATNOST SVEUČILIŠTA U ZAGREBU (IZ EVIDENCIJSKIH PRIHODA)</v>
      </c>
      <c r="I39" s="59">
        <v>16977</v>
      </c>
      <c r="J39" s="59">
        <f t="shared" ref="J39:K39" si="25">(I39*1%)+I39</f>
        <v>17146.77</v>
      </c>
      <c r="K39" s="59">
        <f t="shared" si="25"/>
        <v>17318.237700000001</v>
      </c>
      <c r="L39" s="44"/>
      <c r="M39" s="44" t="str">
        <f t="shared" si="3"/>
        <v>329</v>
      </c>
      <c r="N39" s="44" t="str">
        <f t="shared" si="4"/>
        <v>32</v>
      </c>
      <c r="O39" s="44"/>
      <c r="P39" s="44"/>
      <c r="Q39" s="44"/>
      <c r="R39" s="44">
        <v>3299</v>
      </c>
      <c r="S39" s="44" t="s">
        <v>710</v>
      </c>
      <c r="T39" s="44"/>
      <c r="U39" s="44" t="str">
        <f t="shared" si="5"/>
        <v>32</v>
      </c>
      <c r="V39" s="44" t="str">
        <f t="shared" si="6"/>
        <v>329</v>
      </c>
      <c r="W39" s="44"/>
      <c r="X39" s="60" t="s">
        <v>711</v>
      </c>
      <c r="Y39" s="60" t="s">
        <v>712</v>
      </c>
      <c r="Z39" s="44"/>
    </row>
    <row r="40" spans="1:26" ht="15.75" customHeight="1">
      <c r="A40" s="54" t="str">
        <f>IF(C40="","",VLOOKUP('Opći dio'!$C$3,'Opći dio'!$L$6:$U$137,10,FALSE))</f>
        <v>08006</v>
      </c>
      <c r="B40" s="54" t="str">
        <f>IF(C40="","",VLOOKUP('Opći dio'!$C$3,'Opći dio'!$L$6:$U$137,9,FALSE))</f>
        <v>Sveučilišta i veleučilišta u Republici Hrvatskoj</v>
      </c>
      <c r="C40" s="71">
        <v>31</v>
      </c>
      <c r="D40" s="66" t="str">
        <f t="shared" si="0"/>
        <v>Vlastiti prihodi</v>
      </c>
      <c r="E40" s="71">
        <v>3293</v>
      </c>
      <c r="F40" s="66" t="str">
        <f t="shared" si="1"/>
        <v>Reprezentacija</v>
      </c>
      <c r="G40" s="71" t="s">
        <v>649</v>
      </c>
      <c r="H40" s="66" t="str">
        <f t="shared" si="2"/>
        <v>REDOVNA DJELATNOST SVEUČILIŠTA U ZAGREBU (IZ EVIDENCIJSKIH PRIHODA)</v>
      </c>
      <c r="I40" s="59">
        <v>26816</v>
      </c>
      <c r="J40" s="59">
        <f t="shared" ref="J40:K40" si="26">(I40*1%)+I40</f>
        <v>27084.16</v>
      </c>
      <c r="K40" s="59">
        <f t="shared" si="26"/>
        <v>27355.0016</v>
      </c>
      <c r="L40" s="44"/>
      <c r="M40" s="44" t="str">
        <f t="shared" si="3"/>
        <v>329</v>
      </c>
      <c r="N40" s="44" t="str">
        <f t="shared" si="4"/>
        <v>32</v>
      </c>
      <c r="O40" s="44"/>
      <c r="P40" s="44"/>
      <c r="Q40" s="44"/>
      <c r="R40" s="44">
        <v>3411</v>
      </c>
      <c r="S40" s="44" t="s">
        <v>713</v>
      </c>
      <c r="T40" s="44"/>
      <c r="U40" s="44" t="str">
        <f t="shared" si="5"/>
        <v>34</v>
      </c>
      <c r="V40" s="44" t="str">
        <f t="shared" si="6"/>
        <v>341</v>
      </c>
      <c r="W40" s="44"/>
      <c r="X40" s="60" t="s">
        <v>714</v>
      </c>
      <c r="Y40" s="60" t="s">
        <v>715</v>
      </c>
      <c r="Z40" s="44"/>
    </row>
    <row r="41" spans="1:26" ht="15.75" customHeight="1">
      <c r="A41" s="54" t="str">
        <f>IF(C41="","",VLOOKUP('Opći dio'!$C$3,'Opći dio'!$L$6:$U$137,10,FALSE))</f>
        <v>08006</v>
      </c>
      <c r="B41" s="54" t="str">
        <f>IF(C41="","",VLOOKUP('Opći dio'!$C$3,'Opći dio'!$L$6:$U$137,9,FALSE))</f>
        <v>Sveučilišta i veleučilišta u Republici Hrvatskoj</v>
      </c>
      <c r="C41" s="71">
        <v>31</v>
      </c>
      <c r="D41" s="66" t="str">
        <f t="shared" si="0"/>
        <v>Vlastiti prihodi</v>
      </c>
      <c r="E41" s="71">
        <v>3294</v>
      </c>
      <c r="F41" s="66" t="str">
        <f t="shared" si="1"/>
        <v>Članarine i norme</v>
      </c>
      <c r="G41" s="71" t="s">
        <v>649</v>
      </c>
      <c r="H41" s="66" t="str">
        <f t="shared" si="2"/>
        <v>REDOVNA DJELATNOST SVEUČILIŠTA U ZAGREBU (IZ EVIDENCIJSKIH PRIHODA)</v>
      </c>
      <c r="I41" s="59">
        <v>3645</v>
      </c>
      <c r="J41" s="59">
        <f t="shared" ref="J41:K41" si="27">(I41*1%)+I41</f>
        <v>3681.45</v>
      </c>
      <c r="K41" s="59">
        <f t="shared" si="27"/>
        <v>3718.2644999999998</v>
      </c>
      <c r="L41" s="44"/>
      <c r="M41" s="44" t="str">
        <f t="shared" si="3"/>
        <v>329</v>
      </c>
      <c r="N41" s="44" t="str">
        <f t="shared" si="4"/>
        <v>32</v>
      </c>
      <c r="O41" s="44"/>
      <c r="P41" s="44"/>
      <c r="Q41" s="44"/>
      <c r="R41" s="44">
        <v>3422</v>
      </c>
      <c r="S41" s="44" t="s">
        <v>716</v>
      </c>
      <c r="T41" s="44"/>
      <c r="U41" s="44" t="str">
        <f t="shared" si="5"/>
        <v>34</v>
      </c>
      <c r="V41" s="44" t="str">
        <f t="shared" si="6"/>
        <v>342</v>
      </c>
      <c r="W41" s="44"/>
      <c r="X41" s="60" t="s">
        <v>717</v>
      </c>
      <c r="Y41" s="60" t="s">
        <v>718</v>
      </c>
      <c r="Z41" s="44"/>
    </row>
    <row r="42" spans="1:26" ht="15.75" customHeight="1">
      <c r="A42" s="54" t="str">
        <f>IF(C42="","",VLOOKUP('Opći dio'!$C$3,'Opći dio'!$L$6:$U$137,10,FALSE))</f>
        <v>08006</v>
      </c>
      <c r="B42" s="54" t="str">
        <f>IF(C42="","",VLOOKUP('Opći dio'!$C$3,'Opći dio'!$L$6:$U$137,9,FALSE))</f>
        <v>Sveučilišta i veleučilišta u Republici Hrvatskoj</v>
      </c>
      <c r="C42" s="71">
        <v>31</v>
      </c>
      <c r="D42" s="66" t="str">
        <f t="shared" si="0"/>
        <v>Vlastiti prihodi</v>
      </c>
      <c r="E42" s="71">
        <v>3295</v>
      </c>
      <c r="F42" s="66" t="str">
        <f t="shared" si="1"/>
        <v>Pristojbe i naknade</v>
      </c>
      <c r="G42" s="71" t="s">
        <v>649</v>
      </c>
      <c r="H42" s="66" t="str">
        <f t="shared" si="2"/>
        <v>REDOVNA DJELATNOST SVEUČILIŠTA U ZAGREBU (IZ EVIDENCIJSKIH PRIHODA)</v>
      </c>
      <c r="I42" s="59">
        <v>8965</v>
      </c>
      <c r="J42" s="59">
        <f t="shared" ref="J42:K42" si="28">(I42*1%)+I42</f>
        <v>9054.65</v>
      </c>
      <c r="K42" s="59">
        <f t="shared" si="28"/>
        <v>9145.1965</v>
      </c>
      <c r="L42" s="44"/>
      <c r="M42" s="44" t="str">
        <f t="shared" si="3"/>
        <v>329</v>
      </c>
      <c r="N42" s="44" t="str">
        <f t="shared" si="4"/>
        <v>32</v>
      </c>
      <c r="O42" s="44"/>
      <c r="P42" s="44"/>
      <c r="Q42" s="44"/>
      <c r="R42" s="44">
        <v>3423</v>
      </c>
      <c r="S42" s="44" t="s">
        <v>716</v>
      </c>
      <c r="T42" s="44"/>
      <c r="U42" s="44" t="str">
        <f t="shared" si="5"/>
        <v>34</v>
      </c>
      <c r="V42" s="44" t="str">
        <f t="shared" si="6"/>
        <v>342</v>
      </c>
      <c r="W42" s="44"/>
      <c r="X42" s="60" t="s">
        <v>719</v>
      </c>
      <c r="Y42" s="60" t="s">
        <v>720</v>
      </c>
      <c r="Z42" s="44"/>
    </row>
    <row r="43" spans="1:26" ht="15.75" customHeight="1">
      <c r="A43" s="54" t="str">
        <f>IF(C43="","",VLOOKUP('Opći dio'!$C$3,'Opći dio'!$L$6:$U$137,10,FALSE))</f>
        <v>08006</v>
      </c>
      <c r="B43" s="54" t="str">
        <f>IF(C43="","",VLOOKUP('Opći dio'!$C$3,'Opći dio'!$L$6:$U$137,9,FALSE))</f>
        <v>Sveučilišta i veleučilišta u Republici Hrvatskoj</v>
      </c>
      <c r="C43" s="71">
        <v>31</v>
      </c>
      <c r="D43" s="66" t="str">
        <f t="shared" si="0"/>
        <v>Vlastiti prihodi</v>
      </c>
      <c r="E43" s="71">
        <v>3296</v>
      </c>
      <c r="F43" s="66" t="str">
        <f t="shared" si="1"/>
        <v>Troškovi sudskih postupaka</v>
      </c>
      <c r="G43" s="71" t="s">
        <v>649</v>
      </c>
      <c r="H43" s="66" t="str">
        <f t="shared" si="2"/>
        <v>REDOVNA DJELATNOST SVEUČILIŠTA U ZAGREBU (IZ EVIDENCIJSKIH PRIHODA)</v>
      </c>
      <c r="I43" s="59">
        <v>7500</v>
      </c>
      <c r="J43" s="59">
        <f t="shared" ref="J43:K43" si="29">(I43*1%)+I43</f>
        <v>7575</v>
      </c>
      <c r="K43" s="59">
        <f t="shared" si="29"/>
        <v>7650.75</v>
      </c>
      <c r="L43" s="44"/>
      <c r="M43" s="44" t="str">
        <f t="shared" si="3"/>
        <v>329</v>
      </c>
      <c r="N43" s="44" t="str">
        <f t="shared" si="4"/>
        <v>32</v>
      </c>
      <c r="O43" s="44"/>
      <c r="P43" s="44"/>
      <c r="Q43" s="44"/>
      <c r="R43" s="44">
        <v>3427</v>
      </c>
      <c r="S43" s="44" t="s">
        <v>721</v>
      </c>
      <c r="T43" s="44"/>
      <c r="U43" s="44" t="str">
        <f t="shared" si="5"/>
        <v>34</v>
      </c>
      <c r="V43" s="44" t="str">
        <f t="shared" si="6"/>
        <v>342</v>
      </c>
      <c r="W43" s="44"/>
      <c r="X43" s="60" t="s">
        <v>722</v>
      </c>
      <c r="Y43" s="60" t="s">
        <v>723</v>
      </c>
      <c r="Z43" s="44"/>
    </row>
    <row r="44" spans="1:26" ht="15.75" customHeight="1">
      <c r="A44" s="54" t="str">
        <f>IF(C44="","",VLOOKUP('Opći dio'!$C$3,'Opći dio'!$L$6:$U$137,10,FALSE))</f>
        <v>08006</v>
      </c>
      <c r="B44" s="54" t="str">
        <f>IF(C44="","",VLOOKUP('Opći dio'!$C$3,'Opći dio'!$L$6:$U$137,9,FALSE))</f>
        <v>Sveučilišta i veleučilišta u Republici Hrvatskoj</v>
      </c>
      <c r="C44" s="71">
        <v>31</v>
      </c>
      <c r="D44" s="66" t="str">
        <f t="shared" si="0"/>
        <v>Vlastiti prihodi</v>
      </c>
      <c r="E44" s="71">
        <v>3299</v>
      </c>
      <c r="F44" s="66" t="str">
        <f t="shared" si="1"/>
        <v>Ostali nespomenuti rashodi poslovanja</v>
      </c>
      <c r="G44" s="71" t="s">
        <v>649</v>
      </c>
      <c r="H44" s="66" t="str">
        <f t="shared" si="2"/>
        <v>REDOVNA DJELATNOST SVEUČILIŠTA U ZAGREBU (IZ EVIDENCIJSKIH PRIHODA)</v>
      </c>
      <c r="I44" s="59">
        <v>500000</v>
      </c>
      <c r="J44" s="59">
        <f t="shared" ref="J44:K44" si="30">(I44*1%)+I44</f>
        <v>505000</v>
      </c>
      <c r="K44" s="59">
        <f t="shared" si="30"/>
        <v>510050</v>
      </c>
      <c r="L44" s="44"/>
      <c r="M44" s="44" t="str">
        <f t="shared" si="3"/>
        <v>329</v>
      </c>
      <c r="N44" s="44" t="str">
        <f t="shared" si="4"/>
        <v>32</v>
      </c>
      <c r="O44" s="44"/>
      <c r="P44" s="44"/>
      <c r="Q44" s="44"/>
      <c r="R44" s="44">
        <v>3431</v>
      </c>
      <c r="S44" s="44" t="s">
        <v>724</v>
      </c>
      <c r="T44" s="44"/>
      <c r="U44" s="44" t="str">
        <f t="shared" si="5"/>
        <v>34</v>
      </c>
      <c r="V44" s="44" t="str">
        <f t="shared" si="6"/>
        <v>343</v>
      </c>
      <c r="W44" s="44"/>
      <c r="X44" s="60" t="s">
        <v>725</v>
      </c>
      <c r="Y44" s="60" t="s">
        <v>726</v>
      </c>
      <c r="Z44" s="44"/>
    </row>
    <row r="45" spans="1:26" ht="15.75" customHeight="1">
      <c r="A45" s="54" t="str">
        <f>IF(C45="","",VLOOKUP('Opći dio'!$C$3,'Opći dio'!$L$6:$U$137,10,FALSE))</f>
        <v>08006</v>
      </c>
      <c r="B45" s="54" t="str">
        <f>IF(C45="","",VLOOKUP('Opći dio'!$C$3,'Opći dio'!$L$6:$U$137,9,FALSE))</f>
        <v>Sveučilišta i veleučilišta u Republici Hrvatskoj</v>
      </c>
      <c r="C45" s="71">
        <v>31</v>
      </c>
      <c r="D45" s="66" t="str">
        <f t="shared" si="0"/>
        <v>Vlastiti prihodi</v>
      </c>
      <c r="E45" s="71">
        <v>3431</v>
      </c>
      <c r="F45" s="66" t="str">
        <f t="shared" si="1"/>
        <v>Bankarske usluge i usluge platnog prometa</v>
      </c>
      <c r="G45" s="71" t="s">
        <v>649</v>
      </c>
      <c r="H45" s="66" t="str">
        <f t="shared" si="2"/>
        <v>REDOVNA DJELATNOST SVEUČILIŠTA U ZAGREBU (IZ EVIDENCIJSKIH PRIHODA)</v>
      </c>
      <c r="I45" s="59">
        <v>8091</v>
      </c>
      <c r="J45" s="59">
        <f t="shared" ref="J45:K45" si="31">(I45*1%)+I45</f>
        <v>8171.91</v>
      </c>
      <c r="K45" s="59">
        <f t="shared" si="31"/>
        <v>8253.6291000000001</v>
      </c>
      <c r="L45" s="44"/>
      <c r="M45" s="44" t="str">
        <f t="shared" si="3"/>
        <v>343</v>
      </c>
      <c r="N45" s="44" t="str">
        <f t="shared" si="4"/>
        <v>34</v>
      </c>
      <c r="O45" s="44"/>
      <c r="P45" s="44"/>
      <c r="Q45" s="44"/>
      <c r="R45" s="44">
        <v>3432</v>
      </c>
      <c r="S45" s="44" t="s">
        <v>727</v>
      </c>
      <c r="T45" s="44"/>
      <c r="U45" s="44" t="str">
        <f t="shared" si="5"/>
        <v>34</v>
      </c>
      <c r="V45" s="44" t="str">
        <f t="shared" si="6"/>
        <v>343</v>
      </c>
      <c r="W45" s="44"/>
      <c r="X45" s="60" t="s">
        <v>728</v>
      </c>
      <c r="Y45" s="60" t="s">
        <v>715</v>
      </c>
      <c r="Z45" s="44"/>
    </row>
    <row r="46" spans="1:26" ht="15.75" customHeight="1">
      <c r="A46" s="54" t="str">
        <f>IF(C46="","",VLOOKUP('Opći dio'!$C$3,'Opći dio'!$L$6:$U$137,10,FALSE))</f>
        <v>08006</v>
      </c>
      <c r="B46" s="54" t="str">
        <f>IF(C46="","",VLOOKUP('Opći dio'!$C$3,'Opći dio'!$L$6:$U$137,9,FALSE))</f>
        <v>Sveučilišta i veleučilišta u Republici Hrvatskoj</v>
      </c>
      <c r="C46" s="71">
        <v>31</v>
      </c>
      <c r="D46" s="66" t="str">
        <f t="shared" si="0"/>
        <v>Vlastiti prihodi</v>
      </c>
      <c r="E46" s="71">
        <v>3721</v>
      </c>
      <c r="F46" s="66" t="str">
        <f t="shared" si="1"/>
        <v>Naknade građanima i kućanstvima u novcu</v>
      </c>
      <c r="G46" s="71" t="s">
        <v>649</v>
      </c>
      <c r="H46" s="66" t="str">
        <f t="shared" si="2"/>
        <v>REDOVNA DJELATNOST SVEUČILIŠTA U ZAGREBU (IZ EVIDENCIJSKIH PRIHODA)</v>
      </c>
      <c r="I46" s="59">
        <v>75000</v>
      </c>
      <c r="J46" s="59">
        <f t="shared" ref="J46:K46" si="32">(I46*1%)+I46</f>
        <v>75750</v>
      </c>
      <c r="K46" s="59">
        <f t="shared" si="32"/>
        <v>76507.5</v>
      </c>
      <c r="L46" s="44"/>
      <c r="M46" s="44" t="str">
        <f t="shared" si="3"/>
        <v>372</v>
      </c>
      <c r="N46" s="44" t="str">
        <f t="shared" si="4"/>
        <v>37</v>
      </c>
      <c r="O46" s="44"/>
      <c r="P46" s="44"/>
      <c r="Q46" s="44"/>
      <c r="R46" s="44">
        <v>3433</v>
      </c>
      <c r="S46" s="44" t="s">
        <v>729</v>
      </c>
      <c r="T46" s="44"/>
      <c r="U46" s="44" t="str">
        <f t="shared" si="5"/>
        <v>34</v>
      </c>
      <c r="V46" s="44" t="str">
        <f t="shared" si="6"/>
        <v>343</v>
      </c>
      <c r="W46" s="44"/>
      <c r="X46" s="60" t="s">
        <v>730</v>
      </c>
      <c r="Y46" s="60" t="s">
        <v>731</v>
      </c>
      <c r="Z46" s="44"/>
    </row>
    <row r="47" spans="1:26" ht="15.75" customHeight="1">
      <c r="A47" s="54" t="str">
        <f>IF(C47="","",VLOOKUP('Opći dio'!$C$3,'Opći dio'!$L$6:$U$137,10,FALSE))</f>
        <v>08006</v>
      </c>
      <c r="B47" s="54" t="str">
        <f>IF(C47="","",VLOOKUP('Opći dio'!$C$3,'Opći dio'!$L$6:$U$137,9,FALSE))</f>
        <v>Sveučilišta i veleučilišta u Republici Hrvatskoj</v>
      </c>
      <c r="C47" s="71">
        <v>31</v>
      </c>
      <c r="D47" s="66" t="str">
        <f t="shared" si="0"/>
        <v>Vlastiti prihodi</v>
      </c>
      <c r="E47" s="71">
        <v>4124</v>
      </c>
      <c r="F47" s="66" t="str">
        <f t="shared" si="1"/>
        <v>Ostala prava</v>
      </c>
      <c r="G47" s="71" t="s">
        <v>649</v>
      </c>
      <c r="H47" s="66" t="str">
        <f t="shared" si="2"/>
        <v>REDOVNA DJELATNOST SVEUČILIŠTA U ZAGREBU (IZ EVIDENCIJSKIH PRIHODA)</v>
      </c>
      <c r="I47" s="59">
        <v>10000</v>
      </c>
      <c r="J47" s="59">
        <f t="shared" ref="J47:K47" si="33">(I47*1%)+I47</f>
        <v>10100</v>
      </c>
      <c r="K47" s="59">
        <f t="shared" si="33"/>
        <v>10201</v>
      </c>
      <c r="L47" s="44"/>
      <c r="M47" s="44" t="str">
        <f t="shared" si="3"/>
        <v>412</v>
      </c>
      <c r="N47" s="44" t="str">
        <f t="shared" si="4"/>
        <v>41</v>
      </c>
      <c r="O47" s="44"/>
      <c r="P47" s="44"/>
      <c r="Q47" s="44"/>
      <c r="R47" s="44">
        <v>3434</v>
      </c>
      <c r="S47" s="44" t="s">
        <v>732</v>
      </c>
      <c r="T47" s="44"/>
      <c r="U47" s="44" t="str">
        <f t="shared" si="5"/>
        <v>34</v>
      </c>
      <c r="V47" s="44" t="str">
        <f t="shared" si="6"/>
        <v>343</v>
      </c>
      <c r="W47" s="44"/>
      <c r="X47" s="60" t="s">
        <v>733</v>
      </c>
      <c r="Y47" s="60" t="s">
        <v>734</v>
      </c>
      <c r="Z47" s="44"/>
    </row>
    <row r="48" spans="1:26" ht="15.75" customHeight="1">
      <c r="A48" s="54" t="str">
        <f>IF(C48="","",VLOOKUP('Opći dio'!$C$3,'Opći dio'!$L$6:$U$137,10,FALSE))</f>
        <v>08006</v>
      </c>
      <c r="B48" s="54" t="str">
        <f>IF(C48="","",VLOOKUP('Opći dio'!$C$3,'Opći dio'!$L$6:$U$137,9,FALSE))</f>
        <v>Sveučilišta i veleučilišta u Republici Hrvatskoj</v>
      </c>
      <c r="C48" s="71">
        <v>31</v>
      </c>
      <c r="D48" s="66" t="str">
        <f t="shared" si="0"/>
        <v>Vlastiti prihodi</v>
      </c>
      <c r="E48" s="71">
        <v>4212</v>
      </c>
      <c r="F48" s="66" t="str">
        <f t="shared" si="1"/>
        <v>Poslovni objekti</v>
      </c>
      <c r="G48" s="71" t="s">
        <v>649</v>
      </c>
      <c r="H48" s="66" t="str">
        <f t="shared" si="2"/>
        <v>REDOVNA DJELATNOST SVEUČILIŠTA U ZAGREBU (IZ EVIDENCIJSKIH PRIHODA)</v>
      </c>
      <c r="I48" s="59">
        <v>500000</v>
      </c>
      <c r="J48" s="59">
        <f t="shared" ref="J48:K48" si="34">(I48*1%)+I48</f>
        <v>505000</v>
      </c>
      <c r="K48" s="59">
        <f t="shared" si="34"/>
        <v>510050</v>
      </c>
      <c r="L48" s="44"/>
      <c r="M48" s="44" t="str">
        <f t="shared" si="3"/>
        <v>421</v>
      </c>
      <c r="N48" s="44" t="str">
        <f t="shared" si="4"/>
        <v>42</v>
      </c>
      <c r="O48" s="44"/>
      <c r="P48" s="44"/>
      <c r="Q48" s="44"/>
      <c r="R48" s="44">
        <v>3511</v>
      </c>
      <c r="S48" s="44" t="s">
        <v>735</v>
      </c>
      <c r="T48" s="44"/>
      <c r="U48" s="44" t="str">
        <f t="shared" si="5"/>
        <v>35</v>
      </c>
      <c r="V48" s="44" t="str">
        <f t="shared" si="6"/>
        <v>351</v>
      </c>
      <c r="W48" s="44"/>
      <c r="X48" s="60" t="s">
        <v>736</v>
      </c>
      <c r="Y48" s="60" t="s">
        <v>737</v>
      </c>
      <c r="Z48" s="44"/>
    </row>
    <row r="49" spans="1:26" ht="15.75" customHeight="1">
      <c r="A49" s="54" t="str">
        <f>IF(C49="","",VLOOKUP('Opći dio'!$C$3,'Opći dio'!$L$6:$U$137,10,FALSE))</f>
        <v>08006</v>
      </c>
      <c r="B49" s="54" t="str">
        <f>IF(C49="","",VLOOKUP('Opći dio'!$C$3,'Opći dio'!$L$6:$U$137,9,FALSE))</f>
        <v>Sveučilišta i veleučilišta u Republici Hrvatskoj</v>
      </c>
      <c r="C49" s="71">
        <v>31</v>
      </c>
      <c r="D49" s="66" t="str">
        <f t="shared" si="0"/>
        <v>Vlastiti prihodi</v>
      </c>
      <c r="E49" s="71">
        <v>4221</v>
      </c>
      <c r="F49" s="66" t="str">
        <f t="shared" si="1"/>
        <v>Uredska oprema i namještaj</v>
      </c>
      <c r="G49" s="71" t="s">
        <v>649</v>
      </c>
      <c r="H49" s="66" t="str">
        <f t="shared" si="2"/>
        <v>REDOVNA DJELATNOST SVEUČILIŠTA U ZAGREBU (IZ EVIDENCIJSKIH PRIHODA)</v>
      </c>
      <c r="I49" s="59">
        <v>66663</v>
      </c>
      <c r="J49" s="59">
        <v>227300</v>
      </c>
      <c r="K49" s="59">
        <f>(J49*1%)+J49</f>
        <v>229573</v>
      </c>
      <c r="L49" s="44"/>
      <c r="M49" s="44" t="str">
        <f t="shared" si="3"/>
        <v>422</v>
      </c>
      <c r="N49" s="44" t="str">
        <f t="shared" si="4"/>
        <v>42</v>
      </c>
      <c r="O49" s="44"/>
      <c r="P49" s="44"/>
      <c r="Q49" s="44"/>
      <c r="R49" s="44">
        <v>3512</v>
      </c>
      <c r="S49" s="44" t="s">
        <v>738</v>
      </c>
      <c r="T49" s="44"/>
      <c r="U49" s="44" t="str">
        <f t="shared" si="5"/>
        <v>35</v>
      </c>
      <c r="V49" s="44" t="str">
        <f t="shared" si="6"/>
        <v>351</v>
      </c>
      <c r="W49" s="44"/>
      <c r="X49" s="60" t="s">
        <v>739</v>
      </c>
      <c r="Y49" s="60" t="s">
        <v>740</v>
      </c>
      <c r="Z49" s="44"/>
    </row>
    <row r="50" spans="1:26" ht="15.75" customHeight="1">
      <c r="A50" s="54" t="str">
        <f>IF(C50="","",VLOOKUP('Opći dio'!$C$3,'Opći dio'!$L$6:$U$137,10,FALSE))</f>
        <v>08006</v>
      </c>
      <c r="B50" s="54" t="str">
        <f>IF(C50="","",VLOOKUP('Opći dio'!$C$3,'Opći dio'!$L$6:$U$137,9,FALSE))</f>
        <v>Sveučilišta i veleučilišta u Republici Hrvatskoj</v>
      </c>
      <c r="C50" s="71">
        <v>31</v>
      </c>
      <c r="D50" s="66" t="str">
        <f t="shared" si="0"/>
        <v>Vlastiti prihodi</v>
      </c>
      <c r="E50" s="71">
        <v>4222</v>
      </c>
      <c r="F50" s="66" t="str">
        <f>'[1]Plan rashoda za unos u SAP'!$F$89</f>
        <v>Komunikacijska oprema</v>
      </c>
      <c r="G50" s="71" t="s">
        <v>649</v>
      </c>
      <c r="H50" s="66" t="str">
        <f t="shared" si="2"/>
        <v>REDOVNA DJELATNOST SVEUČILIŠTA U ZAGREBU (IZ EVIDENCIJSKIH PRIHODA)</v>
      </c>
      <c r="I50" s="59">
        <v>10000</v>
      </c>
      <c r="J50" s="59">
        <f t="shared" ref="J50:K50" si="35">(I50*1%)+I50</f>
        <v>10100</v>
      </c>
      <c r="K50" s="59">
        <f t="shared" si="35"/>
        <v>10201</v>
      </c>
      <c r="L50" s="44"/>
      <c r="M50" s="44" t="str">
        <f t="shared" si="3"/>
        <v>422</v>
      </c>
      <c r="N50" s="44" t="str">
        <f t="shared" si="4"/>
        <v>42</v>
      </c>
      <c r="O50" s="44"/>
      <c r="P50" s="44"/>
      <c r="Q50" s="44"/>
      <c r="R50" s="44">
        <v>3522</v>
      </c>
      <c r="S50" s="44" t="s">
        <v>741</v>
      </c>
      <c r="T50" s="44"/>
      <c r="U50" s="44" t="str">
        <f t="shared" si="5"/>
        <v>35</v>
      </c>
      <c r="V50" s="44" t="str">
        <f t="shared" si="6"/>
        <v>352</v>
      </c>
      <c r="W50" s="44"/>
      <c r="X50" s="60" t="s">
        <v>742</v>
      </c>
      <c r="Y50" s="60" t="s">
        <v>743</v>
      </c>
      <c r="Z50" s="44"/>
    </row>
    <row r="51" spans="1:26" ht="15.75" customHeight="1">
      <c r="A51" s="54" t="str">
        <f>IF(C51="","",VLOOKUP('Opći dio'!$C$3,'Opći dio'!$L$6:$U$137,10,FALSE))</f>
        <v>08006</v>
      </c>
      <c r="B51" s="54" t="str">
        <f>IF(C51="","",VLOOKUP('Opći dio'!$C$3,'Opći dio'!$L$6:$U$137,9,FALSE))</f>
        <v>Sveučilišta i veleučilišta u Republici Hrvatskoj</v>
      </c>
      <c r="C51" s="71">
        <v>31</v>
      </c>
      <c r="D51" s="66" t="str">
        <f t="shared" si="0"/>
        <v>Vlastiti prihodi</v>
      </c>
      <c r="E51" s="71">
        <v>4223</v>
      </c>
      <c r="F51" s="66" t="str">
        <f>'[1]Plan rashoda za unos u SAP'!$F$90</f>
        <v>Oprema za održavanje i zaštitu</v>
      </c>
      <c r="G51" s="71" t="s">
        <v>649</v>
      </c>
      <c r="H51" s="66" t="str">
        <f t="shared" si="2"/>
        <v>REDOVNA DJELATNOST SVEUČILIŠTA U ZAGREBU (IZ EVIDENCIJSKIH PRIHODA)</v>
      </c>
      <c r="I51" s="59">
        <v>46470</v>
      </c>
      <c r="J51" s="59">
        <f t="shared" ref="J51:K51" si="36">(I51*1%)+I51</f>
        <v>46934.7</v>
      </c>
      <c r="K51" s="59">
        <f t="shared" si="36"/>
        <v>47404.046999999999</v>
      </c>
      <c r="L51" s="44"/>
      <c r="M51" s="44" t="str">
        <f t="shared" si="3"/>
        <v>422</v>
      </c>
      <c r="N51" s="44" t="str">
        <f t="shared" si="4"/>
        <v>42</v>
      </c>
      <c r="O51" s="44"/>
      <c r="P51" s="44"/>
      <c r="Q51" s="44"/>
      <c r="R51" s="44">
        <v>3531</v>
      </c>
      <c r="S51" s="44" t="s">
        <v>744</v>
      </c>
      <c r="T51" s="44"/>
      <c r="U51" s="44" t="str">
        <f t="shared" si="5"/>
        <v>35</v>
      </c>
      <c r="V51" s="44" t="str">
        <f t="shared" si="6"/>
        <v>353</v>
      </c>
      <c r="W51" s="44"/>
      <c r="X51" s="60" t="s">
        <v>745</v>
      </c>
      <c r="Y51" s="60" t="s">
        <v>746</v>
      </c>
      <c r="Z51" s="44"/>
    </row>
    <row r="52" spans="1:26" ht="15.75" customHeight="1">
      <c r="A52" s="54" t="str">
        <f>IF(C52="","",VLOOKUP('Opći dio'!$C$3,'Opći dio'!$L$6:$U$137,10,FALSE))</f>
        <v>08006</v>
      </c>
      <c r="B52" s="54" t="str">
        <f>IF(C52="","",VLOOKUP('Opći dio'!$C$3,'Opći dio'!$L$6:$U$137,9,FALSE))</f>
        <v>Sveučilišta i veleučilišta u Republici Hrvatskoj</v>
      </c>
      <c r="C52" s="71">
        <v>31</v>
      </c>
      <c r="D52" s="66" t="str">
        <f t="shared" si="0"/>
        <v>Vlastiti prihodi</v>
      </c>
      <c r="E52" s="71">
        <v>4224</v>
      </c>
      <c r="F52" s="66" t="str">
        <f>'[1]Plan rashoda za unos u SAP'!F91</f>
        <v>Medicinska i laboratorijska oprema</v>
      </c>
      <c r="G52" s="71" t="s">
        <v>649</v>
      </c>
      <c r="H52" s="66" t="str">
        <f t="shared" si="2"/>
        <v>REDOVNA DJELATNOST SVEUČILIŠTA U ZAGREBU (IZ EVIDENCIJSKIH PRIHODA)</v>
      </c>
      <c r="I52" s="59">
        <v>278134</v>
      </c>
      <c r="J52" s="59">
        <f t="shared" ref="J52:K52" si="37">(I52*1%)+I52</f>
        <v>280915.34000000003</v>
      </c>
      <c r="K52" s="59">
        <f t="shared" si="37"/>
        <v>283724.49340000004</v>
      </c>
      <c r="L52" s="44"/>
      <c r="M52" s="44" t="str">
        <f t="shared" si="3"/>
        <v>422</v>
      </c>
      <c r="N52" s="44" t="str">
        <f t="shared" si="4"/>
        <v>42</v>
      </c>
      <c r="O52" s="44"/>
      <c r="P52" s="44"/>
      <c r="Q52" s="44"/>
      <c r="R52" s="44">
        <v>3611</v>
      </c>
      <c r="S52" s="44" t="s">
        <v>747</v>
      </c>
      <c r="T52" s="44"/>
      <c r="U52" s="44" t="str">
        <f t="shared" si="5"/>
        <v>36</v>
      </c>
      <c r="V52" s="44" t="str">
        <f t="shared" si="6"/>
        <v>361</v>
      </c>
      <c r="W52" s="44"/>
      <c r="X52" s="60" t="s">
        <v>748</v>
      </c>
      <c r="Y52" s="60" t="s">
        <v>749</v>
      </c>
      <c r="Z52" s="44"/>
    </row>
    <row r="53" spans="1:26" ht="15.75" customHeight="1">
      <c r="A53" s="54" t="str">
        <f>IF(C53="","",VLOOKUP('Opći dio'!$C$3,'Opći dio'!$L$6:$U$137,10,FALSE))</f>
        <v>08006</v>
      </c>
      <c r="B53" s="54" t="str">
        <f>IF(C53="","",VLOOKUP('Opći dio'!$C$3,'Opći dio'!$L$6:$U$137,9,FALSE))</f>
        <v>Sveučilišta i veleučilišta u Republici Hrvatskoj</v>
      </c>
      <c r="C53" s="71">
        <v>31</v>
      </c>
      <c r="D53" s="66" t="str">
        <f t="shared" si="0"/>
        <v>Vlastiti prihodi</v>
      </c>
      <c r="E53" s="71">
        <v>4225</v>
      </c>
      <c r="F53" s="66" t="str">
        <f>'[1]Plan rashoda za unos u SAP'!F92</f>
        <v>Instrumenti, uređaji i strojevi</v>
      </c>
      <c r="G53" s="71" t="s">
        <v>649</v>
      </c>
      <c r="H53" s="66" t="str">
        <f t="shared" si="2"/>
        <v>REDOVNA DJELATNOST SVEUČILIŠTA U ZAGREBU (IZ EVIDENCIJSKIH PRIHODA)</v>
      </c>
      <c r="I53" s="59">
        <v>75520</v>
      </c>
      <c r="J53" s="59">
        <f t="shared" ref="J53:K53" si="38">(I53*1%)+I53</f>
        <v>76275.199999999997</v>
      </c>
      <c r="K53" s="59">
        <f t="shared" si="38"/>
        <v>77037.95199999999</v>
      </c>
      <c r="L53" s="44"/>
      <c r="M53" s="44" t="str">
        <f t="shared" si="3"/>
        <v>422</v>
      </c>
      <c r="N53" s="44" t="str">
        <f t="shared" si="4"/>
        <v>42</v>
      </c>
      <c r="O53" s="44"/>
      <c r="P53" s="44"/>
      <c r="Q53" s="44"/>
      <c r="R53" s="44">
        <v>3621</v>
      </c>
      <c r="S53" s="44" t="s">
        <v>750</v>
      </c>
      <c r="T53" s="44"/>
      <c r="U53" s="44" t="str">
        <f t="shared" si="5"/>
        <v>36</v>
      </c>
      <c r="V53" s="44" t="str">
        <f t="shared" si="6"/>
        <v>362</v>
      </c>
      <c r="W53" s="44"/>
      <c r="X53" s="60" t="s">
        <v>751</v>
      </c>
      <c r="Y53" s="60" t="s">
        <v>752</v>
      </c>
      <c r="Z53" s="44"/>
    </row>
    <row r="54" spans="1:26" ht="15.75" customHeight="1">
      <c r="A54" s="54" t="str">
        <f>IF(C54="","",VLOOKUP('Opći dio'!$C$3,'Opći dio'!$L$6:$U$137,10,FALSE))</f>
        <v>08006</v>
      </c>
      <c r="B54" s="54" t="str">
        <f>IF(C54="","",VLOOKUP('Opći dio'!$C$3,'Opći dio'!$L$6:$U$137,9,FALSE))</f>
        <v>Sveučilišta i veleučilišta u Republici Hrvatskoj</v>
      </c>
      <c r="C54" s="71">
        <v>31</v>
      </c>
      <c r="D54" s="66" t="str">
        <f t="shared" si="0"/>
        <v>Vlastiti prihodi</v>
      </c>
      <c r="E54" s="71">
        <v>4241</v>
      </c>
      <c r="F54" s="66" t="str">
        <f>'[1]Plan rashoda za unos u SAP'!F93</f>
        <v>Knjige</v>
      </c>
      <c r="G54" s="71" t="s">
        <v>649</v>
      </c>
      <c r="H54" s="66" t="str">
        <f t="shared" si="2"/>
        <v>REDOVNA DJELATNOST SVEUČILIŠTA U ZAGREBU (IZ EVIDENCIJSKIH PRIHODA)</v>
      </c>
      <c r="I54" s="59">
        <v>14283</v>
      </c>
      <c r="J54" s="59">
        <f t="shared" ref="J54:K54" si="39">(I54*1%)+I54</f>
        <v>14425.83</v>
      </c>
      <c r="K54" s="59">
        <f t="shared" si="39"/>
        <v>14570.088299999999</v>
      </c>
      <c r="L54" s="44"/>
      <c r="M54" s="44" t="str">
        <f t="shared" si="3"/>
        <v>424</v>
      </c>
      <c r="N54" s="44" t="str">
        <f t="shared" si="4"/>
        <v>42</v>
      </c>
      <c r="O54" s="44"/>
      <c r="P54" s="44"/>
      <c r="Q54" s="44"/>
      <c r="R54" s="44">
        <v>3631</v>
      </c>
      <c r="S54" s="44" t="s">
        <v>753</v>
      </c>
      <c r="T54" s="44"/>
      <c r="U54" s="44" t="str">
        <f t="shared" si="5"/>
        <v>36</v>
      </c>
      <c r="V54" s="44" t="str">
        <f t="shared" si="6"/>
        <v>363</v>
      </c>
      <c r="W54" s="44"/>
      <c r="X54" s="60" t="s">
        <v>754</v>
      </c>
      <c r="Y54" s="60" t="s">
        <v>755</v>
      </c>
      <c r="Z54" s="44"/>
    </row>
    <row r="55" spans="1:26" ht="15.75" customHeight="1">
      <c r="A55" s="54" t="str">
        <f>IF(C55="","",VLOOKUP('Opći dio'!$C$3,'Opći dio'!$L$6:$U$137,10,FALSE))</f>
        <v>08006</v>
      </c>
      <c r="B55" s="54" t="str">
        <f>IF(C55="","",VLOOKUP('Opći dio'!$C$3,'Opći dio'!$L$6:$U$137,9,FALSE))</f>
        <v>Sveučilišta i veleučilišta u Republici Hrvatskoj</v>
      </c>
      <c r="C55" s="71">
        <v>31</v>
      </c>
      <c r="D55" s="66" t="str">
        <f t="shared" si="0"/>
        <v>Vlastiti prihodi</v>
      </c>
      <c r="E55" s="71">
        <v>4541</v>
      </c>
      <c r="F55" s="66" t="str">
        <f t="shared" ref="F55:F88" si="40">IFERROR(VLOOKUP(E55,$R$5:$T$109,2,FALSE),"")</f>
        <v>Dodatna ulaganja za ostalu nefinancijsku imovinu</v>
      </c>
      <c r="G55" s="71" t="s">
        <v>649</v>
      </c>
      <c r="H55" s="66" t="str">
        <f t="shared" si="2"/>
        <v>REDOVNA DJELATNOST SVEUČILIŠTA U ZAGREBU (IZ EVIDENCIJSKIH PRIHODA)</v>
      </c>
      <c r="I55" s="59">
        <v>100000</v>
      </c>
      <c r="J55" s="59">
        <f t="shared" ref="J55:K55" si="41">(I55*1%)+I55</f>
        <v>101000</v>
      </c>
      <c r="K55" s="59">
        <f t="shared" si="41"/>
        <v>102010</v>
      </c>
      <c r="L55" s="44"/>
      <c r="M55" s="44" t="str">
        <f t="shared" si="3"/>
        <v>454</v>
      </c>
      <c r="N55" s="44" t="str">
        <f t="shared" si="4"/>
        <v>45</v>
      </c>
      <c r="O55" s="44"/>
      <c r="P55" s="44"/>
      <c r="Q55" s="44"/>
      <c r="R55" s="44">
        <v>3632</v>
      </c>
      <c r="S55" s="44" t="s">
        <v>756</v>
      </c>
      <c r="T55" s="44"/>
      <c r="U55" s="44" t="str">
        <f t="shared" si="5"/>
        <v>36</v>
      </c>
      <c r="V55" s="44" t="str">
        <f t="shared" si="6"/>
        <v>363</v>
      </c>
      <c r="W55" s="44"/>
      <c r="X55" s="60" t="s">
        <v>757</v>
      </c>
      <c r="Y55" s="60" t="s">
        <v>758</v>
      </c>
      <c r="Z55" s="44"/>
    </row>
    <row r="56" spans="1:26" ht="15.75" customHeight="1">
      <c r="A56" s="66" t="str">
        <f>IF(C56="","",VLOOKUP('Opći dio'!$C$3,'Opći dio'!$L$6:$U$137,10,FALSE))</f>
        <v/>
      </c>
      <c r="B56" s="66" t="str">
        <f>IF(C56="","",VLOOKUP('Opći dio'!$C$3,'Opći dio'!$L$6:$U$137,9,FALSE))</f>
        <v/>
      </c>
      <c r="C56" s="71"/>
      <c r="D56" s="66" t="str">
        <f t="shared" si="0"/>
        <v/>
      </c>
      <c r="E56" s="71"/>
      <c r="F56" s="66" t="str">
        <f t="shared" si="40"/>
        <v/>
      </c>
      <c r="G56" s="71"/>
      <c r="H56" s="66" t="str">
        <f t="shared" si="2"/>
        <v/>
      </c>
      <c r="I56" s="59"/>
      <c r="J56" s="59"/>
      <c r="K56" s="59"/>
      <c r="L56" s="44"/>
      <c r="M56" s="44" t="str">
        <f t="shared" si="3"/>
        <v/>
      </c>
      <c r="N56" s="44" t="str">
        <f t="shared" si="4"/>
        <v/>
      </c>
      <c r="O56" s="44"/>
      <c r="P56" s="44"/>
      <c r="Q56" s="44"/>
      <c r="R56" s="44">
        <v>3661</v>
      </c>
      <c r="S56" s="44" t="s">
        <v>759</v>
      </c>
      <c r="T56" s="44"/>
      <c r="U56" s="44" t="str">
        <f t="shared" si="5"/>
        <v>36</v>
      </c>
      <c r="V56" s="44" t="str">
        <f t="shared" si="6"/>
        <v>366</v>
      </c>
      <c r="W56" s="44"/>
      <c r="X56" s="60" t="s">
        <v>760</v>
      </c>
      <c r="Y56" s="60" t="s">
        <v>761</v>
      </c>
      <c r="Z56" s="44"/>
    </row>
    <row r="57" spans="1:26" ht="15.75" customHeight="1">
      <c r="A57" s="54" t="str">
        <f>IF(C57="","",VLOOKUP('Opći dio'!$C$3,'Opći dio'!$L$6:$U$137,10,FALSE))</f>
        <v>08006</v>
      </c>
      <c r="B57" s="54" t="str">
        <f>IF(C57="","",VLOOKUP('Opći dio'!$C$3,'Opći dio'!$L$6:$U$137,9,FALSE))</f>
        <v>Sveučilišta i veleučilišta u Republici Hrvatskoj</v>
      </c>
      <c r="C57" s="71">
        <v>43</v>
      </c>
      <c r="D57" s="66" t="str">
        <f t="shared" si="0"/>
        <v>Ostali prihodi za posebne namjene</v>
      </c>
      <c r="E57" s="71">
        <v>3111</v>
      </c>
      <c r="F57" s="66" t="str">
        <f t="shared" si="40"/>
        <v>Plaće za redovan rad</v>
      </c>
      <c r="G57" s="71" t="s">
        <v>649</v>
      </c>
      <c r="H57" s="66" t="str">
        <f t="shared" si="2"/>
        <v>REDOVNA DJELATNOST SVEUČILIŠTA U ZAGREBU (IZ EVIDENCIJSKIH PRIHODA)</v>
      </c>
      <c r="I57" s="221">
        <v>8650068</v>
      </c>
      <c r="J57" s="220">
        <v>10143994.050000001</v>
      </c>
      <c r="K57" s="220">
        <v>10471700.770500001</v>
      </c>
      <c r="L57" s="44"/>
      <c r="M57" s="44" t="str">
        <f t="shared" si="3"/>
        <v>311</v>
      </c>
      <c r="N57" s="44" t="str">
        <f t="shared" si="4"/>
        <v>31</v>
      </c>
      <c r="O57" s="44"/>
      <c r="P57" s="44"/>
      <c r="Q57" s="44"/>
      <c r="R57" s="44">
        <v>3662</v>
      </c>
      <c r="S57" s="44" t="s">
        <v>762</v>
      </c>
      <c r="T57" s="44"/>
      <c r="U57" s="44" t="str">
        <f t="shared" si="5"/>
        <v>36</v>
      </c>
      <c r="V57" s="44" t="str">
        <f t="shared" si="6"/>
        <v>366</v>
      </c>
      <c r="W57" s="44"/>
      <c r="X57" s="60" t="s">
        <v>763</v>
      </c>
      <c r="Y57" s="60" t="s">
        <v>764</v>
      </c>
      <c r="Z57" s="44"/>
    </row>
    <row r="58" spans="1:26" ht="15.75" customHeight="1">
      <c r="A58" s="54" t="str">
        <f>IF(C58="","",VLOOKUP('Opći dio'!$C$3,'Opći dio'!$L$6:$U$137,10,FALSE))</f>
        <v>08006</v>
      </c>
      <c r="B58" s="54" t="str">
        <f>IF(C58="","",VLOOKUP('Opći dio'!$C$3,'Opći dio'!$L$6:$U$137,9,FALSE))</f>
        <v>Sveučilišta i veleučilišta u Republici Hrvatskoj</v>
      </c>
      <c r="C58" s="71">
        <v>43</v>
      </c>
      <c r="D58" s="66" t="str">
        <f t="shared" si="0"/>
        <v>Ostali prihodi za posebne namjene</v>
      </c>
      <c r="E58" s="71">
        <v>3114</v>
      </c>
      <c r="F58" s="66" t="str">
        <f t="shared" si="40"/>
        <v>Plaće za posebne uvjete rada</v>
      </c>
      <c r="G58" s="71" t="s">
        <v>649</v>
      </c>
      <c r="H58" s="66" t="str">
        <f t="shared" si="2"/>
        <v>REDOVNA DJELATNOST SVEUČILIŠTA U ZAGREBU (IZ EVIDENCIJSKIH PRIHODA)</v>
      </c>
      <c r="I58" s="220">
        <v>16031.045</v>
      </c>
      <c r="J58" s="220">
        <v>18718.330000000002</v>
      </c>
      <c r="K58" s="220">
        <v>18905.513300000002</v>
      </c>
      <c r="L58" s="44"/>
      <c r="M58" s="44" t="str">
        <f t="shared" si="3"/>
        <v>311</v>
      </c>
      <c r="N58" s="44" t="str">
        <f t="shared" si="4"/>
        <v>31</v>
      </c>
      <c r="O58" s="44"/>
      <c r="P58" s="44"/>
      <c r="Q58" s="44"/>
      <c r="R58" s="44">
        <v>3681</v>
      </c>
      <c r="S58" s="44" t="s">
        <v>765</v>
      </c>
      <c r="T58" s="44"/>
      <c r="U58" s="44" t="str">
        <f t="shared" si="5"/>
        <v>36</v>
      </c>
      <c r="V58" s="44" t="str">
        <f t="shared" si="6"/>
        <v>368</v>
      </c>
      <c r="W58" s="44"/>
      <c r="X58" s="60" t="s">
        <v>766</v>
      </c>
      <c r="Y58" s="60" t="s">
        <v>767</v>
      </c>
      <c r="Z58" s="44"/>
    </row>
    <row r="59" spans="1:26" ht="15.75" customHeight="1">
      <c r="A59" s="54" t="str">
        <f>IF(C59="","",VLOOKUP('Opći dio'!$C$3,'Opći dio'!$L$6:$U$137,10,FALSE))</f>
        <v>08006</v>
      </c>
      <c r="B59" s="54" t="str">
        <f>IF(C59="","",VLOOKUP('Opći dio'!$C$3,'Opći dio'!$L$6:$U$137,9,FALSE))</f>
        <v>Sveučilišta i veleučilišta u Republici Hrvatskoj</v>
      </c>
      <c r="C59" s="71">
        <v>43</v>
      </c>
      <c r="D59" s="66" t="str">
        <f t="shared" si="0"/>
        <v>Ostali prihodi za posebne namjene</v>
      </c>
      <c r="E59" s="71">
        <v>3121</v>
      </c>
      <c r="F59" s="66" t="str">
        <f t="shared" si="40"/>
        <v>Ostali rashodi za zaposlene</v>
      </c>
      <c r="G59" s="71" t="s">
        <v>649</v>
      </c>
      <c r="H59" s="66" t="str">
        <f t="shared" si="2"/>
        <v>REDOVNA DJELATNOST SVEUČILIŠTA U ZAGREBU (IZ EVIDENCIJSKIH PRIHODA)</v>
      </c>
      <c r="I59" s="220">
        <v>20550.669999999998</v>
      </c>
      <c r="J59" s="220">
        <v>35671.815999999992</v>
      </c>
      <c r="K59" s="220">
        <v>46485.771121600003</v>
      </c>
      <c r="L59" s="44"/>
      <c r="M59" s="44" t="str">
        <f t="shared" si="3"/>
        <v>312</v>
      </c>
      <c r="N59" s="44" t="str">
        <f t="shared" si="4"/>
        <v>31</v>
      </c>
      <c r="O59" s="44"/>
      <c r="P59" s="44"/>
      <c r="Q59" s="44"/>
      <c r="R59" s="44">
        <v>3682</v>
      </c>
      <c r="S59" s="44" t="s">
        <v>768</v>
      </c>
      <c r="T59" s="44"/>
      <c r="U59" s="44" t="str">
        <f t="shared" si="5"/>
        <v>36</v>
      </c>
      <c r="V59" s="44" t="str">
        <f t="shared" si="6"/>
        <v>368</v>
      </c>
      <c r="W59" s="44"/>
      <c r="X59" s="60" t="s">
        <v>769</v>
      </c>
      <c r="Y59" s="60" t="s">
        <v>770</v>
      </c>
      <c r="Z59" s="44"/>
    </row>
    <row r="60" spans="1:26" ht="15.75" customHeight="1">
      <c r="A60" s="54" t="str">
        <f>IF(C60="","",VLOOKUP('Opći dio'!$C$3,'Opći dio'!$L$6:$U$137,10,FALSE))</f>
        <v>08006</v>
      </c>
      <c r="B60" s="54" t="str">
        <f>IF(C60="","",VLOOKUP('Opći dio'!$C$3,'Opći dio'!$L$6:$U$137,9,FALSE))</f>
        <v>Sveučilišta i veleučilišta u Republici Hrvatskoj</v>
      </c>
      <c r="C60" s="71">
        <v>43</v>
      </c>
      <c r="D60" s="66" t="str">
        <f t="shared" si="0"/>
        <v>Ostali prihodi za posebne namjene</v>
      </c>
      <c r="E60" s="71">
        <v>3132</v>
      </c>
      <c r="F60" s="66" t="str">
        <f t="shared" si="40"/>
        <v>Doprinosi za obvezno zdravstveno osiguranje</v>
      </c>
      <c r="G60" s="71" t="s">
        <v>649</v>
      </c>
      <c r="H60" s="66" t="str">
        <f t="shared" si="2"/>
        <v>REDOVNA DJELATNOST SVEUČILIŠTA U ZAGREBU (IZ EVIDENCIJSKIH PRIHODA)</v>
      </c>
      <c r="I60" s="220">
        <v>1378265.05</v>
      </c>
      <c r="J60" s="220">
        <v>1703160.0912000001</v>
      </c>
      <c r="K60" s="220">
        <v>1804249.47607072</v>
      </c>
      <c r="L60" s="44"/>
      <c r="M60" s="44" t="str">
        <f t="shared" si="3"/>
        <v>313</v>
      </c>
      <c r="N60" s="44" t="str">
        <f t="shared" si="4"/>
        <v>31</v>
      </c>
      <c r="O60" s="44"/>
      <c r="P60" s="44"/>
      <c r="Q60" s="44"/>
      <c r="R60" s="44">
        <v>3691</v>
      </c>
      <c r="S60" s="44" t="s">
        <v>771</v>
      </c>
      <c r="T60" s="44"/>
      <c r="U60" s="44" t="str">
        <f t="shared" si="5"/>
        <v>36</v>
      </c>
      <c r="V60" s="44" t="str">
        <f t="shared" si="6"/>
        <v>369</v>
      </c>
      <c r="W60" s="44"/>
      <c r="X60" s="60" t="s">
        <v>772</v>
      </c>
      <c r="Y60" s="60" t="s">
        <v>773</v>
      </c>
      <c r="Z60" s="44"/>
    </row>
    <row r="61" spans="1:26" ht="15.75" customHeight="1">
      <c r="A61" s="54" t="str">
        <f>IF(C61="","",VLOOKUP('Opći dio'!$C$3,'Opći dio'!$L$6:$U$137,10,FALSE))</f>
        <v>08006</v>
      </c>
      <c r="B61" s="54" t="str">
        <f>IF(C61="","",VLOOKUP('Opći dio'!$C$3,'Opći dio'!$L$6:$U$137,9,FALSE))</f>
        <v>Sveučilišta i veleučilišta u Republici Hrvatskoj</v>
      </c>
      <c r="C61" s="71">
        <v>43</v>
      </c>
      <c r="D61" s="66" t="str">
        <f t="shared" si="0"/>
        <v>Ostali prihodi za posebne namjene</v>
      </c>
      <c r="E61" s="71">
        <v>3211</v>
      </c>
      <c r="F61" s="66" t="str">
        <f t="shared" si="40"/>
        <v>Službena putovanja</v>
      </c>
      <c r="G61" s="71" t="s">
        <v>649</v>
      </c>
      <c r="H61" s="66" t="str">
        <f t="shared" si="2"/>
        <v>REDOVNA DJELATNOST SVEUČILIŠTA U ZAGREBU (IZ EVIDENCIJSKIH PRIHODA)</v>
      </c>
      <c r="I61" s="220">
        <v>10377.405000000001</v>
      </c>
      <c r="J61" s="220">
        <v>14664.8868</v>
      </c>
      <c r="K61" s="220">
        <v>17093.449954080002</v>
      </c>
      <c r="L61" s="44"/>
      <c r="M61" s="44" t="str">
        <f t="shared" si="3"/>
        <v>321</v>
      </c>
      <c r="N61" s="44" t="str">
        <f t="shared" si="4"/>
        <v>32</v>
      </c>
      <c r="O61" s="44"/>
      <c r="P61" s="44"/>
      <c r="Q61" s="44"/>
      <c r="R61" s="44">
        <v>3692</v>
      </c>
      <c r="S61" s="44" t="s">
        <v>774</v>
      </c>
      <c r="T61" s="44"/>
      <c r="U61" s="44" t="str">
        <f t="shared" si="5"/>
        <v>36</v>
      </c>
      <c r="V61" s="44" t="str">
        <f t="shared" si="6"/>
        <v>369</v>
      </c>
      <c r="W61" s="44"/>
      <c r="X61" s="60" t="s">
        <v>775</v>
      </c>
      <c r="Y61" s="60" t="s">
        <v>776</v>
      </c>
      <c r="Z61" s="44"/>
    </row>
    <row r="62" spans="1:26" ht="15.75" customHeight="1">
      <c r="A62" s="54" t="str">
        <f>IF(C62="","",VLOOKUP('Opći dio'!$C$3,'Opći dio'!$L$6:$U$137,10,FALSE))</f>
        <v>08006</v>
      </c>
      <c r="B62" s="54" t="str">
        <f>IF(C62="","",VLOOKUP('Opći dio'!$C$3,'Opći dio'!$L$6:$U$137,9,FALSE))</f>
        <v>Sveučilišta i veleučilišta u Republici Hrvatskoj</v>
      </c>
      <c r="C62" s="71">
        <v>43</v>
      </c>
      <c r="D62" s="66" t="str">
        <f t="shared" si="0"/>
        <v>Ostali prihodi za posebne namjene</v>
      </c>
      <c r="E62" s="71">
        <v>3212</v>
      </c>
      <c r="F62" s="66" t="str">
        <f t="shared" si="40"/>
        <v>Naknade za prijevoz, za rad na terenu i odvojeni život</v>
      </c>
      <c r="G62" s="71" t="s">
        <v>649</v>
      </c>
      <c r="H62" s="66" t="str">
        <f t="shared" si="2"/>
        <v>REDOVNA DJELATNOST SVEUČILIŠTA U ZAGREBU (IZ EVIDENCIJSKIH PRIHODA)</v>
      </c>
      <c r="I62" s="220">
        <v>39697.445</v>
      </c>
      <c r="J62" s="220">
        <v>66804.819599999988</v>
      </c>
      <c r="K62" s="220">
        <v>85790.475721759984</v>
      </c>
      <c r="L62" s="44"/>
      <c r="M62" s="44" t="str">
        <f t="shared" si="3"/>
        <v>321</v>
      </c>
      <c r="N62" s="44" t="str">
        <f t="shared" si="4"/>
        <v>32</v>
      </c>
      <c r="O62" s="44"/>
      <c r="P62" s="44"/>
      <c r="Q62" s="44"/>
      <c r="R62" s="44">
        <v>3693</v>
      </c>
      <c r="S62" s="44" t="s">
        <v>771</v>
      </c>
      <c r="T62" s="44"/>
      <c r="U62" s="44" t="str">
        <f t="shared" si="5"/>
        <v>36</v>
      </c>
      <c r="V62" s="44" t="str">
        <f t="shared" si="6"/>
        <v>369</v>
      </c>
      <c r="W62" s="44"/>
      <c r="X62" s="60" t="s">
        <v>777</v>
      </c>
      <c r="Y62" s="60" t="s">
        <v>778</v>
      </c>
      <c r="Z62" s="44"/>
    </row>
    <row r="63" spans="1:26" ht="15.75" customHeight="1">
      <c r="A63" s="54" t="str">
        <f>IF(C63="","",VLOOKUP('Opći dio'!$C$3,'Opći dio'!$L$6:$U$137,10,FALSE))</f>
        <v>08006</v>
      </c>
      <c r="B63" s="54" t="str">
        <f>IF(C63="","",VLOOKUP('Opći dio'!$C$3,'Opći dio'!$L$6:$U$137,9,FALSE))</f>
        <v>Sveučilišta i veleučilišta u Republici Hrvatskoj</v>
      </c>
      <c r="C63" s="71">
        <v>43</v>
      </c>
      <c r="D63" s="66" t="str">
        <f t="shared" si="0"/>
        <v>Ostali prihodi za posebne namjene</v>
      </c>
      <c r="E63" s="71">
        <v>3213</v>
      </c>
      <c r="F63" s="66" t="str">
        <f t="shared" si="40"/>
        <v>Stručno usavršavanje zaposlenika</v>
      </c>
      <c r="G63" s="71" t="s">
        <v>649</v>
      </c>
      <c r="H63" s="66" t="str">
        <f t="shared" si="2"/>
        <v>REDOVNA DJELATNOST SVEUČILIŠTA U ZAGREBU (IZ EVIDENCIJSKIH PRIHODA)</v>
      </c>
      <c r="I63" s="220">
        <v>62366.5</v>
      </c>
      <c r="J63" s="220">
        <v>83701.2408</v>
      </c>
      <c r="K63" s="220">
        <v>94282.596868480017</v>
      </c>
      <c r="L63" s="44"/>
      <c r="M63" s="44" t="str">
        <f t="shared" si="3"/>
        <v>321</v>
      </c>
      <c r="N63" s="44" t="str">
        <f t="shared" si="4"/>
        <v>32</v>
      </c>
      <c r="O63" s="44"/>
      <c r="P63" s="44"/>
      <c r="Q63" s="44"/>
      <c r="R63" s="44">
        <v>3694</v>
      </c>
      <c r="S63" s="44" t="s">
        <v>774</v>
      </c>
      <c r="T63" s="44"/>
      <c r="U63" s="44" t="str">
        <f t="shared" si="5"/>
        <v>36</v>
      </c>
      <c r="V63" s="44" t="str">
        <f t="shared" si="6"/>
        <v>369</v>
      </c>
      <c r="W63" s="44"/>
      <c r="X63" s="60" t="s">
        <v>779</v>
      </c>
      <c r="Y63" s="60" t="s">
        <v>780</v>
      </c>
      <c r="Z63" s="44"/>
    </row>
    <row r="64" spans="1:26" ht="15.75" customHeight="1">
      <c r="A64" s="54" t="str">
        <f>IF(C64="","",VLOOKUP('Opći dio'!$C$3,'Opći dio'!$L$6:$U$137,10,FALSE))</f>
        <v>08006</v>
      </c>
      <c r="B64" s="54" t="str">
        <f>IF(C64="","",VLOOKUP('Opći dio'!$C$3,'Opći dio'!$L$6:$U$137,9,FALSE))</f>
        <v>Sveučilišta i veleučilišta u Republici Hrvatskoj</v>
      </c>
      <c r="C64" s="71">
        <v>43</v>
      </c>
      <c r="D64" s="66" t="str">
        <f t="shared" si="0"/>
        <v>Ostali prihodi za posebne namjene</v>
      </c>
      <c r="E64" s="71">
        <v>3221</v>
      </c>
      <c r="F64" s="66" t="str">
        <f t="shared" si="40"/>
        <v>Uredski materijal i ostali materijalni rashodi</v>
      </c>
      <c r="G64" s="71" t="s">
        <v>649</v>
      </c>
      <c r="H64" s="66" t="str">
        <f t="shared" si="2"/>
        <v>REDOVNA DJELATNOST SVEUČILIŠTA U ZAGREBU (IZ EVIDENCIJSKIH PRIHODA)</v>
      </c>
      <c r="I64" s="220">
        <v>1113485.0900000001</v>
      </c>
      <c r="J64" s="220">
        <v>1697423.4335999996</v>
      </c>
      <c r="K64" s="220">
        <v>2070205.9111721599</v>
      </c>
      <c r="L64" s="44"/>
      <c r="M64" s="44" t="str">
        <f t="shared" si="3"/>
        <v>322</v>
      </c>
      <c r="N64" s="44" t="str">
        <f t="shared" si="4"/>
        <v>32</v>
      </c>
      <c r="O64" s="44"/>
      <c r="P64" s="44"/>
      <c r="Q64" s="44"/>
      <c r="R64" s="44">
        <v>3711</v>
      </c>
      <c r="S64" s="44" t="s">
        <v>781</v>
      </c>
      <c r="T64" s="44"/>
      <c r="U64" s="44" t="str">
        <f t="shared" si="5"/>
        <v>37</v>
      </c>
      <c r="V64" s="44" t="str">
        <f t="shared" si="6"/>
        <v>371</v>
      </c>
      <c r="W64" s="44"/>
      <c r="X64" s="60" t="s">
        <v>782</v>
      </c>
      <c r="Y64" s="60" t="s">
        <v>783</v>
      </c>
      <c r="Z64" s="44"/>
    </row>
    <row r="65" spans="1:26" ht="15.75" customHeight="1">
      <c r="A65" s="54" t="str">
        <f>IF(C65="","",VLOOKUP('Opći dio'!$C$3,'Opći dio'!$L$6:$U$137,10,FALSE))</f>
        <v>08006</v>
      </c>
      <c r="B65" s="54" t="str">
        <f>IF(C65="","",VLOOKUP('Opći dio'!$C$3,'Opći dio'!$L$6:$U$137,9,FALSE))</f>
        <v>Sveučilišta i veleučilišta u Republici Hrvatskoj</v>
      </c>
      <c r="C65" s="71">
        <v>43</v>
      </c>
      <c r="D65" s="66" t="str">
        <f t="shared" si="0"/>
        <v>Ostali prihodi za posebne namjene</v>
      </c>
      <c r="E65" s="71">
        <v>3223</v>
      </c>
      <c r="F65" s="66" t="str">
        <f t="shared" si="40"/>
        <v>Energija</v>
      </c>
      <c r="G65" s="71" t="s">
        <v>649</v>
      </c>
      <c r="H65" s="66" t="str">
        <f t="shared" si="2"/>
        <v>REDOVNA DJELATNOST SVEUČILIŠTA U ZAGREBU (IZ EVIDENCIJSKIH PRIHODA)</v>
      </c>
      <c r="I65" s="220">
        <v>39014.959999999999</v>
      </c>
      <c r="J65" s="220">
        <v>45555.040000000001</v>
      </c>
      <c r="K65" s="220">
        <v>46010.590400000001</v>
      </c>
      <c r="L65" s="44"/>
      <c r="M65" s="44" t="str">
        <f t="shared" si="3"/>
        <v>322</v>
      </c>
      <c r="N65" s="44" t="str">
        <f t="shared" si="4"/>
        <v>32</v>
      </c>
      <c r="O65" s="44"/>
      <c r="P65" s="44"/>
      <c r="Q65" s="44"/>
      <c r="R65" s="44">
        <v>3712</v>
      </c>
      <c r="S65" s="44" t="s">
        <v>784</v>
      </c>
      <c r="T65" s="44"/>
      <c r="U65" s="44" t="str">
        <f t="shared" si="5"/>
        <v>37</v>
      </c>
      <c r="V65" s="44" t="str">
        <f t="shared" si="6"/>
        <v>371</v>
      </c>
      <c r="W65" s="44"/>
      <c r="X65" s="60" t="s">
        <v>785</v>
      </c>
      <c r="Y65" s="60" t="s">
        <v>786</v>
      </c>
      <c r="Z65" s="44"/>
    </row>
    <row r="66" spans="1:26" ht="15.75" customHeight="1">
      <c r="A66" s="54" t="str">
        <f>IF(C66="","",VLOOKUP('Opći dio'!$C$3,'Opći dio'!$L$6:$U$137,10,FALSE))</f>
        <v>08006</v>
      </c>
      <c r="B66" s="54" t="str">
        <f>IF(C66="","",VLOOKUP('Opći dio'!$C$3,'Opći dio'!$L$6:$U$137,9,FALSE))</f>
        <v>Sveučilišta i veleučilišta u Republici Hrvatskoj</v>
      </c>
      <c r="C66" s="71">
        <v>43</v>
      </c>
      <c r="D66" s="66" t="str">
        <f t="shared" si="0"/>
        <v>Ostali prihodi za posebne namjene</v>
      </c>
      <c r="E66" s="71">
        <v>3224</v>
      </c>
      <c r="F66" s="66" t="str">
        <f t="shared" si="40"/>
        <v>Materijal i dijelovi za tekuće i investicijsko održavanje</v>
      </c>
      <c r="G66" s="71" t="s">
        <v>649</v>
      </c>
      <c r="H66" s="66" t="str">
        <f t="shared" si="2"/>
        <v>REDOVNA DJELATNOST SVEUČILIŠTA U ZAGREBU (IZ EVIDENCIJSKIH PRIHODA)</v>
      </c>
      <c r="I66" s="220">
        <v>230846.875</v>
      </c>
      <c r="J66" s="220">
        <v>270656</v>
      </c>
      <c r="K66" s="220">
        <v>274357.71771951998</v>
      </c>
      <c r="L66" s="44"/>
      <c r="M66" s="44" t="str">
        <f t="shared" si="3"/>
        <v>322</v>
      </c>
      <c r="N66" s="44" t="str">
        <f t="shared" si="4"/>
        <v>32</v>
      </c>
      <c r="O66" s="44"/>
      <c r="P66" s="44"/>
      <c r="Q66" s="44"/>
      <c r="R66" s="44">
        <v>3713</v>
      </c>
      <c r="S66" s="44" t="s">
        <v>787</v>
      </c>
      <c r="T66" s="44"/>
      <c r="U66" s="44" t="str">
        <f t="shared" si="5"/>
        <v>37</v>
      </c>
      <c r="V66" s="44" t="str">
        <f t="shared" si="6"/>
        <v>371</v>
      </c>
      <c r="W66" s="44"/>
      <c r="X66" s="60" t="s">
        <v>788</v>
      </c>
      <c r="Y66" s="60" t="s">
        <v>789</v>
      </c>
      <c r="Z66" s="44"/>
    </row>
    <row r="67" spans="1:26" ht="15.75" customHeight="1">
      <c r="A67" s="54" t="str">
        <f>IF(C67="","",VLOOKUP('Opći dio'!$C$3,'Opći dio'!$L$6:$U$137,10,FALSE))</f>
        <v>08006</v>
      </c>
      <c r="B67" s="54" t="str">
        <f>IF(C67="","",VLOOKUP('Opći dio'!$C$3,'Opći dio'!$L$6:$U$137,9,FALSE))</f>
        <v>Sveučilišta i veleučilišta u Republici Hrvatskoj</v>
      </c>
      <c r="C67" s="71">
        <v>43</v>
      </c>
      <c r="D67" s="66" t="str">
        <f t="shared" si="0"/>
        <v>Ostali prihodi za posebne namjene</v>
      </c>
      <c r="E67" s="71">
        <v>3225</v>
      </c>
      <c r="F67" s="66" t="str">
        <f t="shared" si="40"/>
        <v>Sitni inventar i auto gume</v>
      </c>
      <c r="G67" s="71" t="s">
        <v>649</v>
      </c>
      <c r="H67" s="66" t="str">
        <f t="shared" ref="H67:H130" si="42">IFERROR(VLOOKUP(G67,$X$6:$Y$276,2,FALSE),"")</f>
        <v>REDOVNA DJELATNOST SVEUČILIŠTA U ZAGREBU (IZ EVIDENCIJSKIH PRIHODA)</v>
      </c>
      <c r="I67" s="220">
        <v>19695.185000000001</v>
      </c>
      <c r="J67" s="220">
        <v>23743.149999999998</v>
      </c>
      <c r="K67" s="220">
        <v>24649.111075999997</v>
      </c>
      <c r="L67" s="44"/>
      <c r="M67" s="44" t="str">
        <f t="shared" si="3"/>
        <v>322</v>
      </c>
      <c r="N67" s="44" t="str">
        <f t="shared" si="4"/>
        <v>32</v>
      </c>
      <c r="O67" s="44"/>
      <c r="P67" s="44"/>
      <c r="Q67" s="44"/>
      <c r="R67" s="44">
        <v>3714</v>
      </c>
      <c r="S67" s="44" t="s">
        <v>790</v>
      </c>
      <c r="T67" s="44"/>
      <c r="U67" s="44" t="str">
        <f t="shared" si="5"/>
        <v>37</v>
      </c>
      <c r="V67" s="44" t="str">
        <f t="shared" si="6"/>
        <v>371</v>
      </c>
      <c r="W67" s="44"/>
      <c r="X67" s="60" t="s">
        <v>791</v>
      </c>
      <c r="Y67" s="60" t="s">
        <v>792</v>
      </c>
      <c r="Z67" s="44"/>
    </row>
    <row r="68" spans="1:26" ht="15.75" customHeight="1">
      <c r="A68" s="54" t="str">
        <f>IF(C68="","",VLOOKUP('Opći dio'!$C$3,'Opći dio'!$L$6:$U$137,10,FALSE))</f>
        <v>08006</v>
      </c>
      <c r="B68" s="54" t="str">
        <f>IF(C68="","",VLOOKUP('Opći dio'!$C$3,'Opći dio'!$L$6:$U$137,9,FALSE))</f>
        <v>Sveučilišta i veleučilišta u Republici Hrvatskoj</v>
      </c>
      <c r="C68" s="71">
        <v>43</v>
      </c>
      <c r="D68" s="66" t="str">
        <f t="shared" si="0"/>
        <v>Ostali prihodi za posebne namjene</v>
      </c>
      <c r="E68" s="71">
        <v>3227</v>
      </c>
      <c r="F68" s="66" t="str">
        <f t="shared" si="40"/>
        <v>Službena, radna i zaštitna odjeća i obuća</v>
      </c>
      <c r="G68" s="71" t="s">
        <v>649</v>
      </c>
      <c r="H68" s="66" t="str">
        <f t="shared" si="42"/>
        <v>REDOVNA DJELATNOST SVEUČILIŠTA U ZAGREBU (IZ EVIDENCIJSKIH PRIHODA)</v>
      </c>
      <c r="I68" s="220">
        <v>149906.23000000001</v>
      </c>
      <c r="J68" s="220">
        <v>178352.04800000001</v>
      </c>
      <c r="K68" s="220">
        <v>183106.29875680001</v>
      </c>
      <c r="L68" s="44"/>
      <c r="M68" s="44" t="str">
        <f t="shared" si="3"/>
        <v>322</v>
      </c>
      <c r="N68" s="44" t="str">
        <f t="shared" si="4"/>
        <v>32</v>
      </c>
      <c r="O68" s="44"/>
      <c r="P68" s="44"/>
      <c r="Q68" s="44"/>
      <c r="R68" s="44">
        <v>3715</v>
      </c>
      <c r="S68" s="44" t="s">
        <v>793</v>
      </c>
      <c r="T68" s="44"/>
      <c r="U68" s="44" t="str">
        <f t="shared" si="5"/>
        <v>37</v>
      </c>
      <c r="V68" s="44" t="str">
        <f t="shared" si="6"/>
        <v>371</v>
      </c>
      <c r="W68" s="44"/>
      <c r="X68" s="60" t="s">
        <v>794</v>
      </c>
      <c r="Y68" s="60" t="s">
        <v>795</v>
      </c>
      <c r="Z68" s="44"/>
    </row>
    <row r="69" spans="1:26" ht="15.75" customHeight="1">
      <c r="A69" s="54" t="str">
        <f>IF(C69="","",VLOOKUP('Opći dio'!$C$3,'Opći dio'!$L$6:$U$137,10,FALSE))</f>
        <v>08006</v>
      </c>
      <c r="B69" s="54" t="str">
        <f>IF(C69="","",VLOOKUP('Opći dio'!$C$3,'Opći dio'!$L$6:$U$137,9,FALSE))</f>
        <v>Sveučilišta i veleučilišta u Republici Hrvatskoj</v>
      </c>
      <c r="C69" s="71">
        <v>43</v>
      </c>
      <c r="D69" s="66" t="str">
        <f t="shared" si="0"/>
        <v>Ostali prihodi za posebne namjene</v>
      </c>
      <c r="E69" s="71">
        <v>3231</v>
      </c>
      <c r="F69" s="66" t="str">
        <f t="shared" si="40"/>
        <v>Usluge telefona, pošte i prijevoza</v>
      </c>
      <c r="G69" s="71" t="s">
        <v>649</v>
      </c>
      <c r="H69" s="66" t="str">
        <f t="shared" si="42"/>
        <v>REDOVNA DJELATNOST SVEUČILIŠTA U ZAGREBU (IZ EVIDENCIJSKIH PRIHODA)</v>
      </c>
      <c r="I69" s="220">
        <v>222651.86499999999</v>
      </c>
      <c r="J69" s="220">
        <v>263289.97880000004</v>
      </c>
      <c r="K69" s="220">
        <v>268891.76464528003</v>
      </c>
      <c r="L69" s="44"/>
      <c r="M69" s="44" t="str">
        <f t="shared" si="3"/>
        <v>323</v>
      </c>
      <c r="N69" s="44" t="str">
        <f t="shared" si="4"/>
        <v>32</v>
      </c>
      <c r="O69" s="44"/>
      <c r="P69" s="44"/>
      <c r="Q69" s="44"/>
      <c r="R69" s="44">
        <v>3721</v>
      </c>
      <c r="S69" s="44" t="s">
        <v>796</v>
      </c>
      <c r="T69" s="44"/>
      <c r="U69" s="44" t="str">
        <f t="shared" si="5"/>
        <v>37</v>
      </c>
      <c r="V69" s="44" t="str">
        <f t="shared" si="6"/>
        <v>372</v>
      </c>
      <c r="W69" s="44"/>
      <c r="X69" s="60" t="s">
        <v>797</v>
      </c>
      <c r="Y69" s="60" t="s">
        <v>798</v>
      </c>
      <c r="Z69" s="44"/>
    </row>
    <row r="70" spans="1:26" ht="15.75" customHeight="1">
      <c r="A70" s="54" t="str">
        <f>IF(C70="","",VLOOKUP('Opći dio'!$C$3,'Opći dio'!$L$6:$U$137,10,FALSE))</f>
        <v>08006</v>
      </c>
      <c r="B70" s="54" t="str">
        <f>IF(C70="","",VLOOKUP('Opći dio'!$C$3,'Opći dio'!$L$6:$U$137,9,FALSE))</f>
        <v>Sveučilišta i veleučilišta u Republici Hrvatskoj</v>
      </c>
      <c r="C70" s="71">
        <v>43</v>
      </c>
      <c r="D70" s="66" t="str">
        <f t="shared" si="0"/>
        <v>Ostali prihodi za posebne namjene</v>
      </c>
      <c r="E70" s="71">
        <v>3232</v>
      </c>
      <c r="F70" s="66" t="str">
        <f t="shared" si="40"/>
        <v>Usluge tekućeg i investicijskog održavanja</v>
      </c>
      <c r="G70" s="71" t="s">
        <v>649</v>
      </c>
      <c r="H70" s="66" t="str">
        <f t="shared" si="42"/>
        <v>REDOVNA DJELATNOST SVEUČILIŠTA U ZAGREBU (IZ EVIDENCIJSKIH PRIHODA)</v>
      </c>
      <c r="I70" s="220">
        <v>1186815.4650000001</v>
      </c>
      <c r="J70" s="220">
        <v>1395064.5324000001</v>
      </c>
      <c r="K70" s="220">
        <v>1417347.05414544</v>
      </c>
      <c r="L70" s="44"/>
      <c r="M70" s="44" t="str">
        <f t="shared" si="3"/>
        <v>323</v>
      </c>
      <c r="N70" s="44" t="str">
        <f t="shared" si="4"/>
        <v>32</v>
      </c>
      <c r="O70" s="44"/>
      <c r="P70" s="44"/>
      <c r="Q70" s="44"/>
      <c r="R70" s="44">
        <v>3722</v>
      </c>
      <c r="S70" s="44" t="s">
        <v>799</v>
      </c>
      <c r="T70" s="44"/>
      <c r="U70" s="44" t="str">
        <f t="shared" si="5"/>
        <v>37</v>
      </c>
      <c r="V70" s="44" t="str">
        <f t="shared" si="6"/>
        <v>372</v>
      </c>
      <c r="W70" s="44"/>
      <c r="X70" s="60" t="s">
        <v>800</v>
      </c>
      <c r="Y70" s="60" t="s">
        <v>801</v>
      </c>
      <c r="Z70" s="44"/>
    </row>
    <row r="71" spans="1:26" ht="15.75" customHeight="1">
      <c r="A71" s="54" t="str">
        <f>IF(C71="","",VLOOKUP('Opći dio'!$C$3,'Opći dio'!$L$6:$U$137,10,FALSE))</f>
        <v>08006</v>
      </c>
      <c r="B71" s="54" t="str">
        <f>IF(C71="","",VLOOKUP('Opći dio'!$C$3,'Opći dio'!$L$6:$U$137,9,FALSE))</f>
        <v>Sveučilišta i veleučilišta u Republici Hrvatskoj</v>
      </c>
      <c r="C71" s="71">
        <v>43</v>
      </c>
      <c r="D71" s="66" t="str">
        <f t="shared" si="0"/>
        <v>Ostali prihodi za posebne namjene</v>
      </c>
      <c r="E71" s="71">
        <v>3233</v>
      </c>
      <c r="F71" s="66" t="str">
        <f t="shared" si="40"/>
        <v>Usluge promidžbe i informiranja</v>
      </c>
      <c r="G71" s="71" t="s">
        <v>649</v>
      </c>
      <c r="H71" s="66" t="str">
        <f t="shared" si="42"/>
        <v>REDOVNA DJELATNOST SVEUČILIŠTA U ZAGREBU (IZ EVIDENCIJSKIH PRIHODA)</v>
      </c>
      <c r="I71" s="220">
        <v>163311.13500000001</v>
      </c>
      <c r="J71" s="220">
        <v>208844.55799999999</v>
      </c>
      <c r="K71" s="220">
        <v>227194.92148079997</v>
      </c>
      <c r="L71" s="44"/>
      <c r="M71" s="44" t="str">
        <f t="shared" si="3"/>
        <v>323</v>
      </c>
      <c r="N71" s="44" t="str">
        <f t="shared" si="4"/>
        <v>32</v>
      </c>
      <c r="O71" s="44"/>
      <c r="P71" s="44"/>
      <c r="Q71" s="44"/>
      <c r="R71" s="44">
        <v>3723</v>
      </c>
      <c r="S71" s="44" t="s">
        <v>802</v>
      </c>
      <c r="T71" s="44"/>
      <c r="U71" s="44" t="str">
        <f t="shared" si="5"/>
        <v>37</v>
      </c>
      <c r="V71" s="44" t="str">
        <f t="shared" si="6"/>
        <v>372</v>
      </c>
      <c r="W71" s="44"/>
      <c r="X71" s="60" t="s">
        <v>803</v>
      </c>
      <c r="Y71" s="60" t="s">
        <v>804</v>
      </c>
      <c r="Z71" s="44"/>
    </row>
    <row r="72" spans="1:26" ht="15.75" customHeight="1">
      <c r="A72" s="54" t="str">
        <f>IF(C72="","",VLOOKUP('Opći dio'!$C$3,'Opći dio'!$L$6:$U$137,10,FALSE))</f>
        <v>08006</v>
      </c>
      <c r="B72" s="54" t="str">
        <f>IF(C72="","",VLOOKUP('Opći dio'!$C$3,'Opći dio'!$L$6:$U$137,9,FALSE))</f>
        <v>Sveučilišta i veleučilišta u Republici Hrvatskoj</v>
      </c>
      <c r="C72" s="71">
        <v>43</v>
      </c>
      <c r="D72" s="66" t="str">
        <f t="shared" si="0"/>
        <v>Ostali prihodi za posebne namjene</v>
      </c>
      <c r="E72" s="71">
        <v>3234</v>
      </c>
      <c r="F72" s="66" t="str">
        <f t="shared" si="40"/>
        <v>Komunalne usluge</v>
      </c>
      <c r="G72" s="71" t="s">
        <v>649</v>
      </c>
      <c r="H72" s="66" t="str">
        <f t="shared" si="42"/>
        <v>REDOVNA DJELATNOST SVEUČILIŠTA U ZAGREBU (IZ EVIDENCIJSKIH PRIHODA)</v>
      </c>
      <c r="I72" s="220">
        <v>12692.145</v>
      </c>
      <c r="J72" s="220">
        <v>14819.73</v>
      </c>
      <c r="K72" s="220">
        <v>14967.927299999999</v>
      </c>
      <c r="L72" s="44"/>
      <c r="M72" s="44" t="str">
        <f t="shared" si="3"/>
        <v>323</v>
      </c>
      <c r="N72" s="44" t="str">
        <f t="shared" si="4"/>
        <v>32</v>
      </c>
      <c r="O72" s="44"/>
      <c r="P72" s="44"/>
      <c r="Q72" s="44"/>
      <c r="R72" s="44">
        <v>3811</v>
      </c>
      <c r="S72" s="44" t="s">
        <v>805</v>
      </c>
      <c r="T72" s="44"/>
      <c r="U72" s="44" t="str">
        <f t="shared" si="5"/>
        <v>38</v>
      </c>
      <c r="V72" s="44" t="str">
        <f t="shared" si="6"/>
        <v>381</v>
      </c>
      <c r="W72" s="44"/>
      <c r="X72" s="60" t="s">
        <v>806</v>
      </c>
      <c r="Y72" s="60" t="s">
        <v>807</v>
      </c>
      <c r="Z72" s="44"/>
    </row>
    <row r="73" spans="1:26" ht="15.75" customHeight="1">
      <c r="A73" s="54" t="str">
        <f>IF(C73="","",VLOOKUP('Opći dio'!$C$3,'Opći dio'!$L$6:$U$137,10,FALSE))</f>
        <v>08006</v>
      </c>
      <c r="B73" s="54" t="str">
        <f>IF(C73="","",VLOOKUP('Opći dio'!$C$3,'Opći dio'!$L$6:$U$137,9,FALSE))</f>
        <v>Sveučilišta i veleučilišta u Republici Hrvatskoj</v>
      </c>
      <c r="C73" s="71">
        <v>43</v>
      </c>
      <c r="D73" s="66" t="str">
        <f t="shared" si="0"/>
        <v>Ostali prihodi za posebne namjene</v>
      </c>
      <c r="E73" s="71">
        <v>3235</v>
      </c>
      <c r="F73" s="66" t="str">
        <f t="shared" si="40"/>
        <v>Zakupnine i najamnine</v>
      </c>
      <c r="G73" s="71" t="s">
        <v>649</v>
      </c>
      <c r="H73" s="66" t="str">
        <f t="shared" si="42"/>
        <v>REDOVNA DJELATNOST SVEUČILIŠTA U ZAGREBU (IZ EVIDENCIJSKIH PRIHODA)</v>
      </c>
      <c r="I73" s="220">
        <v>416207.72499999998</v>
      </c>
      <c r="J73" s="220">
        <v>487694.8236</v>
      </c>
      <c r="K73" s="220">
        <v>494110.56811216002</v>
      </c>
      <c r="L73" s="44"/>
      <c r="M73" s="44" t="str">
        <f t="shared" si="3"/>
        <v>323</v>
      </c>
      <c r="N73" s="44" t="str">
        <f t="shared" si="4"/>
        <v>32</v>
      </c>
      <c r="O73" s="44"/>
      <c r="P73" s="44"/>
      <c r="Q73" s="44"/>
      <c r="R73" s="44">
        <v>3812</v>
      </c>
      <c r="S73" s="44" t="s">
        <v>808</v>
      </c>
      <c r="T73" s="44"/>
      <c r="U73" s="44" t="str">
        <f t="shared" si="5"/>
        <v>38</v>
      </c>
      <c r="V73" s="44" t="str">
        <f t="shared" si="6"/>
        <v>381</v>
      </c>
      <c r="W73" s="44"/>
      <c r="X73" s="60" t="s">
        <v>809</v>
      </c>
      <c r="Y73" s="60" t="s">
        <v>810</v>
      </c>
      <c r="Z73" s="44"/>
    </row>
    <row r="74" spans="1:26" ht="15.75" customHeight="1">
      <c r="A74" s="54" t="str">
        <f>IF(C74="","",VLOOKUP('Opći dio'!$C$3,'Opći dio'!$L$6:$U$137,10,FALSE))</f>
        <v>08006</v>
      </c>
      <c r="B74" s="54" t="str">
        <f>IF(C74="","",VLOOKUP('Opći dio'!$C$3,'Opći dio'!$L$6:$U$137,9,FALSE))</f>
        <v>Sveučilišta i veleučilišta u Republici Hrvatskoj</v>
      </c>
      <c r="C74" s="71">
        <v>43</v>
      </c>
      <c r="D74" s="66" t="str">
        <f t="shared" si="0"/>
        <v>Ostali prihodi za posebne namjene</v>
      </c>
      <c r="E74" s="71">
        <v>3236</v>
      </c>
      <c r="F74" s="66" t="str">
        <f t="shared" si="40"/>
        <v>Zdravstvene i veterinarske usluge</v>
      </c>
      <c r="G74" s="71" t="s">
        <v>649</v>
      </c>
      <c r="H74" s="66" t="str">
        <f t="shared" si="42"/>
        <v>REDOVNA DJELATNOST SVEUČILIŠTA U ZAGREBU (IZ EVIDENCIJSKIH PRIHODA)</v>
      </c>
      <c r="I74" s="220">
        <v>14964.5</v>
      </c>
      <c r="J74" s="220">
        <v>48962.057599999971</v>
      </c>
      <c r="K74" s="220">
        <v>77653.27816255996</v>
      </c>
      <c r="L74" s="44"/>
      <c r="M74" s="44" t="str">
        <f t="shared" si="3"/>
        <v>323</v>
      </c>
      <c r="N74" s="44" t="str">
        <f t="shared" si="4"/>
        <v>32</v>
      </c>
      <c r="O74" s="44"/>
      <c r="P74" s="44"/>
      <c r="Q74" s="44"/>
      <c r="R74" s="44">
        <v>3813</v>
      </c>
      <c r="S74" s="44" t="s">
        <v>811</v>
      </c>
      <c r="T74" s="44"/>
      <c r="U74" s="44" t="str">
        <f t="shared" si="5"/>
        <v>38</v>
      </c>
      <c r="V74" s="44" t="str">
        <f t="shared" si="6"/>
        <v>381</v>
      </c>
      <c r="W74" s="44"/>
      <c r="X74" s="60" t="s">
        <v>812</v>
      </c>
      <c r="Y74" s="60" t="s">
        <v>813</v>
      </c>
      <c r="Z74" s="44"/>
    </row>
    <row r="75" spans="1:26" ht="15.75" customHeight="1">
      <c r="A75" s="54" t="str">
        <f>IF(C75="","",VLOOKUP('Opći dio'!$C$3,'Opći dio'!$L$6:$U$137,10,FALSE))</f>
        <v>08006</v>
      </c>
      <c r="B75" s="54" t="str">
        <f>IF(C75="","",VLOOKUP('Opći dio'!$C$3,'Opći dio'!$L$6:$U$137,9,FALSE))</f>
        <v>Sveučilišta i veleučilišta u Republici Hrvatskoj</v>
      </c>
      <c r="C75" s="71">
        <v>43</v>
      </c>
      <c r="D75" s="66" t="str">
        <f t="shared" si="0"/>
        <v>Ostali prihodi za posebne namjene</v>
      </c>
      <c r="E75" s="71">
        <v>3237</v>
      </c>
      <c r="F75" s="66" t="str">
        <f t="shared" si="40"/>
        <v>Intelektualne i osobne usluge</v>
      </c>
      <c r="G75" s="71" t="s">
        <v>649</v>
      </c>
      <c r="H75" s="66" t="str">
        <f t="shared" si="42"/>
        <v>REDOVNA DJELATNOST SVEUČILIŠTA U ZAGREBU (IZ EVIDENCIJSKIH PRIHODA)</v>
      </c>
      <c r="I75" s="220">
        <v>2029072.885</v>
      </c>
      <c r="J75" s="220">
        <v>2370284.1379999998</v>
      </c>
      <c r="K75" s="220">
        <v>2394952.1209288002</v>
      </c>
      <c r="L75" s="44"/>
      <c r="M75" s="44" t="str">
        <f t="shared" si="3"/>
        <v>323</v>
      </c>
      <c r="N75" s="44" t="str">
        <f t="shared" si="4"/>
        <v>32</v>
      </c>
      <c r="O75" s="44"/>
      <c r="P75" s="44"/>
      <c r="Q75" s="44"/>
      <c r="R75" s="44">
        <v>3821</v>
      </c>
      <c r="S75" s="44" t="s">
        <v>814</v>
      </c>
      <c r="T75" s="44"/>
      <c r="U75" s="44" t="str">
        <f t="shared" si="5"/>
        <v>38</v>
      </c>
      <c r="V75" s="44" t="str">
        <f t="shared" si="6"/>
        <v>382</v>
      </c>
      <c r="W75" s="44"/>
      <c r="X75" s="60" t="s">
        <v>815</v>
      </c>
      <c r="Y75" s="60" t="s">
        <v>816</v>
      </c>
      <c r="Z75" s="44"/>
    </row>
    <row r="76" spans="1:26" ht="15.75" customHeight="1">
      <c r="A76" s="54" t="str">
        <f>IF(C76="","",VLOOKUP('Opći dio'!$C$3,'Opći dio'!$L$6:$U$137,10,FALSE))</f>
        <v>08006</v>
      </c>
      <c r="B76" s="54" t="str">
        <f>IF(C76="","",VLOOKUP('Opći dio'!$C$3,'Opći dio'!$L$6:$U$137,9,FALSE))</f>
        <v>Sveučilišta i veleučilišta u Republici Hrvatskoj</v>
      </c>
      <c r="C76" s="71">
        <v>43</v>
      </c>
      <c r="D76" s="66" t="str">
        <f t="shared" si="0"/>
        <v>Ostali prihodi za posebne namjene</v>
      </c>
      <c r="E76" s="71">
        <v>3238</v>
      </c>
      <c r="F76" s="66" t="str">
        <f t="shared" si="40"/>
        <v>Računalne usluge</v>
      </c>
      <c r="G76" s="71" t="s">
        <v>649</v>
      </c>
      <c r="H76" s="66" t="str">
        <f t="shared" si="42"/>
        <v>REDOVNA DJELATNOST SVEUČILIŠTA U ZAGREBU (IZ EVIDENCIJSKIH PRIHODA)</v>
      </c>
      <c r="I76" s="220">
        <v>304883.95500000002</v>
      </c>
      <c r="J76" s="220">
        <v>355991.67</v>
      </c>
      <c r="K76" s="220">
        <v>359551.58669999999</v>
      </c>
      <c r="L76" s="44"/>
      <c r="M76" s="44" t="str">
        <f t="shared" si="3"/>
        <v>323</v>
      </c>
      <c r="N76" s="44" t="str">
        <f t="shared" si="4"/>
        <v>32</v>
      </c>
      <c r="O76" s="44"/>
      <c r="P76" s="44"/>
      <c r="Q76" s="44"/>
      <c r="R76" s="44">
        <v>3831</v>
      </c>
      <c r="S76" s="44" t="s">
        <v>817</v>
      </c>
      <c r="T76" s="44"/>
      <c r="U76" s="44" t="str">
        <f t="shared" si="5"/>
        <v>38</v>
      </c>
      <c r="V76" s="44" t="str">
        <f t="shared" si="6"/>
        <v>383</v>
      </c>
      <c r="W76" s="44"/>
      <c r="X76" s="60" t="s">
        <v>818</v>
      </c>
      <c r="Y76" s="60" t="s">
        <v>819</v>
      </c>
      <c r="Z76" s="44"/>
    </row>
    <row r="77" spans="1:26" ht="15.75" customHeight="1">
      <c r="A77" s="54" t="str">
        <f>IF(C77="","",VLOOKUP('Opći dio'!$C$3,'Opći dio'!$L$6:$U$137,10,FALSE))</f>
        <v>08006</v>
      </c>
      <c r="B77" s="54" t="str">
        <f>IF(C77="","",VLOOKUP('Opći dio'!$C$3,'Opći dio'!$L$6:$U$137,9,FALSE))</f>
        <v>Sveučilišta i veleučilišta u Republici Hrvatskoj</v>
      </c>
      <c r="C77" s="71">
        <v>43</v>
      </c>
      <c r="D77" s="66" t="str">
        <f t="shared" si="0"/>
        <v>Ostali prihodi za posebne namjene</v>
      </c>
      <c r="E77" s="71">
        <v>3239</v>
      </c>
      <c r="F77" s="66" t="str">
        <f t="shared" si="40"/>
        <v>Ostale usluge</v>
      </c>
      <c r="G77" s="71" t="s">
        <v>649</v>
      </c>
      <c r="H77" s="66" t="str">
        <f t="shared" si="42"/>
        <v>REDOVNA DJELATNOST SVEUČILIŠTA U ZAGREBU (IZ EVIDENCIJSKIH PRIHODA)</v>
      </c>
      <c r="I77" s="220">
        <v>363354.495</v>
      </c>
      <c r="J77" s="220">
        <v>424263.63</v>
      </c>
      <c r="K77" s="220">
        <v>428506.26630000002</v>
      </c>
      <c r="L77" s="44"/>
      <c r="M77" s="44" t="str">
        <f t="shared" si="3"/>
        <v>323</v>
      </c>
      <c r="N77" s="44" t="str">
        <f t="shared" si="4"/>
        <v>32</v>
      </c>
      <c r="O77" s="44"/>
      <c r="P77" s="44"/>
      <c r="Q77" s="44"/>
      <c r="R77" s="44">
        <v>3832</v>
      </c>
      <c r="S77" s="44" t="s">
        <v>820</v>
      </c>
      <c r="T77" s="44"/>
      <c r="U77" s="44" t="str">
        <f t="shared" si="5"/>
        <v>38</v>
      </c>
      <c r="V77" s="44" t="str">
        <f t="shared" si="6"/>
        <v>383</v>
      </c>
      <c r="W77" s="44"/>
      <c r="X77" s="60" t="s">
        <v>821</v>
      </c>
      <c r="Y77" s="60" t="s">
        <v>822</v>
      </c>
      <c r="Z77" s="44"/>
    </row>
    <row r="78" spans="1:26" ht="15.75" customHeight="1">
      <c r="A78" s="54" t="str">
        <f>IF(C78="","",VLOOKUP('Opći dio'!$C$3,'Opći dio'!$L$6:$U$137,10,FALSE))</f>
        <v>08006</v>
      </c>
      <c r="B78" s="54" t="str">
        <f>IF(C78="","",VLOOKUP('Opći dio'!$C$3,'Opći dio'!$L$6:$U$137,9,FALSE))</f>
        <v>Sveučilišta i veleučilišta u Republici Hrvatskoj</v>
      </c>
      <c r="C78" s="71">
        <v>43</v>
      </c>
      <c r="D78" s="66" t="str">
        <f t="shared" si="0"/>
        <v>Ostali prihodi za posebne namjene</v>
      </c>
      <c r="E78" s="71">
        <v>3241</v>
      </c>
      <c r="F78" s="66" t="str">
        <f t="shared" si="40"/>
        <v>Naknade troškova osobama izvan radnog odnosa</v>
      </c>
      <c r="G78" s="71" t="s">
        <v>649</v>
      </c>
      <c r="H78" s="66" t="str">
        <f t="shared" si="42"/>
        <v>REDOVNA DJELATNOST SVEUČILIŠTA U ZAGREBU (IZ EVIDENCIJSKIH PRIHODA)</v>
      </c>
      <c r="I78" s="220">
        <v>0</v>
      </c>
      <c r="J78" s="220">
        <v>1993.1911999999993</v>
      </c>
      <c r="K78" s="220">
        <v>3798.2251507199999</v>
      </c>
      <c r="L78" s="44"/>
      <c r="M78" s="44" t="str">
        <f t="shared" si="3"/>
        <v>324</v>
      </c>
      <c r="N78" s="44" t="str">
        <f t="shared" si="4"/>
        <v>32</v>
      </c>
      <c r="O78" s="44"/>
      <c r="P78" s="44"/>
      <c r="Q78" s="44"/>
      <c r="R78" s="44">
        <v>3833</v>
      </c>
      <c r="S78" s="44" t="s">
        <v>823</v>
      </c>
      <c r="T78" s="44"/>
      <c r="U78" s="44" t="str">
        <f t="shared" si="5"/>
        <v>38</v>
      </c>
      <c r="V78" s="44" t="str">
        <f t="shared" si="6"/>
        <v>383</v>
      </c>
      <c r="W78" s="44"/>
      <c r="X78" s="60" t="s">
        <v>824</v>
      </c>
      <c r="Y78" s="60" t="s">
        <v>825</v>
      </c>
      <c r="Z78" s="44"/>
    </row>
    <row r="79" spans="1:26" ht="15.75" customHeight="1">
      <c r="A79" s="54" t="str">
        <f>IF(C79="","",VLOOKUP('Opći dio'!$C$3,'Opći dio'!$L$6:$U$137,10,FALSE))</f>
        <v>08006</v>
      </c>
      <c r="B79" s="54" t="str">
        <f>IF(C79="","",VLOOKUP('Opći dio'!$C$3,'Opći dio'!$L$6:$U$137,9,FALSE))</f>
        <v>Sveučilišta i veleučilišta u Republici Hrvatskoj</v>
      </c>
      <c r="C79" s="71">
        <v>43</v>
      </c>
      <c r="D79" s="66" t="str">
        <f t="shared" si="0"/>
        <v>Ostali prihodi za posebne namjene</v>
      </c>
      <c r="E79" s="71">
        <v>3292</v>
      </c>
      <c r="F79" s="66" t="str">
        <f t="shared" si="40"/>
        <v>Premije osiguranja</v>
      </c>
      <c r="G79" s="71" t="s">
        <v>649</v>
      </c>
      <c r="H79" s="66" t="str">
        <f t="shared" si="42"/>
        <v>REDOVNA DJELATNOST SVEUČILIŠTA U ZAGREBU (IZ EVIDENCIJSKIH PRIHODA)</v>
      </c>
      <c r="I79" s="220">
        <v>17992</v>
      </c>
      <c r="J79" s="220">
        <v>21008</v>
      </c>
      <c r="K79" s="220">
        <v>21218.080000000002</v>
      </c>
      <c r="L79" s="44"/>
      <c r="M79" s="44" t="str">
        <f t="shared" si="3"/>
        <v>329</v>
      </c>
      <c r="N79" s="44" t="str">
        <f t="shared" si="4"/>
        <v>32</v>
      </c>
      <c r="O79" s="44"/>
      <c r="P79" s="44"/>
      <c r="Q79" s="44"/>
      <c r="R79" s="44">
        <v>3834</v>
      </c>
      <c r="S79" s="44" t="s">
        <v>826</v>
      </c>
      <c r="T79" s="44"/>
      <c r="U79" s="44" t="str">
        <f t="shared" si="5"/>
        <v>38</v>
      </c>
      <c r="V79" s="44" t="str">
        <f t="shared" si="6"/>
        <v>383</v>
      </c>
      <c r="W79" s="44"/>
      <c r="X79" s="60" t="s">
        <v>827</v>
      </c>
      <c r="Y79" s="60" t="s">
        <v>828</v>
      </c>
      <c r="Z79" s="44"/>
    </row>
    <row r="80" spans="1:26" ht="15.75" customHeight="1">
      <c r="A80" s="54" t="str">
        <f>IF(C80="","",VLOOKUP('Opći dio'!$C$3,'Opći dio'!$L$6:$U$137,10,FALSE))</f>
        <v>08006</v>
      </c>
      <c r="B80" s="54" t="str">
        <f>IF(C80="","",VLOOKUP('Opći dio'!$C$3,'Opći dio'!$L$6:$U$137,9,FALSE))</f>
        <v>Sveučilišta i veleučilišta u Republici Hrvatskoj</v>
      </c>
      <c r="C80" s="71">
        <v>43</v>
      </c>
      <c r="D80" s="66" t="str">
        <f t="shared" si="0"/>
        <v>Ostali prihodi za posebne namjene</v>
      </c>
      <c r="E80" s="71">
        <v>3293</v>
      </c>
      <c r="F80" s="66" t="str">
        <f t="shared" si="40"/>
        <v>Reprezentacija</v>
      </c>
      <c r="G80" s="71" t="s">
        <v>649</v>
      </c>
      <c r="H80" s="66" t="str">
        <f t="shared" si="42"/>
        <v>REDOVNA DJELATNOST SVEUČILIŠTA U ZAGREBU (IZ EVIDENCIJSKIH PRIHODA)</v>
      </c>
      <c r="I80" s="220">
        <v>71741.37</v>
      </c>
      <c r="J80" s="220">
        <v>84103.372799999997</v>
      </c>
      <c r="K80" s="220">
        <v>85245.321679679997</v>
      </c>
      <c r="L80" s="44"/>
      <c r="M80" s="44" t="str">
        <f t="shared" si="3"/>
        <v>329</v>
      </c>
      <c r="N80" s="44" t="str">
        <f t="shared" si="4"/>
        <v>32</v>
      </c>
      <c r="O80" s="44"/>
      <c r="P80" s="44"/>
      <c r="Q80" s="44"/>
      <c r="R80" s="44">
        <v>3835</v>
      </c>
      <c r="S80" s="44" t="s">
        <v>829</v>
      </c>
      <c r="T80" s="44"/>
      <c r="U80" s="44" t="str">
        <f t="shared" si="5"/>
        <v>38</v>
      </c>
      <c r="V80" s="44" t="str">
        <f t="shared" si="6"/>
        <v>383</v>
      </c>
      <c r="W80" s="44"/>
      <c r="X80" s="60" t="s">
        <v>830</v>
      </c>
      <c r="Y80" s="60" t="s">
        <v>831</v>
      </c>
      <c r="Z80" s="44"/>
    </row>
    <row r="81" spans="1:26" ht="15.75" customHeight="1">
      <c r="A81" s="54" t="str">
        <f>IF(C81="","",VLOOKUP('Opći dio'!$C$3,'Opći dio'!$L$6:$U$137,10,FALSE))</f>
        <v>08006</v>
      </c>
      <c r="B81" s="54" t="str">
        <f>IF(C81="","",VLOOKUP('Opći dio'!$C$3,'Opći dio'!$L$6:$U$137,9,FALSE))</f>
        <v>Sveučilišta i veleučilišta u Republici Hrvatskoj</v>
      </c>
      <c r="C81" s="71">
        <v>43</v>
      </c>
      <c r="D81" s="66" t="str">
        <f t="shared" si="0"/>
        <v>Ostali prihodi za posebne namjene</v>
      </c>
      <c r="E81" s="71">
        <v>3294</v>
      </c>
      <c r="F81" s="66" t="str">
        <f t="shared" si="40"/>
        <v>Članarine i norme</v>
      </c>
      <c r="G81" s="71" t="s">
        <v>649</v>
      </c>
      <c r="H81" s="66" t="str">
        <f t="shared" si="42"/>
        <v>REDOVNA DJELATNOST SVEUČILIŠTA U ZAGREBU (IZ EVIDENCIJSKIH PRIHODA)</v>
      </c>
      <c r="I81" s="220">
        <v>44458.404999999999</v>
      </c>
      <c r="J81" s="220">
        <v>51910.97</v>
      </c>
      <c r="K81" s="220">
        <v>52430.079700000002</v>
      </c>
      <c r="L81" s="44"/>
      <c r="M81" s="44" t="str">
        <f t="shared" si="3"/>
        <v>329</v>
      </c>
      <c r="N81" s="44" t="str">
        <f t="shared" si="4"/>
        <v>32</v>
      </c>
      <c r="O81" s="44"/>
      <c r="P81" s="44"/>
      <c r="Q81" s="44"/>
      <c r="R81" s="44">
        <v>3861</v>
      </c>
      <c r="S81" s="44" t="s">
        <v>832</v>
      </c>
      <c r="T81" s="44"/>
      <c r="U81" s="44" t="str">
        <f t="shared" si="5"/>
        <v>38</v>
      </c>
      <c r="V81" s="44" t="str">
        <f t="shared" si="6"/>
        <v>386</v>
      </c>
      <c r="W81" s="44"/>
      <c r="X81" s="60" t="s">
        <v>833</v>
      </c>
      <c r="Y81" s="60" t="s">
        <v>834</v>
      </c>
      <c r="Z81" s="44"/>
    </row>
    <row r="82" spans="1:26" ht="15.75" customHeight="1">
      <c r="A82" s="54" t="str">
        <f>IF(C82="","",VLOOKUP('Opći dio'!$C$3,'Opći dio'!$L$6:$U$137,10,FALSE))</f>
        <v>08006</v>
      </c>
      <c r="B82" s="54" t="str">
        <f>IF(C82="","",VLOOKUP('Opći dio'!$C$3,'Opći dio'!$L$6:$U$137,9,FALSE))</f>
        <v>Sveučilišta i veleučilišta u Republici Hrvatskoj</v>
      </c>
      <c r="C82" s="71">
        <v>43</v>
      </c>
      <c r="D82" s="66" t="str">
        <f t="shared" si="0"/>
        <v>Ostali prihodi za posebne namjene</v>
      </c>
      <c r="E82" s="71">
        <v>3295</v>
      </c>
      <c r="F82" s="66" t="str">
        <f t="shared" si="40"/>
        <v>Pristojbe i naknade</v>
      </c>
      <c r="G82" s="71" t="s">
        <v>649</v>
      </c>
      <c r="H82" s="66" t="str">
        <f t="shared" si="42"/>
        <v>REDOVNA DJELATNOST SVEUČILIŠTA U ZAGREBU (IZ EVIDENCIJSKIH PRIHODA)</v>
      </c>
      <c r="I82" s="220">
        <v>42083.979999999996</v>
      </c>
      <c r="J82" s="220">
        <v>49138.52</v>
      </c>
      <c r="K82" s="220">
        <v>49629.905199999994</v>
      </c>
      <c r="L82" s="44"/>
      <c r="M82" s="44" t="str">
        <f t="shared" si="3"/>
        <v>329</v>
      </c>
      <c r="N82" s="44" t="str">
        <f t="shared" si="4"/>
        <v>32</v>
      </c>
      <c r="O82" s="44"/>
      <c r="P82" s="44"/>
      <c r="Q82" s="44"/>
      <c r="R82" s="44">
        <v>3862</v>
      </c>
      <c r="S82" s="44" t="s">
        <v>835</v>
      </c>
      <c r="T82" s="44"/>
      <c r="U82" s="44" t="str">
        <f t="shared" si="5"/>
        <v>38</v>
      </c>
      <c r="V82" s="44" t="str">
        <f t="shared" si="6"/>
        <v>386</v>
      </c>
      <c r="W82" s="44"/>
      <c r="X82" s="60" t="s">
        <v>836</v>
      </c>
      <c r="Y82" s="60" t="s">
        <v>837</v>
      </c>
      <c r="Z82" s="44"/>
    </row>
    <row r="83" spans="1:26" ht="15.75" customHeight="1">
      <c r="A83" s="54" t="str">
        <f>IF(C83="","",VLOOKUP('Opći dio'!$C$3,'Opći dio'!$L$6:$U$137,10,FALSE))</f>
        <v>08006</v>
      </c>
      <c r="B83" s="54" t="str">
        <f>IF(C83="","",VLOOKUP('Opći dio'!$C$3,'Opći dio'!$L$6:$U$137,9,FALSE))</f>
        <v>Sveučilišta i veleučilišta u Republici Hrvatskoj</v>
      </c>
      <c r="C83" s="71">
        <v>43</v>
      </c>
      <c r="D83" s="66" t="str">
        <f t="shared" si="0"/>
        <v>Ostali prihodi za posebne namjene</v>
      </c>
      <c r="E83" s="71">
        <v>3299</v>
      </c>
      <c r="F83" s="66" t="str">
        <f t="shared" si="40"/>
        <v>Ostali nespomenuti rashodi poslovanja</v>
      </c>
      <c r="G83" s="71" t="s">
        <v>649</v>
      </c>
      <c r="H83" s="66" t="str">
        <f t="shared" si="42"/>
        <v>REDOVNA DJELATNOST SVEUČILIŠTA U ZAGREBU (IZ EVIDENCIJSKIH PRIHODA)</v>
      </c>
      <c r="I83" s="220">
        <v>809735.15</v>
      </c>
      <c r="J83" s="220">
        <v>947182.4095999999</v>
      </c>
      <c r="K83" s="220">
        <v>958186.88257375988</v>
      </c>
      <c r="L83" s="44"/>
      <c r="M83" s="44" t="str">
        <f t="shared" si="3"/>
        <v>329</v>
      </c>
      <c r="N83" s="44" t="str">
        <f t="shared" si="4"/>
        <v>32</v>
      </c>
      <c r="O83" s="44"/>
      <c r="P83" s="44"/>
      <c r="Q83" s="44"/>
      <c r="R83" s="44">
        <v>3863</v>
      </c>
      <c r="S83" s="44" t="s">
        <v>838</v>
      </c>
      <c r="T83" s="44"/>
      <c r="U83" s="44" t="str">
        <f t="shared" si="5"/>
        <v>38</v>
      </c>
      <c r="V83" s="44" t="str">
        <f t="shared" si="6"/>
        <v>386</v>
      </c>
      <c r="W83" s="44"/>
      <c r="X83" s="60" t="s">
        <v>839</v>
      </c>
      <c r="Y83" s="60" t="s">
        <v>840</v>
      </c>
      <c r="Z83" s="44"/>
    </row>
    <row r="84" spans="1:26" ht="15.75" customHeight="1">
      <c r="A84" s="54" t="str">
        <f>IF(C84="","",VLOOKUP('Opći dio'!$C$3,'Opći dio'!$L$6:$U$137,10,FALSE))</f>
        <v>08006</v>
      </c>
      <c r="B84" s="54" t="str">
        <f>IF(C84="","",VLOOKUP('Opći dio'!$C$3,'Opći dio'!$L$6:$U$137,9,FALSE))</f>
        <v>Sveučilišta i veleučilišta u Republici Hrvatskoj</v>
      </c>
      <c r="C84" s="71">
        <v>43</v>
      </c>
      <c r="D84" s="66" t="str">
        <f t="shared" si="0"/>
        <v>Ostali prihodi za posebne namjene</v>
      </c>
      <c r="E84" s="71">
        <v>3431</v>
      </c>
      <c r="F84" s="66" t="str">
        <f t="shared" si="40"/>
        <v>Bankarske usluge i usluge platnog prometa</v>
      </c>
      <c r="G84" s="71" t="s">
        <v>649</v>
      </c>
      <c r="H84" s="66" t="str">
        <f t="shared" si="42"/>
        <v>REDOVNA DJELATNOST SVEUČILIŠTA U ZAGREBU (IZ EVIDENCIJSKIH PRIHODA)</v>
      </c>
      <c r="I84" s="220">
        <v>37806.555</v>
      </c>
      <c r="J84" s="220">
        <v>44144.07</v>
      </c>
      <c r="K84" s="220">
        <v>44585.510699999999</v>
      </c>
      <c r="L84" s="44"/>
      <c r="M84" s="44" t="str">
        <f t="shared" si="3"/>
        <v>343</v>
      </c>
      <c r="N84" s="44" t="str">
        <f t="shared" si="4"/>
        <v>34</v>
      </c>
      <c r="O84" s="44"/>
      <c r="P84" s="44"/>
      <c r="Q84" s="44"/>
      <c r="R84" s="44">
        <v>4111</v>
      </c>
      <c r="S84" s="44" t="s">
        <v>841</v>
      </c>
      <c r="T84" s="44"/>
      <c r="U84" s="44" t="str">
        <f t="shared" si="5"/>
        <v>41</v>
      </c>
      <c r="V84" s="44" t="str">
        <f t="shared" si="6"/>
        <v>411</v>
      </c>
      <c r="W84" s="44"/>
      <c r="X84" s="60" t="s">
        <v>842</v>
      </c>
      <c r="Y84" s="60" t="s">
        <v>843</v>
      </c>
      <c r="Z84" s="44"/>
    </row>
    <row r="85" spans="1:26" ht="15.75" customHeight="1">
      <c r="A85" s="54" t="str">
        <f>IF(C85="","",VLOOKUP('Opći dio'!$C$3,'Opći dio'!$L$6:$U$137,10,FALSE))</f>
        <v>08006</v>
      </c>
      <c r="B85" s="54" t="str">
        <f>IF(C85="","",VLOOKUP('Opći dio'!$C$3,'Opći dio'!$L$6:$U$137,9,FALSE))</f>
        <v>Sveučilišta i veleučilišta u Republici Hrvatskoj</v>
      </c>
      <c r="C85" s="71">
        <v>43</v>
      </c>
      <c r="D85" s="66" t="str">
        <f t="shared" si="0"/>
        <v>Ostali prihodi za posebne namjene</v>
      </c>
      <c r="E85" s="71">
        <v>3721</v>
      </c>
      <c r="F85" s="66" t="str">
        <f t="shared" si="40"/>
        <v>Naknade građanima i kućanstvima u novcu</v>
      </c>
      <c r="G85" s="71" t="s">
        <v>649</v>
      </c>
      <c r="H85" s="66" t="str">
        <f t="shared" si="42"/>
        <v>REDOVNA DJELATNOST SVEUČILIŠTA U ZAGREBU (IZ EVIDENCIJSKIH PRIHODA)</v>
      </c>
      <c r="I85" s="220">
        <v>58987.81</v>
      </c>
      <c r="J85" s="220">
        <v>86035.94</v>
      </c>
      <c r="K85" s="220">
        <v>102264.79540000002</v>
      </c>
      <c r="L85" s="44"/>
      <c r="M85" s="44" t="str">
        <f t="shared" si="3"/>
        <v>372</v>
      </c>
      <c r="N85" s="44" t="str">
        <f t="shared" si="4"/>
        <v>37</v>
      </c>
      <c r="O85" s="44"/>
      <c r="P85" s="44"/>
      <c r="Q85" s="44"/>
      <c r="R85" s="44">
        <v>4113</v>
      </c>
      <c r="S85" s="44" t="s">
        <v>844</v>
      </c>
      <c r="T85" s="44"/>
      <c r="U85" s="44" t="str">
        <f t="shared" si="5"/>
        <v>41</v>
      </c>
      <c r="V85" s="44" t="str">
        <f t="shared" si="6"/>
        <v>411</v>
      </c>
      <c r="W85" s="44"/>
      <c r="X85" s="60" t="s">
        <v>845</v>
      </c>
      <c r="Y85" s="60" t="s">
        <v>846</v>
      </c>
      <c r="Z85" s="44"/>
    </row>
    <row r="86" spans="1:26" ht="15.75" customHeight="1">
      <c r="A86" s="54" t="str">
        <f>IF(C86="","",VLOOKUP('Opći dio'!$C$3,'Opći dio'!$L$6:$U$137,10,FALSE))</f>
        <v>08006</v>
      </c>
      <c r="B86" s="54" t="str">
        <f>IF(C86="","",VLOOKUP('Opći dio'!$C$3,'Opći dio'!$L$6:$U$137,9,FALSE))</f>
        <v>Sveučilišta i veleučilišta u Republici Hrvatskoj</v>
      </c>
      <c r="C86" s="71">
        <v>43</v>
      </c>
      <c r="D86" s="66" t="str">
        <f t="shared" si="0"/>
        <v>Ostali prihodi za posebne namjene</v>
      </c>
      <c r="E86" s="71">
        <v>4124</v>
      </c>
      <c r="F86" s="66" t="str">
        <f t="shared" si="40"/>
        <v>Ostala prava</v>
      </c>
      <c r="G86" s="71" t="s">
        <v>649</v>
      </c>
      <c r="H86" s="66" t="str">
        <f t="shared" si="42"/>
        <v>REDOVNA DJELATNOST SVEUČILIŠTA U ZAGREBU (IZ EVIDENCIJSKIH PRIHODA)</v>
      </c>
      <c r="I86" s="220">
        <v>855158.03</v>
      </c>
      <c r="J86" s="220">
        <v>998508.22</v>
      </c>
      <c r="K86" s="220">
        <v>1008493.3021999999</v>
      </c>
      <c r="L86" s="44"/>
      <c r="M86" s="44" t="str">
        <f t="shared" si="3"/>
        <v>412</v>
      </c>
      <c r="N86" s="44" t="str">
        <f t="shared" si="4"/>
        <v>41</v>
      </c>
      <c r="O86" s="44"/>
      <c r="P86" s="44"/>
      <c r="Q86" s="44"/>
      <c r="R86" s="44">
        <v>4122</v>
      </c>
      <c r="S86" s="44" t="s">
        <v>847</v>
      </c>
      <c r="T86" s="44"/>
      <c r="U86" s="44" t="str">
        <f t="shared" si="5"/>
        <v>41</v>
      </c>
      <c r="V86" s="44" t="str">
        <f t="shared" si="6"/>
        <v>412</v>
      </c>
      <c r="W86" s="44"/>
      <c r="X86" s="60" t="s">
        <v>848</v>
      </c>
      <c r="Y86" s="60" t="s">
        <v>849</v>
      </c>
      <c r="Z86" s="44"/>
    </row>
    <row r="87" spans="1:26" ht="15.75" customHeight="1">
      <c r="A87" s="54" t="str">
        <f>IF(C87="","",VLOOKUP('Opći dio'!$C$3,'Opći dio'!$L$6:$U$137,10,FALSE))</f>
        <v>08006</v>
      </c>
      <c r="B87" s="54" t="str">
        <f>IF(C87="","",VLOOKUP('Opći dio'!$C$3,'Opći dio'!$L$6:$U$137,9,FALSE))</f>
        <v>Sveučilišta i veleučilišta u Republici Hrvatskoj</v>
      </c>
      <c r="C87" s="71">
        <v>43</v>
      </c>
      <c r="D87" s="66" t="str">
        <f t="shared" si="0"/>
        <v>Ostali prihodi za posebne namjene</v>
      </c>
      <c r="E87" s="71">
        <v>4212</v>
      </c>
      <c r="F87" s="66" t="str">
        <f t="shared" si="40"/>
        <v>Poslovni objekti</v>
      </c>
      <c r="G87" s="71" t="s">
        <v>649</v>
      </c>
      <c r="H87" s="66" t="str">
        <f t="shared" si="42"/>
        <v>REDOVNA DJELATNOST SVEUČILIŠTA U ZAGREBU (IZ EVIDENCIJSKIH PRIHODA)</v>
      </c>
      <c r="I87" s="220">
        <v>63356.925000000003</v>
      </c>
      <c r="J87" s="220">
        <v>73977.45</v>
      </c>
      <c r="K87" s="220">
        <v>74717.224499999997</v>
      </c>
      <c r="L87" s="44"/>
      <c r="M87" s="44" t="str">
        <f t="shared" si="3"/>
        <v>421</v>
      </c>
      <c r="N87" s="44" t="str">
        <f t="shared" si="4"/>
        <v>42</v>
      </c>
      <c r="O87" s="44"/>
      <c r="P87" s="44"/>
      <c r="Q87" s="44"/>
      <c r="R87" s="44">
        <v>4123</v>
      </c>
      <c r="S87" s="44" t="s">
        <v>850</v>
      </c>
      <c r="T87" s="44"/>
      <c r="U87" s="44" t="str">
        <f t="shared" si="5"/>
        <v>41</v>
      </c>
      <c r="V87" s="44" t="str">
        <f t="shared" si="6"/>
        <v>412</v>
      </c>
      <c r="W87" s="44"/>
      <c r="X87" s="60" t="s">
        <v>851</v>
      </c>
      <c r="Y87" s="60" t="s">
        <v>852</v>
      </c>
      <c r="Z87" s="44"/>
    </row>
    <row r="88" spans="1:26" ht="15.75" customHeight="1">
      <c r="A88" s="54" t="str">
        <f>IF(C88="","",VLOOKUP('Opći dio'!$C$3,'Opći dio'!$L$6:$U$137,10,FALSE))</f>
        <v>08006</v>
      </c>
      <c r="B88" s="54" t="str">
        <f>IF(C88="","",VLOOKUP('Opći dio'!$C$3,'Opći dio'!$L$6:$U$137,9,FALSE))</f>
        <v>Sveučilišta i veleučilišta u Republici Hrvatskoj</v>
      </c>
      <c r="C88" s="71">
        <v>43</v>
      </c>
      <c r="D88" s="66" t="str">
        <f t="shared" si="0"/>
        <v>Ostali prihodi za posebne namjene</v>
      </c>
      <c r="E88" s="71">
        <v>4221</v>
      </c>
      <c r="F88" s="66" t="str">
        <f t="shared" si="40"/>
        <v>Uredska oprema i namještaj</v>
      </c>
      <c r="G88" s="71" t="s">
        <v>649</v>
      </c>
      <c r="H88" s="66" t="str">
        <f t="shared" si="42"/>
        <v>REDOVNA DJELATNOST SVEUČILIŠTA U ZAGREBU (IZ EVIDENCIJSKIH PRIHODA)</v>
      </c>
      <c r="I88" s="220">
        <v>1368910.075</v>
      </c>
      <c r="J88" s="220">
        <v>1605682.8164000001</v>
      </c>
      <c r="K88" s="220">
        <v>1628279.5543518402</v>
      </c>
      <c r="L88" s="44"/>
      <c r="M88" s="44" t="str">
        <f t="shared" si="3"/>
        <v>422</v>
      </c>
      <c r="N88" s="44" t="str">
        <f t="shared" si="4"/>
        <v>42</v>
      </c>
      <c r="O88" s="44"/>
      <c r="P88" s="44"/>
      <c r="Q88" s="44"/>
      <c r="R88" s="44">
        <v>4124</v>
      </c>
      <c r="S88" s="44" t="s">
        <v>853</v>
      </c>
      <c r="T88" s="44"/>
      <c r="U88" s="44" t="str">
        <f t="shared" si="5"/>
        <v>41</v>
      </c>
      <c r="V88" s="44" t="str">
        <f t="shared" si="6"/>
        <v>412</v>
      </c>
      <c r="W88" s="44"/>
      <c r="X88" s="60" t="s">
        <v>854</v>
      </c>
      <c r="Y88" s="60" t="s">
        <v>855</v>
      </c>
      <c r="Z88" s="44"/>
    </row>
    <row r="89" spans="1:26" ht="15.75" customHeight="1">
      <c r="A89" s="54" t="str">
        <f>IF(C89="","",VLOOKUP('Opći dio'!$C$3,'Opći dio'!$L$6:$U$137,10,FALSE))</f>
        <v>08006</v>
      </c>
      <c r="B89" s="54" t="str">
        <f>IF(C89="","",VLOOKUP('Opći dio'!$C$3,'Opći dio'!$L$6:$U$137,9,FALSE))</f>
        <v>Sveučilišta i veleučilišta u Republici Hrvatskoj</v>
      </c>
      <c r="C89" s="71">
        <v>43</v>
      </c>
      <c r="D89" s="66" t="str">
        <f t="shared" si="0"/>
        <v>Ostali prihodi za posebne namjene</v>
      </c>
      <c r="E89" s="71">
        <v>4222</v>
      </c>
      <c r="F89" s="66" t="str">
        <f>'[1]Plan rashoda za unos u SAP'!F89</f>
        <v>Komunikacijska oprema</v>
      </c>
      <c r="G89" s="71" t="s">
        <v>649</v>
      </c>
      <c r="H89" s="66" t="str">
        <f t="shared" si="42"/>
        <v>REDOVNA DJELATNOST SVEUČILIŠTA U ZAGREBU (IZ EVIDENCIJSKIH PRIHODA)</v>
      </c>
      <c r="I89" s="220">
        <v>42417.004999999997</v>
      </c>
      <c r="J89" s="220">
        <v>49527.37</v>
      </c>
      <c r="K89" s="220">
        <v>50022.643700000001</v>
      </c>
      <c r="L89" s="44"/>
      <c r="M89" s="44" t="str">
        <f t="shared" si="3"/>
        <v>422</v>
      </c>
      <c r="N89" s="44" t="str">
        <f t="shared" si="4"/>
        <v>42</v>
      </c>
      <c r="O89" s="44"/>
      <c r="P89" s="44"/>
      <c r="Q89" s="44"/>
      <c r="R89" s="44">
        <v>4126</v>
      </c>
      <c r="S89" s="44" t="s">
        <v>856</v>
      </c>
      <c r="T89" s="44"/>
      <c r="U89" s="44" t="str">
        <f t="shared" si="5"/>
        <v>41</v>
      </c>
      <c r="V89" s="44" t="str">
        <f t="shared" si="6"/>
        <v>412</v>
      </c>
      <c r="W89" s="44"/>
      <c r="X89" s="60" t="s">
        <v>857</v>
      </c>
      <c r="Y89" s="60" t="s">
        <v>858</v>
      </c>
      <c r="Z89" s="44"/>
    </row>
    <row r="90" spans="1:26" ht="15.75" customHeight="1">
      <c r="A90" s="54" t="str">
        <f>IF(C90="","",VLOOKUP('Opći dio'!$C$3,'Opći dio'!$L$6:$U$137,10,FALSE))</f>
        <v>08006</v>
      </c>
      <c r="B90" s="54" t="str">
        <f>IF(C90="","",VLOOKUP('Opći dio'!$C$3,'Opći dio'!$L$6:$U$137,9,FALSE))</f>
        <v>Sveučilišta i veleučilišta u Republici Hrvatskoj</v>
      </c>
      <c r="C90" s="71">
        <v>43</v>
      </c>
      <c r="D90" s="66" t="str">
        <f t="shared" si="0"/>
        <v>Ostali prihodi za posebne namjene</v>
      </c>
      <c r="E90" s="71">
        <v>4223</v>
      </c>
      <c r="F90" s="66" t="str">
        <f>'[1]Plan rashoda za unos u SAP'!F90</f>
        <v>Oprema za održavanje i zaštitu</v>
      </c>
      <c r="G90" s="71" t="s">
        <v>649</v>
      </c>
      <c r="H90" s="66" t="str">
        <f t="shared" si="42"/>
        <v>REDOVNA DJELATNOST SVEUČILIŠTA U ZAGREBU (IZ EVIDENCIJSKIH PRIHODA)</v>
      </c>
      <c r="I90" s="220">
        <v>158081.345</v>
      </c>
      <c r="J90" s="220">
        <v>217853.08359999995</v>
      </c>
      <c r="K90" s="220">
        <v>249830.51344015996</v>
      </c>
      <c r="L90" s="44"/>
      <c r="M90" s="44" t="str">
        <f t="shared" si="3"/>
        <v>422</v>
      </c>
      <c r="N90" s="44" t="str">
        <f t="shared" si="4"/>
        <v>42</v>
      </c>
      <c r="O90" s="44"/>
      <c r="P90" s="44"/>
      <c r="Q90" s="44"/>
      <c r="R90" s="44">
        <v>4211</v>
      </c>
      <c r="S90" s="44" t="s">
        <v>859</v>
      </c>
      <c r="T90" s="44"/>
      <c r="U90" s="44" t="str">
        <f t="shared" si="5"/>
        <v>42</v>
      </c>
      <c r="V90" s="44" t="str">
        <f t="shared" si="6"/>
        <v>421</v>
      </c>
      <c r="W90" s="44"/>
      <c r="X90" s="60" t="s">
        <v>860</v>
      </c>
      <c r="Y90" s="60" t="s">
        <v>861</v>
      </c>
      <c r="Z90" s="44"/>
    </row>
    <row r="91" spans="1:26" ht="15.75" customHeight="1">
      <c r="A91" s="54" t="str">
        <f>IF(C91="","",VLOOKUP('Opći dio'!$C$3,'Opći dio'!$L$6:$U$137,10,FALSE))</f>
        <v>08006</v>
      </c>
      <c r="B91" s="54" t="str">
        <f>IF(C91="","",VLOOKUP('Opći dio'!$C$3,'Opći dio'!$L$6:$U$137,9,FALSE))</f>
        <v>Sveučilišta i veleučilišta u Republici Hrvatskoj</v>
      </c>
      <c r="C91" s="71">
        <v>43</v>
      </c>
      <c r="D91" s="66" t="str">
        <f t="shared" si="0"/>
        <v>Ostali prihodi za posebne namjene</v>
      </c>
      <c r="E91" s="71">
        <v>4224</v>
      </c>
      <c r="F91" s="66" t="str">
        <f>'[1]Plan rashoda za unos u SAP'!F91</f>
        <v>Medicinska i laboratorijska oprema</v>
      </c>
      <c r="G91" s="71" t="s">
        <v>649</v>
      </c>
      <c r="H91" s="66" t="str">
        <f t="shared" si="42"/>
        <v>REDOVNA DJELATNOST SVEUČILIŠTA U ZAGREBU (IZ EVIDENCIJSKIH PRIHODA)</v>
      </c>
      <c r="I91" s="220">
        <v>46309.504999999997</v>
      </c>
      <c r="J91" s="220">
        <v>133140.61640000006</v>
      </c>
      <c r="K91" s="220">
        <v>205285.54403984011</v>
      </c>
      <c r="L91" s="44"/>
      <c r="M91" s="44" t="str">
        <f t="shared" si="3"/>
        <v>422</v>
      </c>
      <c r="N91" s="44" t="str">
        <f t="shared" si="4"/>
        <v>42</v>
      </c>
      <c r="O91" s="44"/>
      <c r="P91" s="44"/>
      <c r="Q91" s="44"/>
      <c r="R91" s="44">
        <v>4212</v>
      </c>
      <c r="S91" s="44" t="s">
        <v>862</v>
      </c>
      <c r="T91" s="44"/>
      <c r="U91" s="44" t="str">
        <f t="shared" si="5"/>
        <v>42</v>
      </c>
      <c r="V91" s="44" t="str">
        <f t="shared" si="6"/>
        <v>421</v>
      </c>
      <c r="W91" s="44"/>
      <c r="X91" s="60" t="s">
        <v>863</v>
      </c>
      <c r="Y91" s="60" t="s">
        <v>864</v>
      </c>
      <c r="Z91" s="44"/>
    </row>
    <row r="92" spans="1:26" ht="15.75" customHeight="1">
      <c r="A92" s="54" t="str">
        <f>IF(C92="","",VLOOKUP('Opći dio'!$C$3,'Opći dio'!$L$6:$U$137,10,FALSE))</f>
        <v>08006</v>
      </c>
      <c r="B92" s="54" t="str">
        <f>IF(C92="","",VLOOKUP('Opći dio'!$C$3,'Opći dio'!$L$6:$U$137,9,FALSE))</f>
        <v>Sveučilišta i veleučilišta u Republici Hrvatskoj</v>
      </c>
      <c r="C92" s="71">
        <v>43</v>
      </c>
      <c r="D92" s="66" t="str">
        <f t="shared" si="0"/>
        <v>Ostali prihodi za posebne namjene</v>
      </c>
      <c r="E92" s="71">
        <v>4225</v>
      </c>
      <c r="F92" s="66" t="str">
        <f>'[1]Plan rashoda za unos u SAP'!F92</f>
        <v>Instrumenti, uređaji i strojevi</v>
      </c>
      <c r="G92" s="71" t="s">
        <v>649</v>
      </c>
      <c r="H92" s="66" t="str">
        <f t="shared" si="42"/>
        <v>REDOVNA DJELATNOST SVEUČILIŠTA U ZAGREBU (IZ EVIDENCIJSKIH PRIHODA)</v>
      </c>
      <c r="I92" s="220">
        <v>68667.16</v>
      </c>
      <c r="J92" s="220">
        <v>80778.211200000005</v>
      </c>
      <c r="K92" s="220">
        <v>82123.685758720007</v>
      </c>
      <c r="L92" s="44"/>
      <c r="M92" s="44" t="str">
        <f t="shared" si="3"/>
        <v>422</v>
      </c>
      <c r="N92" s="44" t="str">
        <f t="shared" si="4"/>
        <v>42</v>
      </c>
      <c r="O92" s="44"/>
      <c r="P92" s="44"/>
      <c r="Q92" s="44"/>
      <c r="R92" s="44">
        <v>4213</v>
      </c>
      <c r="S92" s="44" t="s">
        <v>865</v>
      </c>
      <c r="T92" s="44"/>
      <c r="U92" s="44" t="str">
        <f t="shared" si="5"/>
        <v>42</v>
      </c>
      <c r="V92" s="44" t="str">
        <f t="shared" si="6"/>
        <v>421</v>
      </c>
      <c r="W92" s="44"/>
      <c r="X92" s="60" t="s">
        <v>866</v>
      </c>
      <c r="Y92" s="60" t="s">
        <v>867</v>
      </c>
      <c r="Z92" s="44"/>
    </row>
    <row r="93" spans="1:26" ht="15.75" customHeight="1">
      <c r="A93" s="54" t="str">
        <f>IF(C93="","",VLOOKUP('Opći dio'!$C$3,'Opći dio'!$L$6:$U$137,10,FALSE))</f>
        <v>08006</v>
      </c>
      <c r="B93" s="54" t="str">
        <f>IF(C93="","",VLOOKUP('Opći dio'!$C$3,'Opći dio'!$L$6:$U$137,9,FALSE))</f>
        <v>Sveučilišta i veleučilišta u Republici Hrvatskoj</v>
      </c>
      <c r="C93" s="71">
        <v>43</v>
      </c>
      <c r="D93" s="66" t="str">
        <f t="shared" si="0"/>
        <v>Ostali prihodi za posebne namjene</v>
      </c>
      <c r="E93" s="71">
        <v>4241</v>
      </c>
      <c r="F93" s="66" t="str">
        <f>'[1]Plan rashoda za unos u SAP'!F93</f>
        <v>Knjige</v>
      </c>
      <c r="G93" s="71" t="s">
        <v>649</v>
      </c>
      <c r="H93" s="66" t="str">
        <f t="shared" si="42"/>
        <v>REDOVNA DJELATNOST SVEUČILIŠTA U ZAGREBU (IZ EVIDENCIJSKIH PRIHODA)</v>
      </c>
      <c r="I93" s="220">
        <v>34393.264999999999</v>
      </c>
      <c r="J93" s="220">
        <v>43352.085999999996</v>
      </c>
      <c r="K93" s="220">
        <v>46645.683965599994</v>
      </c>
      <c r="L93" s="44"/>
      <c r="M93" s="44" t="str">
        <f t="shared" si="3"/>
        <v>424</v>
      </c>
      <c r="N93" s="44" t="str">
        <f t="shared" si="4"/>
        <v>42</v>
      </c>
      <c r="O93" s="44"/>
      <c r="P93" s="44"/>
      <c r="Q93" s="44"/>
      <c r="R93" s="44">
        <v>4214</v>
      </c>
      <c r="S93" s="44" t="s">
        <v>868</v>
      </c>
      <c r="T93" s="44"/>
      <c r="U93" s="44" t="str">
        <f t="shared" si="5"/>
        <v>42</v>
      </c>
      <c r="V93" s="44" t="str">
        <f t="shared" si="6"/>
        <v>421</v>
      </c>
      <c r="W93" s="44"/>
      <c r="X93" s="60" t="s">
        <v>869</v>
      </c>
      <c r="Y93" s="60" t="s">
        <v>870</v>
      </c>
      <c r="Z93" s="44"/>
    </row>
    <row r="94" spans="1:26" ht="15.75" customHeight="1">
      <c r="A94" s="54" t="str">
        <f>IF(C94="","",VLOOKUP('Opći dio'!$C$3,'Opći dio'!$L$6:$U$137,10,FALSE))</f>
        <v>08006</v>
      </c>
      <c r="B94" s="54" t="str">
        <f>IF(C94="","",VLOOKUP('Opći dio'!$C$3,'Opći dio'!$L$6:$U$137,9,FALSE))</f>
        <v>Sveučilišta i veleučilišta u Republici Hrvatskoj</v>
      </c>
      <c r="C94" s="71">
        <v>43</v>
      </c>
      <c r="D94" s="66" t="str">
        <f t="shared" si="0"/>
        <v>Ostali prihodi za posebne namjene</v>
      </c>
      <c r="E94" s="71">
        <v>4262</v>
      </c>
      <c r="F94" s="66" t="str">
        <f>'[1]Plan rashoda za unos u SAP'!F94</f>
        <v>Ulaganja u računalne programe</v>
      </c>
      <c r="G94" s="71" t="s">
        <v>649</v>
      </c>
      <c r="H94" s="66" t="str">
        <f t="shared" si="42"/>
        <v>REDOVNA DJELATNOST SVEUČILIŠTA U ZAGREBU (IZ EVIDENCIJSKIH PRIHODA)</v>
      </c>
      <c r="I94" s="220">
        <v>444813.27500000002</v>
      </c>
      <c r="J94" s="220">
        <v>522122.94999999995</v>
      </c>
      <c r="K94" s="220">
        <v>529803.13886000006</v>
      </c>
      <c r="L94" s="44"/>
      <c r="M94" s="44" t="str">
        <f t="shared" si="3"/>
        <v>426</v>
      </c>
      <c r="N94" s="44" t="str">
        <f t="shared" si="4"/>
        <v>42</v>
      </c>
      <c r="O94" s="44"/>
      <c r="P94" s="44"/>
      <c r="Q94" s="44"/>
      <c r="R94" s="44">
        <v>4221</v>
      </c>
      <c r="S94" s="44" t="s">
        <v>871</v>
      </c>
      <c r="T94" s="44"/>
      <c r="U94" s="44" t="str">
        <f t="shared" si="5"/>
        <v>42</v>
      </c>
      <c r="V94" s="44" t="str">
        <f t="shared" si="6"/>
        <v>422</v>
      </c>
      <c r="W94" s="44"/>
      <c r="X94" s="60" t="s">
        <v>872</v>
      </c>
      <c r="Y94" s="60" t="s">
        <v>873</v>
      </c>
      <c r="Z94" s="44"/>
    </row>
    <row r="95" spans="1:26" ht="15.75" customHeight="1">
      <c r="A95" s="66" t="str">
        <f>IF(C95="","",VLOOKUP('Opći dio'!$C$3,'Opći dio'!$L$6:$U$137,10,FALSE))</f>
        <v/>
      </c>
      <c r="B95" s="66" t="str">
        <f>IF(C95="","",VLOOKUP('Opći dio'!$C$3,'Opći dio'!$L$6:$U$137,9,FALSE))</f>
        <v/>
      </c>
      <c r="C95" s="71"/>
      <c r="D95" s="66" t="str">
        <f t="shared" si="0"/>
        <v/>
      </c>
      <c r="E95" s="71"/>
      <c r="F95" s="66" t="str">
        <f t="shared" ref="F95:F116" si="43">IFERROR(VLOOKUP(E95,$R$5:$T$109,2,FALSE),"")</f>
        <v/>
      </c>
      <c r="G95" s="71"/>
      <c r="H95" s="66" t="str">
        <f t="shared" si="42"/>
        <v/>
      </c>
      <c r="I95" s="59"/>
      <c r="J95" s="59"/>
      <c r="K95" s="59"/>
      <c r="L95" s="44"/>
      <c r="M95" s="44" t="str">
        <f t="shared" si="3"/>
        <v/>
      </c>
      <c r="N95" s="44" t="str">
        <f t="shared" si="4"/>
        <v/>
      </c>
      <c r="O95" s="44"/>
      <c r="P95" s="44"/>
      <c r="Q95" s="44"/>
      <c r="R95" s="44">
        <v>4531</v>
      </c>
      <c r="S95" s="44" t="s">
        <v>936</v>
      </c>
      <c r="T95" s="44"/>
      <c r="U95" s="44" t="str">
        <f t="shared" si="5"/>
        <v>45</v>
      </c>
      <c r="V95" s="44" t="str">
        <f t="shared" si="6"/>
        <v>453</v>
      </c>
      <c r="W95" s="44"/>
      <c r="X95" s="60" t="s">
        <v>937</v>
      </c>
      <c r="Y95" s="60" t="s">
        <v>938</v>
      </c>
      <c r="Z95" s="44"/>
    </row>
    <row r="96" spans="1:26" ht="15.75" customHeight="1">
      <c r="A96" s="222" t="str">
        <f>IF(C96="","",VLOOKUP('[1]Opći dio'!$C$3,'[1]Opći dio'!$L$6:$U$137,10,FALSE))</f>
        <v>08006</v>
      </c>
      <c r="B96" s="222" t="str">
        <f>IF(C96="","",VLOOKUP('[1]Opći dio'!$C$3,'[1]Opći dio'!$L$6:$U$137,9,FALSE))</f>
        <v>Sveučilišta i veleučilišta u Republici Hrvatskoj</v>
      </c>
      <c r="C96" s="223">
        <v>52</v>
      </c>
      <c r="D96" s="224" t="str">
        <f t="shared" si="0"/>
        <v>Ostale pomoći</v>
      </c>
      <c r="E96" s="227">
        <v>3111</v>
      </c>
      <c r="F96" s="225" t="str">
        <f t="shared" si="43"/>
        <v>Plaće za redovan rad</v>
      </c>
      <c r="G96" s="223" t="s">
        <v>649</v>
      </c>
      <c r="H96" s="222" t="str">
        <f t="shared" si="42"/>
        <v>REDOVNA DJELATNOST SVEUČILIŠTA U ZAGREBU (IZ EVIDENCIJSKIH PRIHODA)</v>
      </c>
      <c r="I96" s="226">
        <v>4232128.8335999995</v>
      </c>
      <c r="J96" s="221">
        <v>4740078</v>
      </c>
      <c r="K96" s="221">
        <v>4561212</v>
      </c>
      <c r="L96" s="44"/>
      <c r="M96" s="44" t="str">
        <f t="shared" si="3"/>
        <v>311</v>
      </c>
      <c r="N96" s="44" t="str">
        <f t="shared" si="4"/>
        <v>31</v>
      </c>
      <c r="O96" s="44"/>
      <c r="P96" s="44"/>
      <c r="Q96" s="44"/>
      <c r="R96" s="44">
        <v>4541</v>
      </c>
      <c r="S96" s="44" t="s">
        <v>939</v>
      </c>
      <c r="T96" s="44"/>
      <c r="U96" s="44" t="str">
        <f t="shared" si="5"/>
        <v>45</v>
      </c>
      <c r="V96" s="44" t="str">
        <f t="shared" si="6"/>
        <v>454</v>
      </c>
      <c r="W96" s="44"/>
      <c r="X96" s="60" t="s">
        <v>940</v>
      </c>
      <c r="Y96" s="60" t="s">
        <v>941</v>
      </c>
      <c r="Z96" s="44"/>
    </row>
    <row r="97" spans="1:26" ht="15.75" customHeight="1">
      <c r="A97" s="222" t="str">
        <f>IF(C97="","",VLOOKUP('[1]Opći dio'!$C$3,'[1]Opći dio'!$L$6:$U$137,10,FALSE))</f>
        <v>08006</v>
      </c>
      <c r="B97" s="222" t="str">
        <f>IF(C97="","",VLOOKUP('[1]Opći dio'!$C$3,'[1]Opći dio'!$L$6:$U$137,9,FALSE))</f>
        <v>Sveučilišta i veleučilišta u Republici Hrvatskoj</v>
      </c>
      <c r="C97" s="223">
        <v>52</v>
      </c>
      <c r="D97" s="224" t="str">
        <f t="shared" si="0"/>
        <v>Ostale pomoći</v>
      </c>
      <c r="E97" s="227">
        <v>3121</v>
      </c>
      <c r="F97" s="225" t="str">
        <f t="shared" si="43"/>
        <v>Ostali rashodi za zaposlene</v>
      </c>
      <c r="G97" s="223" t="s">
        <v>649</v>
      </c>
      <c r="H97" s="222" t="str">
        <f t="shared" si="42"/>
        <v>REDOVNA DJELATNOST SVEUČILIŠTA U ZAGREBU (IZ EVIDENCIJSKIH PRIHODA)</v>
      </c>
      <c r="I97" s="221">
        <v>83560.6155</v>
      </c>
      <c r="J97" s="221">
        <v>91409.414000000004</v>
      </c>
      <c r="K97" s="221">
        <v>81866.271178399998</v>
      </c>
      <c r="L97" s="44"/>
      <c r="M97" s="44" t="str">
        <f t="shared" si="3"/>
        <v>312</v>
      </c>
      <c r="N97" s="44" t="str">
        <f t="shared" si="4"/>
        <v>31</v>
      </c>
      <c r="O97" s="44"/>
      <c r="P97" s="44"/>
      <c r="Q97" s="44"/>
      <c r="R97" s="44">
        <v>5121</v>
      </c>
      <c r="S97" s="44" t="s">
        <v>942</v>
      </c>
      <c r="T97" s="44"/>
      <c r="U97" s="44" t="str">
        <f t="shared" si="5"/>
        <v>51</v>
      </c>
      <c r="V97" s="44" t="str">
        <f t="shared" si="6"/>
        <v>512</v>
      </c>
      <c r="W97" s="44"/>
      <c r="X97" s="60" t="s">
        <v>943</v>
      </c>
      <c r="Y97" s="60" t="s">
        <v>944</v>
      </c>
      <c r="Z97" s="44"/>
    </row>
    <row r="98" spans="1:26" ht="15.75" customHeight="1">
      <c r="A98" s="222" t="str">
        <f>IF(C98="","",VLOOKUP('[1]Opći dio'!$C$3,'[1]Opći dio'!$L$6:$U$137,10,FALSE))</f>
        <v>08006</v>
      </c>
      <c r="B98" s="222" t="str">
        <f>IF(C98="","",VLOOKUP('[1]Opći dio'!$C$3,'[1]Opći dio'!$L$6:$U$137,9,FALSE))</f>
        <v>Sveučilišta i veleučilišta u Republici Hrvatskoj</v>
      </c>
      <c r="C98" s="223">
        <v>52</v>
      </c>
      <c r="D98" s="224" t="str">
        <f t="shared" si="0"/>
        <v>Ostale pomoći</v>
      </c>
      <c r="E98" s="227">
        <v>3132</v>
      </c>
      <c r="F98" s="225" t="str">
        <f t="shared" si="43"/>
        <v>Doprinosi za obvezno zdravstveno osiguranje</v>
      </c>
      <c r="G98" s="223" t="s">
        <v>649</v>
      </c>
      <c r="H98" s="222" t="str">
        <f t="shared" si="42"/>
        <v>REDOVNA DJELATNOST SVEUČILIŠTA U ZAGREBU (IZ EVIDENCIJSKIH PRIHODA)</v>
      </c>
      <c r="I98" s="221">
        <v>671680.3101</v>
      </c>
      <c r="J98" s="221">
        <v>734770.83880000003</v>
      </c>
      <c r="K98" s="221">
        <v>658060.76322928001</v>
      </c>
      <c r="L98" s="44"/>
      <c r="M98" s="44" t="str">
        <f t="shared" si="3"/>
        <v>313</v>
      </c>
      <c r="N98" s="44" t="str">
        <f t="shared" si="4"/>
        <v>31</v>
      </c>
      <c r="O98" s="44"/>
      <c r="P98" s="44"/>
      <c r="Q98" s="44"/>
      <c r="R98" s="44">
        <v>5443</v>
      </c>
      <c r="S98" s="44" t="s">
        <v>945</v>
      </c>
      <c r="T98" s="44"/>
      <c r="U98" s="44" t="str">
        <f t="shared" si="5"/>
        <v>54</v>
      </c>
      <c r="V98" s="44" t="str">
        <f t="shared" si="6"/>
        <v>544</v>
      </c>
      <c r="W98" s="44"/>
      <c r="X98" s="60" t="s">
        <v>946</v>
      </c>
      <c r="Y98" s="60" t="s">
        <v>947</v>
      </c>
      <c r="Z98" s="44"/>
    </row>
    <row r="99" spans="1:26" ht="15.75" customHeight="1">
      <c r="A99" s="222" t="str">
        <f>IF(C99="","",VLOOKUP('[1]Opći dio'!$C$3,'[1]Opći dio'!$L$6:$U$137,10,FALSE))</f>
        <v>08006</v>
      </c>
      <c r="B99" s="222" t="str">
        <f>IF(C99="","",VLOOKUP('[1]Opći dio'!$C$3,'[1]Opći dio'!$L$6:$U$137,9,FALSE))</f>
        <v>Sveučilišta i veleučilišta u Republici Hrvatskoj</v>
      </c>
      <c r="C99" s="223">
        <v>52</v>
      </c>
      <c r="D99" s="224" t="str">
        <f t="shared" si="0"/>
        <v>Ostale pomoći</v>
      </c>
      <c r="E99" s="227">
        <v>3211</v>
      </c>
      <c r="F99" s="225" t="str">
        <f t="shared" si="43"/>
        <v>Službena putovanja</v>
      </c>
      <c r="G99" s="223" t="s">
        <v>649</v>
      </c>
      <c r="H99" s="222" t="str">
        <f t="shared" si="42"/>
        <v>REDOVNA DJELATNOST SVEUČILIŠTA U ZAGREBU (IZ EVIDENCIJSKIH PRIHODA)</v>
      </c>
      <c r="I99" s="221">
        <v>18234.0864</v>
      </c>
      <c r="J99" s="221">
        <v>19946.803200000002</v>
      </c>
      <c r="K99" s="221">
        <v>17864.356945920001</v>
      </c>
      <c r="L99" s="44"/>
      <c r="M99" s="44" t="str">
        <f t="shared" si="3"/>
        <v>321</v>
      </c>
      <c r="N99" s="44" t="str">
        <f t="shared" si="4"/>
        <v>32</v>
      </c>
      <c r="O99" s="44"/>
      <c r="P99" s="44"/>
      <c r="Q99" s="44"/>
      <c r="R99" s="44">
        <v>5121</v>
      </c>
      <c r="S99" s="44" t="s">
        <v>948</v>
      </c>
      <c r="T99" s="44"/>
      <c r="U99" s="44" t="str">
        <f t="shared" si="5"/>
        <v>51</v>
      </c>
      <c r="V99" s="44" t="str">
        <f t="shared" si="6"/>
        <v>512</v>
      </c>
      <c r="W99" s="44"/>
      <c r="X99" s="60" t="s">
        <v>949</v>
      </c>
      <c r="Y99" s="60" t="s">
        <v>950</v>
      </c>
      <c r="Z99" s="44"/>
    </row>
    <row r="100" spans="1:26" ht="15.75" customHeight="1">
      <c r="A100" s="222" t="str">
        <f>IF(C100="","",VLOOKUP('[1]Opći dio'!$C$3,'[1]Opći dio'!$L$6:$U$137,10,FALSE))</f>
        <v>08006</v>
      </c>
      <c r="B100" s="222" t="str">
        <f>IF(C100="","",VLOOKUP('[1]Opći dio'!$C$3,'[1]Opći dio'!$L$6:$U$137,9,FALSE))</f>
        <v>Sveučilišta i veleučilišta u Republici Hrvatskoj</v>
      </c>
      <c r="C100" s="223">
        <v>52</v>
      </c>
      <c r="D100" s="224" t="str">
        <f t="shared" si="0"/>
        <v>Ostale pomoći</v>
      </c>
      <c r="E100" s="227">
        <v>3212</v>
      </c>
      <c r="F100" s="225" t="str">
        <f t="shared" si="43"/>
        <v>Naknade za prijevoz, za rad na terenu i odvojeni život</v>
      </c>
      <c r="G100" s="223" t="s">
        <v>649</v>
      </c>
      <c r="H100" s="222" t="str">
        <f t="shared" si="42"/>
        <v>REDOVNA DJELATNOST SVEUČILIŠTA U ZAGREBU (IZ EVIDENCIJSKIH PRIHODA)</v>
      </c>
      <c r="I100" s="221">
        <v>146370.4608</v>
      </c>
      <c r="J100" s="221">
        <v>160118.9504</v>
      </c>
      <c r="K100" s="221">
        <v>143402.53197824</v>
      </c>
      <c r="L100" s="44"/>
      <c r="M100" s="44" t="str">
        <f t="shared" si="3"/>
        <v>321</v>
      </c>
      <c r="N100" s="44" t="str">
        <f t="shared" si="4"/>
        <v>32</v>
      </c>
      <c r="O100" s="44"/>
      <c r="P100" s="44"/>
      <c r="Q100" s="44"/>
      <c r="R100" s="44">
        <v>5122</v>
      </c>
      <c r="S100" s="44" t="s">
        <v>951</v>
      </c>
      <c r="T100" s="44"/>
      <c r="U100" s="44" t="str">
        <f t="shared" si="5"/>
        <v>51</v>
      </c>
      <c r="V100" s="44" t="str">
        <f t="shared" si="6"/>
        <v>512</v>
      </c>
      <c r="W100" s="44"/>
      <c r="X100" s="60" t="s">
        <v>952</v>
      </c>
      <c r="Y100" s="60" t="s">
        <v>953</v>
      </c>
      <c r="Z100" s="44"/>
    </row>
    <row r="101" spans="1:26" ht="15.75" customHeight="1">
      <c r="A101" s="222" t="str">
        <f>IF(C101="","",VLOOKUP('[1]Opći dio'!$C$3,'[1]Opći dio'!$L$6:$U$137,10,FALSE))</f>
        <v>08006</v>
      </c>
      <c r="B101" s="222" t="str">
        <f>IF(C101="","",VLOOKUP('[1]Opći dio'!$C$3,'[1]Opći dio'!$L$6:$U$137,9,FALSE))</f>
        <v>Sveučilišta i veleučilišta u Republici Hrvatskoj</v>
      </c>
      <c r="C101" s="223">
        <v>52</v>
      </c>
      <c r="D101" s="224" t="str">
        <f t="shared" si="0"/>
        <v>Ostale pomoći</v>
      </c>
      <c r="E101" s="227">
        <v>3213</v>
      </c>
      <c r="F101" s="225" t="str">
        <f t="shared" si="43"/>
        <v>Stručno usavršavanje zaposlenika</v>
      </c>
      <c r="G101" s="223" t="s">
        <v>649</v>
      </c>
      <c r="H101" s="222" t="str">
        <f t="shared" si="42"/>
        <v>REDOVNA DJELATNOST SVEUČILIŠTA U ZAGREBU (IZ EVIDENCIJSKIH PRIHODA)</v>
      </c>
      <c r="I101" s="221">
        <v>77864.100900000005</v>
      </c>
      <c r="J101" s="221">
        <v>85177.829200000007</v>
      </c>
      <c r="K101" s="221">
        <v>76285.263831520002</v>
      </c>
      <c r="L101" s="44"/>
      <c r="M101" s="44" t="str">
        <f t="shared" si="3"/>
        <v>321</v>
      </c>
      <c r="N101" s="44" t="str">
        <f t="shared" si="4"/>
        <v>32</v>
      </c>
      <c r="O101" s="44"/>
      <c r="P101" s="44"/>
      <c r="Q101" s="44"/>
      <c r="R101" s="44">
        <v>5141</v>
      </c>
      <c r="S101" s="44" t="s">
        <v>954</v>
      </c>
      <c r="T101" s="44"/>
      <c r="U101" s="44" t="str">
        <f t="shared" si="5"/>
        <v>51</v>
      </c>
      <c r="V101" s="44" t="str">
        <f t="shared" si="6"/>
        <v>514</v>
      </c>
      <c r="W101" s="44"/>
      <c r="X101" s="60" t="s">
        <v>955</v>
      </c>
      <c r="Y101" s="60" t="s">
        <v>956</v>
      </c>
      <c r="Z101" s="44"/>
    </row>
    <row r="102" spans="1:26" ht="15.75" customHeight="1">
      <c r="A102" s="222" t="str">
        <f>IF(C102="","",VLOOKUP('[1]Opći dio'!$C$3,'[1]Opći dio'!$L$6:$U$137,10,FALSE))</f>
        <v>08006</v>
      </c>
      <c r="B102" s="222" t="str">
        <f>IF(C102="","",VLOOKUP('[1]Opći dio'!$C$3,'[1]Opći dio'!$L$6:$U$137,9,FALSE))</f>
        <v>Sveučilišta i veleučilišta u Republici Hrvatskoj</v>
      </c>
      <c r="C102" s="223">
        <v>52</v>
      </c>
      <c r="D102" s="224" t="str">
        <f t="shared" si="0"/>
        <v>Ostale pomoći</v>
      </c>
      <c r="E102" s="227">
        <v>3221</v>
      </c>
      <c r="F102" s="225" t="str">
        <f t="shared" si="43"/>
        <v>Uredski materijal i ostali materijalni rashodi</v>
      </c>
      <c r="G102" s="223" t="s">
        <v>649</v>
      </c>
      <c r="H102" s="222" t="str">
        <f t="shared" si="42"/>
        <v>REDOVNA DJELATNOST SVEUČILIŠTA U ZAGREBU (IZ EVIDENCIJSKIH PRIHODA)</v>
      </c>
      <c r="I102" s="221">
        <v>2843155.9802999999</v>
      </c>
      <c r="J102" s="221">
        <v>3110211.9164</v>
      </c>
      <c r="K102" s="221">
        <v>2785505.7923278399</v>
      </c>
      <c r="L102" s="44"/>
      <c r="M102" s="44" t="str">
        <f t="shared" si="3"/>
        <v>322</v>
      </c>
      <c r="N102" s="44" t="str">
        <f t="shared" si="4"/>
        <v>32</v>
      </c>
      <c r="O102" s="44"/>
      <c r="P102" s="44"/>
      <c r="Q102" s="44"/>
      <c r="R102" s="44">
        <v>5181</v>
      </c>
      <c r="S102" s="44" t="s">
        <v>957</v>
      </c>
      <c r="T102" s="44"/>
      <c r="U102" s="44" t="str">
        <f t="shared" si="5"/>
        <v>51</v>
      </c>
      <c r="V102" s="44" t="str">
        <f t="shared" si="6"/>
        <v>518</v>
      </c>
      <c r="W102" s="44"/>
      <c r="X102" s="60" t="s">
        <v>958</v>
      </c>
      <c r="Y102" s="60" t="s">
        <v>959</v>
      </c>
      <c r="Z102" s="44"/>
    </row>
    <row r="103" spans="1:26" ht="15.75" customHeight="1">
      <c r="A103" s="222" t="str">
        <f>IF(C103="","",VLOOKUP('[1]Opći dio'!$C$3,'[1]Opći dio'!$L$6:$U$137,10,FALSE))</f>
        <v>08006</v>
      </c>
      <c r="B103" s="222" t="str">
        <f>IF(C103="","",VLOOKUP('[1]Opći dio'!$C$3,'[1]Opći dio'!$L$6:$U$137,9,FALSE))</f>
        <v>Sveučilišta i veleučilišta u Republici Hrvatskoj</v>
      </c>
      <c r="C103" s="223">
        <v>52</v>
      </c>
      <c r="D103" s="224" t="str">
        <f t="shared" si="0"/>
        <v>Ostale pomoći</v>
      </c>
      <c r="E103" s="227">
        <v>3224</v>
      </c>
      <c r="F103" s="225" t="str">
        <f t="shared" si="43"/>
        <v>Materijal i dijelovi za tekuće i investicijsko održavanje</v>
      </c>
      <c r="G103" s="223" t="s">
        <v>649</v>
      </c>
      <c r="H103" s="222" t="str">
        <f t="shared" si="42"/>
        <v>REDOVNA DJELATNOST SVEUČILIŠTA U ZAGREBU (IZ EVIDENCIJSKIH PRIHODA)</v>
      </c>
      <c r="I103" s="221">
        <v>7956.1265999999996</v>
      </c>
      <c r="J103" s="221">
        <v>8703.4408000000003</v>
      </c>
      <c r="K103" s="221">
        <v>7794.8015804800007</v>
      </c>
      <c r="L103" s="44"/>
      <c r="M103" s="44" t="str">
        <f t="shared" si="3"/>
        <v>322</v>
      </c>
      <c r="N103" s="44" t="str">
        <f t="shared" si="4"/>
        <v>32</v>
      </c>
      <c r="O103" s="44"/>
      <c r="P103" s="44"/>
      <c r="Q103" s="44"/>
      <c r="R103" s="44">
        <v>5183</v>
      </c>
      <c r="S103" s="44" t="s">
        <v>960</v>
      </c>
      <c r="T103" s="44"/>
      <c r="U103" s="44" t="str">
        <f t="shared" si="5"/>
        <v>51</v>
      </c>
      <c r="V103" s="44" t="str">
        <f t="shared" si="6"/>
        <v>518</v>
      </c>
      <c r="W103" s="44"/>
      <c r="X103" s="60" t="s">
        <v>961</v>
      </c>
      <c r="Y103" s="60" t="s">
        <v>962</v>
      </c>
      <c r="Z103" s="44"/>
    </row>
    <row r="104" spans="1:26" ht="15.75" customHeight="1">
      <c r="A104" s="222" t="str">
        <f>IF(C104="","",VLOOKUP('[1]Opći dio'!$C$3,'[1]Opći dio'!$L$6:$U$137,10,FALSE))</f>
        <v>08006</v>
      </c>
      <c r="B104" s="222" t="str">
        <f>IF(C104="","",VLOOKUP('[1]Opći dio'!$C$3,'[1]Opći dio'!$L$6:$U$137,9,FALSE))</f>
        <v>Sveučilišta i veleučilišta u Republici Hrvatskoj</v>
      </c>
      <c r="C104" s="223">
        <v>52</v>
      </c>
      <c r="D104" s="224" t="str">
        <f t="shared" si="0"/>
        <v>Ostale pomoći</v>
      </c>
      <c r="E104" s="227">
        <v>3225</v>
      </c>
      <c r="F104" s="225" t="str">
        <f t="shared" si="43"/>
        <v>Sitni inventar i auto gume</v>
      </c>
      <c r="G104" s="223" t="s">
        <v>649</v>
      </c>
      <c r="H104" s="222" t="str">
        <f t="shared" si="42"/>
        <v>REDOVNA DJELATNOST SVEUČILIŠTA U ZAGREBU (IZ EVIDENCIJSKIH PRIHODA)</v>
      </c>
      <c r="I104" s="221">
        <v>5342.0174999999999</v>
      </c>
      <c r="J104" s="221">
        <v>5843.79</v>
      </c>
      <c r="K104" s="221">
        <v>5233.698324</v>
      </c>
      <c r="L104" s="44"/>
      <c r="M104" s="44" t="str">
        <f t="shared" si="3"/>
        <v>322</v>
      </c>
      <c r="N104" s="44" t="str">
        <f t="shared" si="4"/>
        <v>32</v>
      </c>
      <c r="O104" s="44"/>
      <c r="P104" s="44"/>
      <c r="Q104" s="44"/>
      <c r="R104" s="44">
        <v>5422</v>
      </c>
      <c r="S104" s="44" t="s">
        <v>963</v>
      </c>
      <c r="T104" s="44"/>
      <c r="U104" s="44" t="str">
        <f t="shared" si="5"/>
        <v>54</v>
      </c>
      <c r="V104" s="44" t="str">
        <f t="shared" si="6"/>
        <v>542</v>
      </c>
      <c r="W104" s="44"/>
      <c r="X104" s="60" t="s">
        <v>964</v>
      </c>
      <c r="Y104" s="60" t="s">
        <v>965</v>
      </c>
      <c r="Z104" s="44"/>
    </row>
    <row r="105" spans="1:26" ht="15.75" customHeight="1">
      <c r="A105" s="222" t="str">
        <f>IF(C105="","",VLOOKUP('[1]Opći dio'!$C$3,'[1]Opći dio'!$L$6:$U$137,10,FALSE))</f>
        <v>08006</v>
      </c>
      <c r="B105" s="222" t="str">
        <f>IF(C105="","",VLOOKUP('[1]Opći dio'!$C$3,'[1]Opći dio'!$L$6:$U$137,9,FALSE))</f>
        <v>Sveučilišta i veleučilišta u Republici Hrvatskoj</v>
      </c>
      <c r="C105" s="223">
        <v>52</v>
      </c>
      <c r="D105" s="224" t="str">
        <f t="shared" si="0"/>
        <v>Ostale pomoći</v>
      </c>
      <c r="E105" s="227">
        <v>3227</v>
      </c>
      <c r="F105" s="225" t="str">
        <f t="shared" si="43"/>
        <v>Službena, radna i zaštitna odjeća i obuća</v>
      </c>
      <c r="G105" s="223" t="s">
        <v>649</v>
      </c>
      <c r="H105" s="222" t="str">
        <f t="shared" si="42"/>
        <v>REDOVNA DJELATNOST SVEUČILIŠTA U ZAGREBU (IZ EVIDENCIJSKIH PRIHODA)</v>
      </c>
      <c r="I105" s="221">
        <v>23738.2065</v>
      </c>
      <c r="J105" s="221">
        <v>25967.921999999999</v>
      </c>
      <c r="K105" s="221">
        <v>23256.8709432</v>
      </c>
      <c r="L105" s="44"/>
      <c r="M105" s="44" t="str">
        <f t="shared" si="3"/>
        <v>322</v>
      </c>
      <c r="N105" s="44" t="str">
        <f t="shared" si="4"/>
        <v>32</v>
      </c>
      <c r="O105" s="44"/>
      <c r="P105" s="44"/>
      <c r="Q105" s="44"/>
      <c r="R105" s="44">
        <v>5431</v>
      </c>
      <c r="S105" s="44" t="s">
        <v>966</v>
      </c>
      <c r="T105" s="44"/>
      <c r="U105" s="44" t="str">
        <f t="shared" si="5"/>
        <v>54</v>
      </c>
      <c r="V105" s="44" t="str">
        <f t="shared" si="6"/>
        <v>543</v>
      </c>
      <c r="W105" s="44"/>
      <c r="X105" s="60" t="s">
        <v>967</v>
      </c>
      <c r="Y105" s="60" t="s">
        <v>968</v>
      </c>
      <c r="Z105" s="44"/>
    </row>
    <row r="106" spans="1:26" ht="15.75" customHeight="1">
      <c r="A106" s="222" t="str">
        <f>IF(C106="","",VLOOKUP('[1]Opći dio'!$C$3,'[1]Opći dio'!$L$6:$U$137,10,FALSE))</f>
        <v>08006</v>
      </c>
      <c r="B106" s="222" t="str">
        <f>IF(C106="","",VLOOKUP('[1]Opći dio'!$C$3,'[1]Opći dio'!$L$6:$U$137,9,FALSE))</f>
        <v>Sveučilišta i veleučilišta u Republici Hrvatskoj</v>
      </c>
      <c r="C106" s="223">
        <v>52</v>
      </c>
      <c r="D106" s="224" t="str">
        <f t="shared" si="0"/>
        <v>Ostale pomoći</v>
      </c>
      <c r="E106" s="227">
        <v>3231</v>
      </c>
      <c r="F106" s="225" t="str">
        <f t="shared" si="43"/>
        <v>Usluge telefona, pošte i prijevoza</v>
      </c>
      <c r="G106" s="223" t="s">
        <v>649</v>
      </c>
      <c r="H106" s="222" t="str">
        <f t="shared" si="42"/>
        <v>REDOVNA DJELATNOST SVEUČILIŠTA U ZAGREBU (IZ EVIDENCIJSKIH PRIHODA)</v>
      </c>
      <c r="I106" s="221">
        <v>23723.4699</v>
      </c>
      <c r="J106" s="221">
        <v>25951.801200000002</v>
      </c>
      <c r="K106" s="221">
        <v>23242.433154720002</v>
      </c>
      <c r="L106" s="44"/>
      <c r="M106" s="44" t="str">
        <f t="shared" si="3"/>
        <v>323</v>
      </c>
      <c r="N106" s="44" t="str">
        <f t="shared" si="4"/>
        <v>32</v>
      </c>
      <c r="O106" s="44"/>
      <c r="P106" s="44"/>
      <c r="Q106" s="44"/>
      <c r="R106" s="44">
        <v>5443</v>
      </c>
      <c r="S106" s="44" t="s">
        <v>969</v>
      </c>
      <c r="T106" s="44"/>
      <c r="U106" s="44" t="str">
        <f t="shared" si="5"/>
        <v>54</v>
      </c>
      <c r="V106" s="44" t="str">
        <f t="shared" si="6"/>
        <v>544</v>
      </c>
      <c r="W106" s="44"/>
      <c r="X106" s="60" t="s">
        <v>970</v>
      </c>
      <c r="Y106" s="60" t="s">
        <v>971</v>
      </c>
      <c r="Z106" s="44"/>
    </row>
    <row r="107" spans="1:26" ht="15.75" customHeight="1">
      <c r="A107" s="222" t="str">
        <f>IF(C107="","",VLOOKUP('[1]Opći dio'!$C$3,'[1]Opći dio'!$L$6:$U$137,10,FALSE))</f>
        <v>08006</v>
      </c>
      <c r="B107" s="222" t="str">
        <f>IF(C107="","",VLOOKUP('[1]Opći dio'!$C$3,'[1]Opći dio'!$L$6:$U$137,9,FALSE))</f>
        <v>Sveučilišta i veleučilišta u Republici Hrvatskoj</v>
      </c>
      <c r="C107" s="223">
        <v>52</v>
      </c>
      <c r="D107" s="224" t="str">
        <f t="shared" si="0"/>
        <v>Ostale pomoći</v>
      </c>
      <c r="E107" s="227">
        <v>3232</v>
      </c>
      <c r="F107" s="225" t="str">
        <f t="shared" si="43"/>
        <v>Usluge tekućeg i investicijskog održavanja</v>
      </c>
      <c r="G107" s="223" t="s">
        <v>649</v>
      </c>
      <c r="H107" s="222" t="str">
        <f t="shared" si="42"/>
        <v>REDOVNA DJELATNOST SVEUČILIŠTA U ZAGREBU (IZ EVIDENCIJSKIH PRIHODA)</v>
      </c>
      <c r="I107" s="221">
        <v>66577.502699999997</v>
      </c>
      <c r="J107" s="221">
        <v>72831.087599999999</v>
      </c>
      <c r="K107" s="221">
        <v>65227.522054560002</v>
      </c>
      <c r="L107" s="44"/>
      <c r="M107" s="44" t="str">
        <f t="shared" si="3"/>
        <v>323</v>
      </c>
      <c r="N107" s="44" t="str">
        <f t="shared" si="4"/>
        <v>32</v>
      </c>
      <c r="O107" s="44"/>
      <c r="P107" s="44"/>
      <c r="Q107" s="44"/>
      <c r="R107" s="44">
        <v>5445</v>
      </c>
      <c r="S107" s="44" t="s">
        <v>972</v>
      </c>
      <c r="T107" s="44"/>
      <c r="U107" s="44" t="str">
        <f t="shared" si="5"/>
        <v>54</v>
      </c>
      <c r="V107" s="44" t="str">
        <f t="shared" si="6"/>
        <v>544</v>
      </c>
      <c r="W107" s="44"/>
      <c r="X107" s="60" t="s">
        <v>973</v>
      </c>
      <c r="Y107" s="60" t="s">
        <v>974</v>
      </c>
      <c r="Z107" s="44"/>
    </row>
    <row r="108" spans="1:26" ht="15.75" customHeight="1">
      <c r="A108" s="222" t="str">
        <f>IF(C108="","",VLOOKUP('[1]Opći dio'!$C$3,'[1]Opći dio'!$L$6:$U$137,10,FALSE))</f>
        <v>08006</v>
      </c>
      <c r="B108" s="222" t="str">
        <f>IF(C108="","",VLOOKUP('[1]Opći dio'!$C$3,'[1]Opći dio'!$L$6:$U$137,9,FALSE))</f>
        <v>Sveučilišta i veleučilišta u Republici Hrvatskoj</v>
      </c>
      <c r="C108" s="223">
        <v>52</v>
      </c>
      <c r="D108" s="224" t="str">
        <f t="shared" ref="D108:D121" si="44">IFERROR(VLOOKUP(C108,$O$6:$P$23,2,FALSE),"")</f>
        <v>Ostale pomoći</v>
      </c>
      <c r="E108" s="227">
        <v>3233</v>
      </c>
      <c r="F108" s="225" t="str">
        <f t="shared" si="43"/>
        <v>Usluge promidžbe i informiranja</v>
      </c>
      <c r="G108" s="223" t="s">
        <v>649</v>
      </c>
      <c r="H108" s="222" t="str">
        <f t="shared" si="42"/>
        <v>REDOVNA DJELATNOST SVEUČILIŠTA U ZAGREBU (IZ EVIDENCIJSKIH PRIHODA)</v>
      </c>
      <c r="I108" s="221">
        <v>129944.064</v>
      </c>
      <c r="J108" s="221">
        <v>142149.63200000001</v>
      </c>
      <c r="K108" s="221">
        <v>127309.21041920001</v>
      </c>
      <c r="L108" s="44"/>
      <c r="M108" s="44" t="str">
        <f t="shared" si="3"/>
        <v>323</v>
      </c>
      <c r="N108" s="44" t="str">
        <f t="shared" si="4"/>
        <v>32</v>
      </c>
      <c r="O108" s="44"/>
      <c r="P108" s="44"/>
      <c r="Q108" s="44"/>
      <c r="R108" s="44">
        <v>5453</v>
      </c>
      <c r="S108" s="44" t="s">
        <v>975</v>
      </c>
      <c r="T108" s="44"/>
      <c r="U108" s="44" t="str">
        <f t="shared" si="5"/>
        <v>54</v>
      </c>
      <c r="V108" s="44" t="str">
        <f t="shared" si="6"/>
        <v>545</v>
      </c>
      <c r="W108" s="44"/>
      <c r="X108" s="60" t="s">
        <v>976</v>
      </c>
      <c r="Y108" s="60" t="s">
        <v>977</v>
      </c>
      <c r="Z108" s="44"/>
    </row>
    <row r="109" spans="1:26" ht="15.75" customHeight="1">
      <c r="A109" s="222" t="str">
        <f>IF(C109="","",VLOOKUP('[1]Opći dio'!$C$3,'[1]Opći dio'!$L$6:$U$137,10,FALSE))</f>
        <v>08006</v>
      </c>
      <c r="B109" s="222" t="str">
        <f>IF(C109="","",VLOOKUP('[1]Opći dio'!$C$3,'[1]Opći dio'!$L$6:$U$137,9,FALSE))</f>
        <v>Sveučilišta i veleučilišta u Republici Hrvatskoj</v>
      </c>
      <c r="C109" s="223">
        <v>52</v>
      </c>
      <c r="D109" s="224" t="str">
        <f t="shared" si="44"/>
        <v>Ostale pomoći</v>
      </c>
      <c r="E109" s="227">
        <v>3235</v>
      </c>
      <c r="F109" s="225" t="str">
        <f t="shared" si="43"/>
        <v>Zakupnine i najamnine</v>
      </c>
      <c r="G109" s="223" t="s">
        <v>649</v>
      </c>
      <c r="H109" s="222" t="str">
        <f t="shared" si="42"/>
        <v>REDOVNA DJELATNOST SVEUČILIŠTA U ZAGREBU (IZ EVIDENCIJSKIH PRIHODA)</v>
      </c>
      <c r="I109" s="221">
        <v>12296.0553</v>
      </c>
      <c r="J109" s="221">
        <v>13451.0164</v>
      </c>
      <c r="K109" s="221">
        <v>12046.730287840001</v>
      </c>
      <c r="L109" s="44"/>
      <c r="M109" s="44" t="str">
        <f t="shared" si="3"/>
        <v>323</v>
      </c>
      <c r="N109" s="44" t="str">
        <f t="shared" si="4"/>
        <v>32</v>
      </c>
      <c r="O109" s="44"/>
      <c r="P109" s="44"/>
      <c r="Q109" s="44"/>
      <c r="R109" s="44">
        <v>5472</v>
      </c>
      <c r="S109" s="44" t="s">
        <v>978</v>
      </c>
      <c r="T109" s="44"/>
      <c r="U109" s="44" t="str">
        <f t="shared" si="5"/>
        <v>54</v>
      </c>
      <c r="V109" s="44" t="str">
        <f t="shared" si="6"/>
        <v>547</v>
      </c>
      <c r="W109" s="44"/>
      <c r="X109" s="60" t="s">
        <v>979</v>
      </c>
      <c r="Y109" s="60" t="s">
        <v>980</v>
      </c>
      <c r="Z109" s="44"/>
    </row>
    <row r="110" spans="1:26" ht="15.75" customHeight="1">
      <c r="A110" s="222" t="str">
        <f>IF(C110="","",VLOOKUP('[1]Opći dio'!$C$3,'[1]Opći dio'!$L$6:$U$137,10,FALSE))</f>
        <v>08006</v>
      </c>
      <c r="B110" s="222" t="str">
        <f>IF(C110="","",VLOOKUP('[1]Opći dio'!$C$3,'[1]Opći dio'!$L$6:$U$137,9,FALSE))</f>
        <v>Sveučilišta i veleučilišta u Republici Hrvatskoj</v>
      </c>
      <c r="C110" s="223">
        <v>52</v>
      </c>
      <c r="D110" s="224" t="str">
        <f t="shared" si="44"/>
        <v>Ostale pomoći</v>
      </c>
      <c r="E110" s="227">
        <v>3236</v>
      </c>
      <c r="F110" s="225" t="str">
        <f t="shared" si="43"/>
        <v>Zdravstvene i veterinarske usluge</v>
      </c>
      <c r="G110" s="223" t="s">
        <v>649</v>
      </c>
      <c r="H110" s="222" t="str">
        <f t="shared" si="42"/>
        <v>REDOVNA DJELATNOST SVEUČILIŠTA U ZAGREBU (IZ EVIDENCIJSKIH PRIHODA)</v>
      </c>
      <c r="I110" s="221">
        <v>225350.4498</v>
      </c>
      <c r="J110" s="221">
        <v>246517.48240000001</v>
      </c>
      <c r="K110" s="221">
        <v>220781.05723744002</v>
      </c>
      <c r="L110" s="44"/>
      <c r="M110" s="44" t="str">
        <f t="shared" si="3"/>
        <v>323</v>
      </c>
      <c r="N110" s="44" t="str">
        <f t="shared" si="4"/>
        <v>32</v>
      </c>
      <c r="O110" s="44"/>
      <c r="P110" s="44"/>
      <c r="Q110" s="44"/>
      <c r="R110" s="44"/>
      <c r="S110" s="44"/>
      <c r="T110" s="44"/>
      <c r="U110" s="44"/>
      <c r="V110" s="44"/>
      <c r="W110" s="44"/>
      <c r="X110" s="60" t="s">
        <v>981</v>
      </c>
      <c r="Y110" s="60" t="s">
        <v>982</v>
      </c>
      <c r="Z110" s="44"/>
    </row>
    <row r="111" spans="1:26" ht="15.75" customHeight="1">
      <c r="A111" s="222" t="str">
        <f>IF(C111="","",VLOOKUP('[1]Opći dio'!$C$3,'[1]Opći dio'!$L$6:$U$137,10,FALSE))</f>
        <v>08006</v>
      </c>
      <c r="B111" s="222" t="str">
        <f>IF(C111="","",VLOOKUP('[1]Opći dio'!$C$3,'[1]Opći dio'!$L$6:$U$137,9,FALSE))</f>
        <v>Sveučilišta i veleučilišta u Republici Hrvatskoj</v>
      </c>
      <c r="C111" s="223">
        <v>52</v>
      </c>
      <c r="D111" s="224" t="str">
        <f t="shared" si="44"/>
        <v>Ostale pomoći</v>
      </c>
      <c r="E111" s="227">
        <v>3237</v>
      </c>
      <c r="F111" s="225" t="str">
        <f t="shared" si="43"/>
        <v>Intelektualne i osobne usluge</v>
      </c>
      <c r="G111" s="223" t="s">
        <v>649</v>
      </c>
      <c r="H111" s="222" t="str">
        <f t="shared" si="42"/>
        <v>REDOVNA DJELATNOST SVEUČILIŠTA U ZAGREBU (IZ EVIDENCIJSKIH PRIHODA)</v>
      </c>
      <c r="I111" s="221">
        <v>7712.1540000000005</v>
      </c>
      <c r="J111" s="221">
        <v>8436.5519999999997</v>
      </c>
      <c r="K111" s="221">
        <v>7555.7759711999997</v>
      </c>
      <c r="L111" s="44"/>
      <c r="M111" s="44" t="str">
        <f t="shared" si="3"/>
        <v>323</v>
      </c>
      <c r="N111" s="44" t="str">
        <f t="shared" si="4"/>
        <v>32</v>
      </c>
      <c r="O111" s="44"/>
      <c r="P111" s="44"/>
      <c r="Q111" s="44"/>
      <c r="R111" s="44"/>
      <c r="S111" s="44"/>
      <c r="T111" s="44"/>
      <c r="U111" s="44"/>
      <c r="V111" s="44"/>
      <c r="W111" s="44"/>
      <c r="X111" s="60" t="s">
        <v>983</v>
      </c>
      <c r="Y111" s="60" t="s">
        <v>984</v>
      </c>
      <c r="Z111" s="44"/>
    </row>
    <row r="112" spans="1:26" ht="15.75" customHeight="1">
      <c r="A112" s="222" t="str">
        <f>IF(C112="","",VLOOKUP('[1]Opći dio'!$C$3,'[1]Opći dio'!$L$6:$U$137,10,FALSE))</f>
        <v>08006</v>
      </c>
      <c r="B112" s="222" t="str">
        <f>IF(C112="","",VLOOKUP('[1]Opći dio'!$C$3,'[1]Opći dio'!$L$6:$U$137,9,FALSE))</f>
        <v>Sveučilišta i veleučilišta u Republici Hrvatskoj</v>
      </c>
      <c r="C112" s="223">
        <v>52</v>
      </c>
      <c r="D112" s="224" t="str">
        <f t="shared" si="44"/>
        <v>Ostale pomoći</v>
      </c>
      <c r="E112" s="227">
        <v>3241</v>
      </c>
      <c r="F112" s="225" t="str">
        <f t="shared" si="43"/>
        <v>Naknade troškova osobama izvan radnog odnosa</v>
      </c>
      <c r="G112" s="223" t="s">
        <v>649</v>
      </c>
      <c r="H112" s="222" t="str">
        <f t="shared" si="42"/>
        <v>REDOVNA DJELATNOST SVEUČILIŠTA U ZAGREBU (IZ EVIDENCIJSKIH PRIHODA)</v>
      </c>
      <c r="I112" s="221">
        <v>14264.2101</v>
      </c>
      <c r="J112" s="221">
        <v>15604.0388</v>
      </c>
      <c r="K112" s="221">
        <v>13974.977149280001</v>
      </c>
      <c r="L112" s="44"/>
      <c r="M112" s="44" t="str">
        <f t="shared" si="3"/>
        <v>324</v>
      </c>
      <c r="N112" s="44" t="str">
        <f t="shared" si="4"/>
        <v>32</v>
      </c>
      <c r="O112" s="44"/>
      <c r="P112" s="44"/>
      <c r="Q112" s="44"/>
      <c r="R112" s="44"/>
      <c r="S112" s="44"/>
      <c r="T112" s="44"/>
      <c r="U112" s="44"/>
      <c r="V112" s="44"/>
      <c r="W112" s="44"/>
      <c r="X112" s="60" t="s">
        <v>985</v>
      </c>
      <c r="Y112" s="60" t="s">
        <v>986</v>
      </c>
      <c r="Z112" s="44"/>
    </row>
    <row r="113" spans="1:26" ht="15.75" customHeight="1">
      <c r="A113" s="222" t="str">
        <f>IF(C113="","",VLOOKUP('[1]Opći dio'!$C$3,'[1]Opći dio'!$L$6:$U$137,10,FALSE))</f>
        <v>08006</v>
      </c>
      <c r="B113" s="222" t="str">
        <f>IF(C113="","",VLOOKUP('[1]Opći dio'!$C$3,'[1]Opći dio'!$L$6:$U$137,9,FALSE))</f>
        <v>Sveučilišta i veleučilišta u Republici Hrvatskoj</v>
      </c>
      <c r="C113" s="223">
        <v>52</v>
      </c>
      <c r="D113" s="224" t="str">
        <f t="shared" si="44"/>
        <v>Ostale pomoći</v>
      </c>
      <c r="E113" s="227">
        <v>3293</v>
      </c>
      <c r="F113" s="225" t="str">
        <f t="shared" si="43"/>
        <v>Reprezentacija</v>
      </c>
      <c r="G113" s="223" t="s">
        <v>649</v>
      </c>
      <c r="H113" s="222" t="str">
        <f t="shared" si="42"/>
        <v>REDOVNA DJELATNOST SVEUČILIŠTA U ZAGREBU (IZ EVIDENCIJSKIH PRIHODA)</v>
      </c>
      <c r="I113" s="221">
        <v>2404.5219000000002</v>
      </c>
      <c r="J113" s="221">
        <v>2630.3771999999999</v>
      </c>
      <c r="K113" s="221">
        <v>2355.7658203199999</v>
      </c>
      <c r="L113" s="44"/>
      <c r="M113" s="44" t="str">
        <f t="shared" si="3"/>
        <v>329</v>
      </c>
      <c r="N113" s="44" t="str">
        <f t="shared" si="4"/>
        <v>32</v>
      </c>
      <c r="O113" s="44"/>
      <c r="P113" s="44"/>
      <c r="Q113" s="44"/>
      <c r="R113" s="44"/>
      <c r="S113" s="44"/>
      <c r="T113" s="44"/>
      <c r="U113" s="44"/>
      <c r="V113" s="44"/>
      <c r="W113" s="44"/>
      <c r="X113" s="60" t="s">
        <v>987</v>
      </c>
      <c r="Y113" s="60" t="s">
        <v>988</v>
      </c>
      <c r="Z113" s="44"/>
    </row>
    <row r="114" spans="1:26" ht="15.75" customHeight="1">
      <c r="A114" s="222" t="str">
        <f>IF(C114="","",VLOOKUP('[1]Opći dio'!$C$3,'[1]Opći dio'!$L$6:$U$137,10,FALSE))</f>
        <v>08006</v>
      </c>
      <c r="B114" s="222" t="str">
        <f>IF(C114="","",VLOOKUP('[1]Opći dio'!$C$3,'[1]Opći dio'!$L$6:$U$137,9,FALSE))</f>
        <v>Sveučilišta i veleučilišta u Republici Hrvatskoj</v>
      </c>
      <c r="C114" s="223">
        <v>52</v>
      </c>
      <c r="D114" s="224" t="str">
        <f t="shared" si="44"/>
        <v>Ostale pomoći</v>
      </c>
      <c r="E114" s="227">
        <v>3299</v>
      </c>
      <c r="F114" s="225" t="str">
        <f t="shared" si="43"/>
        <v>Ostali nespomenuti rashodi poslovanja</v>
      </c>
      <c r="G114" s="223" t="s">
        <v>649</v>
      </c>
      <c r="H114" s="222" t="str">
        <f t="shared" si="42"/>
        <v>REDOVNA DJELATNOST SVEUČILIŠTA U ZAGREBU (IZ EVIDENCIJSKIH PRIHODA)</v>
      </c>
      <c r="I114" s="221">
        <v>12246.933300000001</v>
      </c>
      <c r="J114" s="221">
        <v>13397.2804</v>
      </c>
      <c r="K114" s="221">
        <v>11998.60432624</v>
      </c>
      <c r="L114" s="44"/>
      <c r="M114" s="44" t="str">
        <f t="shared" si="3"/>
        <v>329</v>
      </c>
      <c r="N114" s="44" t="str">
        <f t="shared" si="4"/>
        <v>32</v>
      </c>
      <c r="O114" s="44"/>
      <c r="P114" s="44"/>
      <c r="Q114" s="44"/>
      <c r="R114" s="44"/>
      <c r="S114" s="44"/>
      <c r="T114" s="44"/>
      <c r="U114" s="44"/>
      <c r="V114" s="44"/>
      <c r="W114" s="44"/>
      <c r="X114" s="60" t="s">
        <v>989</v>
      </c>
      <c r="Y114" s="60" t="s">
        <v>990</v>
      </c>
      <c r="Z114" s="44"/>
    </row>
    <row r="115" spans="1:26" ht="15.75" customHeight="1">
      <c r="A115" s="222" t="str">
        <f>IF(C115="","",VLOOKUP('[1]Opći dio'!$C$3,'[1]Opći dio'!$L$6:$U$137,10,FALSE))</f>
        <v>08006</v>
      </c>
      <c r="B115" s="222" t="str">
        <f>IF(C115="","",VLOOKUP('[1]Opći dio'!$C$3,'[1]Opći dio'!$L$6:$U$137,9,FALSE))</f>
        <v>Sveučilišta i veleučilišta u Republici Hrvatskoj</v>
      </c>
      <c r="C115" s="223">
        <v>52</v>
      </c>
      <c r="D115" s="224" t="str">
        <f t="shared" si="44"/>
        <v>Ostale pomoći</v>
      </c>
      <c r="E115" s="227">
        <v>3721</v>
      </c>
      <c r="F115" s="225" t="str">
        <f t="shared" si="43"/>
        <v>Naknade građanima i kućanstvima u novcu</v>
      </c>
      <c r="G115" s="223" t="s">
        <v>649</v>
      </c>
      <c r="H115" s="222" t="str">
        <f t="shared" si="42"/>
        <v>REDOVNA DJELATNOST SVEUČILIŠTA U ZAGREBU (IZ EVIDENCIJSKIH PRIHODA)</v>
      </c>
      <c r="I115" s="221">
        <v>122805</v>
      </c>
      <c r="J115" s="221">
        <v>134340</v>
      </c>
      <c r="K115" s="221">
        <v>120314.90399999999</v>
      </c>
      <c r="L115" s="44"/>
      <c r="M115" s="44" t="str">
        <f t="shared" si="3"/>
        <v>372</v>
      </c>
      <c r="N115" s="44" t="str">
        <f t="shared" si="4"/>
        <v>37</v>
      </c>
      <c r="O115" s="44"/>
      <c r="P115" s="44"/>
      <c r="Q115" s="44"/>
      <c r="R115" s="44"/>
      <c r="S115" s="44"/>
      <c r="T115" s="44"/>
      <c r="U115" s="44"/>
      <c r="V115" s="44"/>
      <c r="W115" s="44"/>
      <c r="X115" s="60" t="s">
        <v>991</v>
      </c>
      <c r="Y115" s="60" t="s">
        <v>992</v>
      </c>
      <c r="Z115" s="44"/>
    </row>
    <row r="116" spans="1:26" ht="15.75" customHeight="1">
      <c r="A116" s="222" t="str">
        <f>IF(C116="","",VLOOKUP('[1]Opći dio'!$C$3,'[1]Opći dio'!$L$6:$U$137,10,FALSE))</f>
        <v>08006</v>
      </c>
      <c r="B116" s="222" t="str">
        <f>IF(C116="","",VLOOKUP('[1]Opći dio'!$C$3,'[1]Opći dio'!$L$6:$U$137,9,FALSE))</f>
        <v>Sveučilišta i veleučilišta u Republici Hrvatskoj</v>
      </c>
      <c r="C116" s="223">
        <v>52</v>
      </c>
      <c r="D116" s="224" t="str">
        <f t="shared" si="44"/>
        <v>Ostale pomoći</v>
      </c>
      <c r="E116" s="227">
        <v>4221</v>
      </c>
      <c r="F116" s="225" t="str">
        <f t="shared" si="43"/>
        <v>Uredska oprema i namještaj</v>
      </c>
      <c r="G116" s="223" t="s">
        <v>649</v>
      </c>
      <c r="H116" s="222" t="str">
        <f t="shared" si="42"/>
        <v>REDOVNA DJELATNOST SVEUČILIŠTA U ZAGREBU (IZ EVIDENCIJSKIH PRIHODA)</v>
      </c>
      <c r="I116" s="221">
        <v>52258.439700000003</v>
      </c>
      <c r="J116" s="221">
        <v>57167.043600000005</v>
      </c>
      <c r="K116" s="221">
        <v>51198.804248160006</v>
      </c>
      <c r="L116" s="44"/>
      <c r="M116" s="44" t="str">
        <f t="shared" si="3"/>
        <v>422</v>
      </c>
      <c r="N116" s="44" t="str">
        <f t="shared" si="4"/>
        <v>42</v>
      </c>
      <c r="O116" s="44"/>
      <c r="P116" s="44"/>
      <c r="Q116" s="44"/>
      <c r="R116" s="44"/>
      <c r="S116" s="44"/>
      <c r="T116" s="44"/>
      <c r="U116" s="44"/>
      <c r="V116" s="44"/>
      <c r="W116" s="44"/>
      <c r="X116" s="60" t="s">
        <v>607</v>
      </c>
      <c r="Y116" s="60" t="s">
        <v>993</v>
      </c>
      <c r="Z116" s="44"/>
    </row>
    <row r="117" spans="1:26" ht="15.75" customHeight="1">
      <c r="A117" s="222" t="str">
        <f>IF(C117="","",VLOOKUP('[1]Opći dio'!$C$3,'[1]Opći dio'!$L$6:$U$137,10,FALSE))</f>
        <v>08006</v>
      </c>
      <c r="B117" s="222" t="str">
        <f>IF(C117="","",VLOOKUP('[1]Opći dio'!$C$3,'[1]Opći dio'!$L$6:$U$137,9,FALSE))</f>
        <v>Sveučilišta i veleučilišta u Republici Hrvatskoj</v>
      </c>
      <c r="C117" s="223">
        <v>52</v>
      </c>
      <c r="D117" s="224" t="str">
        <f t="shared" si="44"/>
        <v>Ostale pomoći</v>
      </c>
      <c r="E117" s="227">
        <v>4223</v>
      </c>
      <c r="F117" s="225" t="str">
        <f>'[1]Plan rashoda za unos u SAP'!F137</f>
        <v>Oprema za održavanje i zaštitu</v>
      </c>
      <c r="G117" s="223" t="s">
        <v>649</v>
      </c>
      <c r="H117" s="222" t="str">
        <f t="shared" si="42"/>
        <v>REDOVNA DJELATNOST SVEUČILIŠTA U ZAGREBU (IZ EVIDENCIJSKIH PRIHODA)</v>
      </c>
      <c r="I117" s="221">
        <v>238113.9828</v>
      </c>
      <c r="J117" s="221">
        <v>260479.88640000002</v>
      </c>
      <c r="K117" s="221">
        <v>233285.78625984001</v>
      </c>
      <c r="L117" s="44"/>
      <c r="M117" s="44" t="str">
        <f t="shared" si="3"/>
        <v>422</v>
      </c>
      <c r="N117" s="44" t="str">
        <f t="shared" si="4"/>
        <v>42</v>
      </c>
      <c r="O117" s="44"/>
      <c r="P117" s="44"/>
      <c r="Q117" s="44"/>
      <c r="R117" s="44"/>
      <c r="S117" s="44"/>
      <c r="T117" s="44"/>
      <c r="U117" s="44"/>
      <c r="V117" s="44"/>
      <c r="W117" s="44"/>
      <c r="X117" s="60" t="s">
        <v>994</v>
      </c>
      <c r="Y117" s="60" t="s">
        <v>995</v>
      </c>
      <c r="Z117" s="44"/>
    </row>
    <row r="118" spans="1:26" ht="15.75" customHeight="1">
      <c r="A118" s="222" t="str">
        <f>IF(C118="","",VLOOKUP('[1]Opći dio'!$C$3,'[1]Opći dio'!$L$6:$U$137,10,FALSE))</f>
        <v>08006</v>
      </c>
      <c r="B118" s="222" t="str">
        <f>IF(C118="","",VLOOKUP('[1]Opći dio'!$C$3,'[1]Opći dio'!$L$6:$U$137,9,FALSE))</f>
        <v>Sveučilišta i veleučilišta u Republici Hrvatskoj</v>
      </c>
      <c r="C118" s="223">
        <v>52</v>
      </c>
      <c r="D118" s="224" t="str">
        <f t="shared" si="44"/>
        <v>Ostale pomoći</v>
      </c>
      <c r="E118" s="227">
        <v>4224</v>
      </c>
      <c r="F118" s="225" t="str">
        <f>'[1]Plan rashoda za unos u SAP'!F138</f>
        <v>Medicinska i laboratorijska oprema</v>
      </c>
      <c r="G118" s="223" t="s">
        <v>649</v>
      </c>
      <c r="H118" s="222" t="str">
        <f t="shared" si="42"/>
        <v>REDOVNA DJELATNOST SVEUČILIŠTA U ZAGREBU (IZ EVIDENCIJSKIH PRIHODA)</v>
      </c>
      <c r="I118" s="221">
        <v>565849.41720000003</v>
      </c>
      <c r="J118" s="221">
        <v>618999.31359999999</v>
      </c>
      <c r="K118" s="221">
        <v>554375.78526015999</v>
      </c>
      <c r="L118" s="44"/>
      <c r="M118" s="44" t="str">
        <f t="shared" si="3"/>
        <v>422</v>
      </c>
      <c r="N118" s="44" t="str">
        <f t="shared" si="4"/>
        <v>42</v>
      </c>
      <c r="O118" s="44"/>
      <c r="P118" s="44"/>
      <c r="Q118" s="44"/>
      <c r="R118" s="44"/>
      <c r="S118" s="44"/>
      <c r="T118" s="44"/>
      <c r="U118" s="44"/>
      <c r="V118" s="44"/>
      <c r="W118" s="44"/>
      <c r="X118" s="60" t="s">
        <v>996</v>
      </c>
      <c r="Y118" s="60" t="s">
        <v>997</v>
      </c>
      <c r="Z118" s="44"/>
    </row>
    <row r="119" spans="1:26" ht="15.75" customHeight="1">
      <c r="A119" s="222" t="str">
        <f>IF(C119="","",VLOOKUP('[1]Opći dio'!$C$3,'[1]Opći dio'!$L$6:$U$137,10,FALSE))</f>
        <v>08006</v>
      </c>
      <c r="B119" s="222" t="str">
        <f>IF(C119="","",VLOOKUP('[1]Opći dio'!$C$3,'[1]Opći dio'!$L$6:$U$137,9,FALSE))</f>
        <v>Sveučilišta i veleučilišta u Republici Hrvatskoj</v>
      </c>
      <c r="C119" s="223">
        <v>52</v>
      </c>
      <c r="D119" s="224" t="str">
        <f t="shared" si="44"/>
        <v>Ostale pomoći</v>
      </c>
      <c r="E119" s="227">
        <v>4225</v>
      </c>
      <c r="F119" s="225" t="str">
        <f>'[1]Plan rashoda za unos u SAP'!F139</f>
        <v>Instrumenti, uređaji i strojevi</v>
      </c>
      <c r="G119" s="223" t="s">
        <v>649</v>
      </c>
      <c r="H119" s="222" t="str">
        <f t="shared" si="42"/>
        <v>REDOVNA DJELATNOST SVEUČILIŠTA U ZAGREBU (IZ EVIDENCIJSKIH PRIHODA)</v>
      </c>
      <c r="I119" s="221">
        <v>4296.5375999999997</v>
      </c>
      <c r="J119" s="221">
        <v>4700.1088</v>
      </c>
      <c r="K119" s="221">
        <v>4209.4174412800003</v>
      </c>
      <c r="L119" s="44"/>
      <c r="M119" s="44" t="str">
        <f t="shared" si="3"/>
        <v>422</v>
      </c>
      <c r="N119" s="44" t="str">
        <f t="shared" si="4"/>
        <v>42</v>
      </c>
      <c r="O119" s="44"/>
      <c r="P119" s="44"/>
      <c r="Q119" s="44"/>
      <c r="R119" s="44"/>
      <c r="S119" s="44"/>
      <c r="T119" s="44"/>
      <c r="U119" s="44"/>
      <c r="V119" s="44"/>
      <c r="W119" s="44"/>
      <c r="X119" s="60" t="s">
        <v>998</v>
      </c>
      <c r="Y119" s="60" t="s">
        <v>999</v>
      </c>
      <c r="Z119" s="44"/>
    </row>
    <row r="120" spans="1:26" ht="15.75" customHeight="1">
      <c r="A120" s="222" t="str">
        <f>IF(C120="","",VLOOKUP('[1]Opći dio'!$C$3,'[1]Opći dio'!$L$6:$U$137,10,FALSE))</f>
        <v>08006</v>
      </c>
      <c r="B120" s="222" t="str">
        <f>IF(C120="","",VLOOKUP('[1]Opći dio'!$C$3,'[1]Opći dio'!$L$6:$U$137,9,FALSE))</f>
        <v>Sveučilišta i veleučilišta u Republici Hrvatskoj</v>
      </c>
      <c r="C120" s="223">
        <v>52</v>
      </c>
      <c r="D120" s="224" t="str">
        <f t="shared" si="44"/>
        <v>Ostale pomoći</v>
      </c>
      <c r="E120" s="227">
        <v>4241</v>
      </c>
      <c r="F120" s="225" t="str">
        <f>'[1]Plan rashoda za unos u SAP'!F140</f>
        <v>Knjige</v>
      </c>
      <c r="G120" s="223" t="s">
        <v>649</v>
      </c>
      <c r="H120" s="222" t="str">
        <f t="shared" si="42"/>
        <v>REDOVNA DJELATNOST SVEUČILIŠTA U ZAGREBU (IZ EVIDENCIJSKIH PRIHODA)</v>
      </c>
      <c r="I120" s="221">
        <v>22854.0105</v>
      </c>
      <c r="J120" s="221">
        <v>25000.673999999999</v>
      </c>
      <c r="K120" s="221">
        <v>22390.603634399999</v>
      </c>
      <c r="L120" s="44"/>
      <c r="M120" s="44" t="str">
        <f t="shared" si="3"/>
        <v>424</v>
      </c>
      <c r="N120" s="44" t="str">
        <f t="shared" si="4"/>
        <v>42</v>
      </c>
      <c r="O120" s="44"/>
      <c r="P120" s="44"/>
      <c r="Q120" s="44"/>
      <c r="R120" s="44"/>
      <c r="S120" s="44"/>
      <c r="T120" s="44"/>
      <c r="U120" s="44"/>
      <c r="V120" s="44"/>
      <c r="W120" s="44"/>
      <c r="X120" s="60" t="s">
        <v>1000</v>
      </c>
      <c r="Y120" s="60" t="s">
        <v>1001</v>
      </c>
      <c r="Z120" s="44"/>
    </row>
    <row r="121" spans="1:26" ht="15.75" customHeight="1">
      <c r="A121" s="222" t="str">
        <f>IF(C121="","",VLOOKUP('[1]Opći dio'!$C$3,'[1]Opći dio'!$L$6:$U$137,10,FALSE))</f>
        <v>08006</v>
      </c>
      <c r="B121" s="222" t="str">
        <f>IF(C121="","",VLOOKUP('[1]Opći dio'!$C$3,'[1]Opći dio'!$L$6:$U$137,9,FALSE))</f>
        <v>Sveučilišta i veleučilišta u Republici Hrvatskoj</v>
      </c>
      <c r="C121" s="223">
        <v>52</v>
      </c>
      <c r="D121" s="224" t="str">
        <f t="shared" si="44"/>
        <v>Ostale pomoći</v>
      </c>
      <c r="E121" s="227">
        <v>4262</v>
      </c>
      <c r="F121" s="225" t="str">
        <f>'[1]Plan rashoda za unos u SAP'!F141</f>
        <v>Ulaganja u računalne programe</v>
      </c>
      <c r="G121" s="223" t="s">
        <v>649</v>
      </c>
      <c r="H121" s="222" t="str">
        <f t="shared" si="42"/>
        <v>REDOVNA DJELATNOST SVEUČILIŠTA U ZAGREBU (IZ EVIDENCIJSKIH PRIHODA)</v>
      </c>
      <c r="I121" s="221">
        <v>19648.8</v>
      </c>
      <c r="J121" s="221">
        <v>21494.400000000001</v>
      </c>
      <c r="K121" s="221">
        <v>19250.38464</v>
      </c>
      <c r="L121" s="44"/>
      <c r="M121" s="44" t="str">
        <f t="shared" si="3"/>
        <v>426</v>
      </c>
      <c r="N121" s="44" t="str">
        <f t="shared" si="4"/>
        <v>42</v>
      </c>
      <c r="O121" s="44"/>
      <c r="P121" s="44"/>
      <c r="Q121" s="44"/>
      <c r="R121" s="44"/>
      <c r="S121" s="44"/>
      <c r="T121" s="44"/>
      <c r="U121" s="44"/>
      <c r="V121" s="44"/>
      <c r="W121" s="44"/>
      <c r="X121" s="60" t="s">
        <v>1002</v>
      </c>
      <c r="Y121" s="60" t="s">
        <v>1003</v>
      </c>
      <c r="Z121" s="44"/>
    </row>
    <row r="122" spans="1:26" ht="15.75" customHeight="1">
      <c r="A122" s="66" t="str">
        <f>IF(C122="","",VLOOKUP('Opći dio'!$C$3,'Opći dio'!$L$6:$U$137,10,FALSE))</f>
        <v/>
      </c>
      <c r="B122" s="66" t="str">
        <f>IF(C122="","",VLOOKUP('Opći dio'!$C$3,'Opći dio'!$L$6:$U$137,9,FALSE))</f>
        <v/>
      </c>
      <c r="C122" s="71"/>
      <c r="D122" s="66" t="str">
        <f t="shared" si="0"/>
        <v/>
      </c>
      <c r="E122" s="71"/>
      <c r="F122" s="66" t="str">
        <f>IFERROR(VLOOKUP(E122,$R$5:$T$109,2,FALSE),"")</f>
        <v/>
      </c>
      <c r="G122" s="71"/>
      <c r="H122" s="66" t="str">
        <f t="shared" si="42"/>
        <v/>
      </c>
      <c r="I122" s="59"/>
      <c r="J122" s="59"/>
      <c r="K122" s="59"/>
      <c r="L122" s="44"/>
      <c r="M122" s="44" t="str">
        <f t="shared" si="3"/>
        <v/>
      </c>
      <c r="N122" s="44" t="str">
        <f t="shared" si="4"/>
        <v/>
      </c>
      <c r="O122" s="44"/>
      <c r="P122" s="44"/>
      <c r="Q122" s="44"/>
      <c r="R122" s="44"/>
      <c r="S122" s="44"/>
      <c r="T122" s="44"/>
      <c r="U122" s="44"/>
      <c r="V122" s="44"/>
      <c r="W122" s="44"/>
      <c r="X122" s="60" t="s">
        <v>1004</v>
      </c>
      <c r="Y122" s="60" t="s">
        <v>1005</v>
      </c>
      <c r="Z122" s="44"/>
    </row>
    <row r="123" spans="1:26" ht="15.75" customHeight="1">
      <c r="A123" s="54" t="str">
        <f>IF(C123="","",VLOOKUP('Opći dio'!$C$3,'Opći dio'!$L$6:$U$137,10,FALSE))</f>
        <v>08006</v>
      </c>
      <c r="B123" s="54" t="str">
        <f>IF(C123="","",VLOOKUP('Opći dio'!$C$3,'Opći dio'!$L$6:$U$137,9,FALSE))</f>
        <v>Sveučilišta i veleučilišta u Republici Hrvatskoj</v>
      </c>
      <c r="C123" s="71">
        <v>576</v>
      </c>
      <c r="D123" s="66" t="str">
        <f t="shared" ref="D123:D128" si="45">IFERROR(VLOOKUP(C123,$O$6:$P$23,2,FALSE),"")</f>
        <v>Fond solidarnosti Europske unije</v>
      </c>
      <c r="E123" s="71">
        <v>4212</v>
      </c>
      <c r="F123" s="66" t="str">
        <f>IFERROR(VLOOKUP(E123,$R$5:$T$109,2,FALSE),"")</f>
        <v>Poslovni objekti</v>
      </c>
      <c r="G123" s="71" t="s">
        <v>916</v>
      </c>
      <c r="H123" s="66" t="str">
        <f t="shared" si="42"/>
        <v>OBNOVA INFRASTRUKTURE I OPREME U PODRUČJU OBRAZOVANJA OŠTEĆENE POTRESOM</v>
      </c>
      <c r="I123" s="59">
        <v>100417966</v>
      </c>
      <c r="J123" s="59"/>
      <c r="K123" s="59"/>
      <c r="L123" s="44"/>
      <c r="M123" s="44" t="str">
        <f t="shared" si="3"/>
        <v>421</v>
      </c>
      <c r="N123" s="44" t="str">
        <f t="shared" si="4"/>
        <v>42</v>
      </c>
      <c r="O123" s="44"/>
      <c r="P123" s="44"/>
      <c r="Q123" s="44"/>
      <c r="R123" s="44"/>
      <c r="S123" s="44"/>
      <c r="T123" s="44"/>
      <c r="U123" s="44"/>
      <c r="V123" s="44"/>
      <c r="W123" s="44"/>
      <c r="X123" s="60" t="s">
        <v>1006</v>
      </c>
      <c r="Y123" s="60" t="s">
        <v>1007</v>
      </c>
      <c r="Z123" s="44"/>
    </row>
    <row r="124" spans="1:26" ht="15.75" customHeight="1">
      <c r="A124" s="54" t="str">
        <f>IF(C124="","",VLOOKUP('Opći dio'!$C$3,'Opći dio'!$L$6:$U$137,10,FALSE))</f>
        <v>08006</v>
      </c>
      <c r="B124" s="54" t="str">
        <f>IF(C124="","",VLOOKUP('Opći dio'!$C$3,'Opći dio'!$L$6:$U$137,9,FALSE))</f>
        <v>Sveučilišta i veleučilišta u Republici Hrvatskoj</v>
      </c>
      <c r="C124" s="71">
        <v>576</v>
      </c>
      <c r="D124" s="66" t="str">
        <f t="shared" si="45"/>
        <v>Fond solidarnosti Europske unije</v>
      </c>
      <c r="E124" s="71">
        <v>4223</v>
      </c>
      <c r="F124" s="225" t="str">
        <f>$F$117</f>
        <v>Oprema za održavanje i zaštitu</v>
      </c>
      <c r="G124" s="71" t="s">
        <v>916</v>
      </c>
      <c r="H124" s="66" t="str">
        <f t="shared" si="42"/>
        <v>OBNOVA INFRASTRUKTURE I OPREME U PODRUČJU OBRAZOVANJA OŠTEĆENE POTRESOM</v>
      </c>
      <c r="I124" s="59">
        <v>66945279</v>
      </c>
      <c r="J124" s="59"/>
      <c r="K124" s="59"/>
      <c r="L124" s="44"/>
      <c r="M124" s="44" t="str">
        <f t="shared" si="3"/>
        <v>422</v>
      </c>
      <c r="N124" s="44" t="str">
        <f t="shared" si="4"/>
        <v>42</v>
      </c>
      <c r="O124" s="44"/>
      <c r="P124" s="44"/>
      <c r="Q124" s="44"/>
      <c r="R124" s="44"/>
      <c r="S124" s="44"/>
      <c r="T124" s="44"/>
      <c r="U124" s="44"/>
      <c r="V124" s="44"/>
      <c r="W124" s="44"/>
      <c r="X124" s="60" t="s">
        <v>1008</v>
      </c>
      <c r="Y124" s="60" t="s">
        <v>1009</v>
      </c>
      <c r="Z124" s="44"/>
    </row>
    <row r="125" spans="1:26" ht="15.75" customHeight="1">
      <c r="A125" s="54" t="str">
        <f>IF(C125="","",VLOOKUP('Opći dio'!$C$3,'Opći dio'!$L$6:$U$137,10,FALSE))</f>
        <v>08006</v>
      </c>
      <c r="B125" s="54" t="str">
        <f>IF(C125="","",VLOOKUP('Opći dio'!$C$3,'Opći dio'!$L$6:$U$137,9,FALSE))</f>
        <v>Sveučilišta i veleučilišta u Republici Hrvatskoj</v>
      </c>
      <c r="C125" s="71">
        <v>576</v>
      </c>
      <c r="D125" s="66" t="str">
        <f t="shared" si="45"/>
        <v>Fond solidarnosti Europske unije</v>
      </c>
      <c r="E125" s="71">
        <v>4541</v>
      </c>
      <c r="F125" s="66" t="str">
        <f>IFERROR(VLOOKUP(E125,$R$5:$T$109,2,FALSE),"")</f>
        <v>Dodatna ulaganja za ostalu nefinancijsku imovinu</v>
      </c>
      <c r="G125" s="71" t="s">
        <v>916</v>
      </c>
      <c r="H125" s="66" t="str">
        <f t="shared" si="42"/>
        <v>OBNOVA INFRASTRUKTURE I OPREME U PODRUČJU OBRAZOVANJA OŠTEĆENE POTRESOM</v>
      </c>
      <c r="I125" s="59">
        <v>8367253</v>
      </c>
      <c r="J125" s="59"/>
      <c r="K125" s="59"/>
      <c r="L125" s="44"/>
      <c r="M125" s="44" t="str">
        <f t="shared" si="3"/>
        <v>454</v>
      </c>
      <c r="N125" s="44" t="str">
        <f t="shared" si="4"/>
        <v>45</v>
      </c>
      <c r="O125" s="44"/>
      <c r="P125" s="44"/>
      <c r="Q125" s="44"/>
      <c r="R125" s="44"/>
      <c r="S125" s="44"/>
      <c r="T125" s="44"/>
      <c r="U125" s="44"/>
      <c r="V125" s="44"/>
      <c r="W125" s="44"/>
      <c r="X125" s="60" t="s">
        <v>1010</v>
      </c>
      <c r="Y125" s="60" t="s">
        <v>1011</v>
      </c>
      <c r="Z125" s="44"/>
    </row>
    <row r="126" spans="1:26" ht="15.75" customHeight="1">
      <c r="A126" s="66" t="str">
        <f>IF(C126="","",VLOOKUP('Opći dio'!$C$3,'Opći dio'!$L$6:$U$137,10,FALSE))</f>
        <v/>
      </c>
      <c r="B126" s="66" t="str">
        <f>IF(C126="","",VLOOKUP('Opći dio'!$C$3,'Opći dio'!$L$6:$U$137,9,FALSE))</f>
        <v/>
      </c>
      <c r="C126" s="71"/>
      <c r="D126" s="66" t="str">
        <f t="shared" si="45"/>
        <v/>
      </c>
      <c r="E126" s="71"/>
      <c r="F126" s="66" t="str">
        <f>IFERROR(VLOOKUP(E126,$R$5:$T$109,2,FALSE),"")</f>
        <v/>
      </c>
      <c r="G126" s="71"/>
      <c r="H126" s="66" t="str">
        <f t="shared" si="42"/>
        <v/>
      </c>
      <c r="I126" s="59"/>
      <c r="J126" s="59"/>
      <c r="K126" s="59"/>
      <c r="L126" s="44"/>
      <c r="M126" s="44" t="str">
        <f t="shared" si="3"/>
        <v/>
      </c>
      <c r="N126" s="44" t="str">
        <f t="shared" si="4"/>
        <v/>
      </c>
      <c r="O126" s="44"/>
      <c r="P126" s="44"/>
      <c r="Q126" s="44"/>
      <c r="R126" s="44"/>
      <c r="S126" s="44"/>
      <c r="T126" s="44"/>
      <c r="U126" s="44"/>
      <c r="V126" s="44"/>
      <c r="W126" s="44"/>
      <c r="X126" s="60" t="s">
        <v>1012</v>
      </c>
      <c r="Y126" s="60" t="s">
        <v>715</v>
      </c>
      <c r="Z126" s="44"/>
    </row>
    <row r="127" spans="1:26" ht="15.75" customHeight="1">
      <c r="A127" s="54" t="str">
        <f>IF(C127="","",VLOOKUP('Opći dio'!$C$3,'Opći dio'!$L$6:$U$137,10,FALSE))</f>
        <v>08006</v>
      </c>
      <c r="B127" s="54" t="str">
        <f>IF(C127="","",VLOOKUP('Opći dio'!$C$3,'Opći dio'!$L$6:$U$137,9,FALSE))</f>
        <v>Sveučilišta i veleučilišta u Republici Hrvatskoj</v>
      </c>
      <c r="C127" s="71">
        <v>581</v>
      </c>
      <c r="D127" s="66" t="str">
        <f t="shared" si="45"/>
        <v>Mehanizam za oporavak i otpornost</v>
      </c>
      <c r="E127" s="71">
        <v>4212</v>
      </c>
      <c r="F127" s="66" t="str">
        <f>IFERROR(VLOOKUP(E127,$R$5:$T$109,2,FALSE),"")</f>
        <v>Poslovni objekti</v>
      </c>
      <c r="G127" s="71" t="s">
        <v>929</v>
      </c>
      <c r="H127" s="66" t="str">
        <f t="shared" si="42"/>
        <v>OBNOVA INFRASTRUKTURE I OPREME U PODRUČJU OBRAZOVANJA OŠTEĆENE POTRESOM – NPOO</v>
      </c>
      <c r="I127" s="59">
        <v>59722586</v>
      </c>
      <c r="J127" s="59"/>
      <c r="K127" s="59"/>
      <c r="L127" s="44"/>
      <c r="M127" s="44" t="str">
        <f t="shared" si="3"/>
        <v>421</v>
      </c>
      <c r="N127" s="44" t="str">
        <f t="shared" si="4"/>
        <v>42</v>
      </c>
      <c r="O127" s="44"/>
      <c r="P127" s="44"/>
      <c r="Q127" s="44"/>
      <c r="R127" s="44"/>
      <c r="S127" s="44"/>
      <c r="T127" s="44"/>
      <c r="U127" s="44"/>
      <c r="V127" s="44"/>
      <c r="W127" s="44"/>
      <c r="X127" s="60" t="s">
        <v>1013</v>
      </c>
      <c r="Y127" s="60" t="s">
        <v>1014</v>
      </c>
      <c r="Z127" s="44"/>
    </row>
    <row r="128" spans="1:26" ht="15.75" customHeight="1">
      <c r="A128" s="54" t="str">
        <f>IF(C128="","",VLOOKUP('Opći dio'!$C$3,'Opći dio'!$L$6:$U$137,10,FALSE))</f>
        <v>08006</v>
      </c>
      <c r="B128" s="54" t="str">
        <f>IF(C128="","",VLOOKUP('Opći dio'!$C$3,'Opći dio'!$L$6:$U$137,9,FALSE))</f>
        <v>Sveučilišta i veleučilišta u Republici Hrvatskoj</v>
      </c>
      <c r="C128" s="71">
        <v>581</v>
      </c>
      <c r="D128" s="66" t="str">
        <f t="shared" si="45"/>
        <v>Mehanizam za oporavak i otpornost</v>
      </c>
      <c r="E128" s="71">
        <v>4223</v>
      </c>
      <c r="F128" s="66" t="str">
        <f>$F$117</f>
        <v>Oprema za održavanje i zaštitu</v>
      </c>
      <c r="G128" s="71" t="s">
        <v>929</v>
      </c>
      <c r="H128" s="66" t="str">
        <f t="shared" si="42"/>
        <v>OBNOVA INFRASTRUKTURE I OPREME U PODRUČJU OBRAZOVANJA OŠTEĆENE POTRESOM – NPOO</v>
      </c>
      <c r="I128" s="59">
        <v>42370553</v>
      </c>
      <c r="J128" s="59"/>
      <c r="K128" s="59"/>
      <c r="L128" s="44"/>
      <c r="M128" s="44" t="str">
        <f t="shared" si="3"/>
        <v>422</v>
      </c>
      <c r="N128" s="44" t="str">
        <f t="shared" si="4"/>
        <v>42</v>
      </c>
      <c r="O128" s="44"/>
      <c r="P128" s="44"/>
      <c r="Q128" s="44"/>
      <c r="R128" s="44"/>
      <c r="S128" s="44"/>
      <c r="T128" s="44"/>
      <c r="U128" s="44"/>
      <c r="V128" s="44"/>
      <c r="W128" s="44"/>
      <c r="X128" s="60" t="s">
        <v>1015</v>
      </c>
      <c r="Y128" s="60" t="s">
        <v>1016</v>
      </c>
      <c r="Z128" s="44"/>
    </row>
    <row r="129" spans="1:26" ht="15.75" customHeight="1">
      <c r="A129" s="66" t="str">
        <f>IF(C129="","",VLOOKUP('Opći dio'!$C$3,'Opći dio'!$L$6:$U$137,10,FALSE))</f>
        <v/>
      </c>
      <c r="B129" s="66" t="str">
        <f>IF(C129="","",VLOOKUP('Opći dio'!$C$3,'Opći dio'!$L$6:$U$137,9,FALSE))</f>
        <v/>
      </c>
      <c r="C129" s="71"/>
      <c r="D129" s="66" t="str">
        <f t="shared" si="0"/>
        <v/>
      </c>
      <c r="E129" s="71"/>
      <c r="F129" s="66" t="str">
        <f t="shared" ref="F129:F139" si="46">IFERROR(VLOOKUP(E129,$R$5:$T$109,2,FALSE),"")</f>
        <v/>
      </c>
      <c r="G129" s="71"/>
      <c r="H129" s="66" t="str">
        <f t="shared" si="42"/>
        <v/>
      </c>
      <c r="I129" s="59"/>
      <c r="J129" s="59"/>
      <c r="K129" s="59"/>
      <c r="L129" s="44"/>
      <c r="M129" s="44" t="str">
        <f t="shared" si="3"/>
        <v/>
      </c>
      <c r="N129" s="44" t="str">
        <f t="shared" si="4"/>
        <v/>
      </c>
      <c r="O129" s="44"/>
      <c r="P129" s="44"/>
      <c r="Q129" s="44"/>
      <c r="R129" s="44"/>
      <c r="S129" s="44"/>
      <c r="T129" s="44"/>
      <c r="U129" s="44"/>
      <c r="V129" s="44"/>
      <c r="W129" s="44"/>
      <c r="X129" s="60" t="s">
        <v>627</v>
      </c>
      <c r="Y129" s="60" t="s">
        <v>1017</v>
      </c>
      <c r="Z129" s="44"/>
    </row>
    <row r="130" spans="1:26" ht="15.75" customHeight="1">
      <c r="A130" s="54" t="str">
        <f>IF(C130="","",VLOOKUP('Opći dio'!$C$3,'Opći dio'!$L$6:$U$137,10,FALSE))</f>
        <v>08006</v>
      </c>
      <c r="B130" s="54" t="str">
        <f>IF(C130="","",VLOOKUP('Opći dio'!$C$3,'Opći dio'!$L$6:$U$137,9,FALSE))</f>
        <v>Sveučilišta i veleučilišta u Republici Hrvatskoj</v>
      </c>
      <c r="C130" s="71">
        <v>61</v>
      </c>
      <c r="D130" s="66" t="str">
        <f t="shared" ref="D130:D140" si="47">IFERROR(VLOOKUP(C130,$O$6:$P$23,2,FALSE),"")</f>
        <v>Donacije</v>
      </c>
      <c r="E130" s="71">
        <v>3111</v>
      </c>
      <c r="F130" s="66" t="str">
        <f t="shared" si="46"/>
        <v>Plaće za redovan rad</v>
      </c>
      <c r="G130" s="71" t="s">
        <v>649</v>
      </c>
      <c r="H130" s="66" t="str">
        <f t="shared" si="42"/>
        <v>REDOVNA DJELATNOST SVEUČILIŠTA U ZAGREBU (IZ EVIDENCIJSKIH PRIHODA)</v>
      </c>
      <c r="I130" s="59">
        <v>104391.7</v>
      </c>
      <c r="J130" s="59">
        <v>50000</v>
      </c>
      <c r="K130" s="59">
        <v>50000</v>
      </c>
      <c r="L130" s="44"/>
      <c r="M130" s="44" t="str">
        <f t="shared" si="3"/>
        <v>311</v>
      </c>
      <c r="N130" s="44" t="str">
        <f t="shared" si="4"/>
        <v>31</v>
      </c>
      <c r="O130" s="44"/>
      <c r="P130" s="44"/>
      <c r="Q130" s="44"/>
      <c r="R130" s="44"/>
      <c r="S130" s="44"/>
      <c r="T130" s="44"/>
      <c r="U130" s="44"/>
      <c r="V130" s="44"/>
      <c r="W130" s="44"/>
      <c r="X130" s="60" t="s">
        <v>1018</v>
      </c>
      <c r="Y130" s="60" t="s">
        <v>1019</v>
      </c>
      <c r="Z130" s="44"/>
    </row>
    <row r="131" spans="1:26" ht="15.75" customHeight="1">
      <c r="A131" s="54" t="str">
        <f>IF(C131="","",VLOOKUP('Opći dio'!$C$3,'Opći dio'!$L$6:$U$137,10,FALSE))</f>
        <v>08006</v>
      </c>
      <c r="B131" s="54" t="str">
        <f>IF(C131="","",VLOOKUP('Opći dio'!$C$3,'Opći dio'!$L$6:$U$137,9,FALSE))</f>
        <v>Sveučilišta i veleučilišta u Republici Hrvatskoj</v>
      </c>
      <c r="C131" s="71">
        <v>61</v>
      </c>
      <c r="D131" s="66" t="str">
        <f t="shared" si="47"/>
        <v>Donacije</v>
      </c>
      <c r="E131" s="71">
        <v>3132</v>
      </c>
      <c r="F131" s="66" t="str">
        <f t="shared" si="46"/>
        <v>Doprinosi za obvezno zdravstveno osiguranje</v>
      </c>
      <c r="G131" s="71" t="s">
        <v>649</v>
      </c>
      <c r="H131" s="66" t="str">
        <f t="shared" ref="H131:H194" si="48">IFERROR(VLOOKUP(G131,$X$6:$Y$276,2,FALSE),"")</f>
        <v>REDOVNA DJELATNOST SVEUČILIŠTA U ZAGREBU (IZ EVIDENCIJSKIH PRIHODA)</v>
      </c>
      <c r="I131" s="59">
        <v>20628.3</v>
      </c>
      <c r="J131" s="59">
        <v>8250</v>
      </c>
      <c r="K131" s="59">
        <v>8250</v>
      </c>
      <c r="L131" s="44"/>
      <c r="M131" s="44" t="str">
        <f t="shared" si="3"/>
        <v>313</v>
      </c>
      <c r="N131" s="44" t="str">
        <f t="shared" si="4"/>
        <v>31</v>
      </c>
      <c r="O131" s="44"/>
      <c r="P131" s="44"/>
      <c r="Q131" s="44"/>
      <c r="R131" s="44"/>
      <c r="S131" s="44"/>
      <c r="T131" s="44"/>
      <c r="U131" s="44"/>
      <c r="V131" s="44"/>
      <c r="W131" s="44"/>
      <c r="X131" s="60" t="s">
        <v>1020</v>
      </c>
      <c r="Y131" s="60" t="s">
        <v>1021</v>
      </c>
      <c r="Z131" s="44"/>
    </row>
    <row r="132" spans="1:26" ht="15.75" customHeight="1">
      <c r="A132" s="54" t="str">
        <f>IF(C132="","",VLOOKUP('Opći dio'!$C$3,'Opći dio'!$L$6:$U$137,10,FALSE))</f>
        <v>08006</v>
      </c>
      <c r="B132" s="54" t="str">
        <f>IF(C132="","",VLOOKUP('Opći dio'!$C$3,'Opći dio'!$L$6:$U$137,9,FALSE))</f>
        <v>Sveučilišta i veleučilišta u Republici Hrvatskoj</v>
      </c>
      <c r="C132" s="71">
        <v>61</v>
      </c>
      <c r="D132" s="66" t="str">
        <f t="shared" si="47"/>
        <v>Donacije</v>
      </c>
      <c r="E132" s="71">
        <v>3211</v>
      </c>
      <c r="F132" s="66" t="str">
        <f t="shared" si="46"/>
        <v>Službena putovanja</v>
      </c>
      <c r="G132" s="71" t="s">
        <v>649</v>
      </c>
      <c r="H132" s="66" t="str">
        <f t="shared" si="48"/>
        <v>REDOVNA DJELATNOST SVEUČILIŠTA U ZAGREBU (IZ EVIDENCIJSKIH PRIHODA)</v>
      </c>
      <c r="I132" s="59">
        <v>9376</v>
      </c>
      <c r="J132" s="59">
        <v>20000</v>
      </c>
      <c r="K132" s="59">
        <v>20000</v>
      </c>
      <c r="L132" s="44"/>
      <c r="M132" s="44" t="str">
        <f t="shared" si="3"/>
        <v>321</v>
      </c>
      <c r="N132" s="44" t="str">
        <f t="shared" si="4"/>
        <v>32</v>
      </c>
      <c r="O132" s="44"/>
      <c r="P132" s="44"/>
      <c r="Q132" s="44"/>
      <c r="R132" s="44"/>
      <c r="S132" s="44"/>
      <c r="T132" s="44"/>
      <c r="U132" s="44"/>
      <c r="V132" s="44"/>
      <c r="W132" s="44"/>
      <c r="X132" s="60" t="s">
        <v>649</v>
      </c>
      <c r="Y132" s="60" t="s">
        <v>1022</v>
      </c>
      <c r="Z132" s="44"/>
    </row>
    <row r="133" spans="1:26" ht="15.75" customHeight="1">
      <c r="A133" s="54" t="str">
        <f>IF(C133="","",VLOOKUP('Opći dio'!$C$3,'Opći dio'!$L$6:$U$137,10,FALSE))</f>
        <v>08006</v>
      </c>
      <c r="B133" s="54" t="str">
        <f>IF(C133="","",VLOOKUP('Opći dio'!$C$3,'Opći dio'!$L$6:$U$137,9,FALSE))</f>
        <v>Sveučilišta i veleučilišta u Republici Hrvatskoj</v>
      </c>
      <c r="C133" s="71">
        <v>61</v>
      </c>
      <c r="D133" s="66" t="str">
        <f t="shared" si="47"/>
        <v>Donacije</v>
      </c>
      <c r="E133" s="71">
        <v>3221</v>
      </c>
      <c r="F133" s="66" t="str">
        <f t="shared" si="46"/>
        <v>Uredski materijal i ostali materijalni rashodi</v>
      </c>
      <c r="G133" s="71" t="s">
        <v>649</v>
      </c>
      <c r="H133" s="66" t="str">
        <f t="shared" si="48"/>
        <v>REDOVNA DJELATNOST SVEUČILIŠTA U ZAGREBU (IZ EVIDENCIJSKIH PRIHODA)</v>
      </c>
      <c r="I133" s="59">
        <v>22905</v>
      </c>
      <c r="J133" s="59">
        <v>19992</v>
      </c>
      <c r="K133" s="59">
        <v>19992</v>
      </c>
      <c r="L133" s="44"/>
      <c r="M133" s="44" t="str">
        <f t="shared" si="3"/>
        <v>322</v>
      </c>
      <c r="N133" s="44" t="str">
        <f t="shared" si="4"/>
        <v>32</v>
      </c>
      <c r="O133" s="44"/>
      <c r="P133" s="44"/>
      <c r="Q133" s="44"/>
      <c r="R133" s="44"/>
      <c r="S133" s="44"/>
      <c r="T133" s="44"/>
      <c r="U133" s="44"/>
      <c r="V133" s="44"/>
      <c r="W133" s="44"/>
      <c r="X133" s="60" t="s">
        <v>1023</v>
      </c>
      <c r="Y133" s="60" t="s">
        <v>1024</v>
      </c>
      <c r="Z133" s="44"/>
    </row>
    <row r="134" spans="1:26" ht="15.75" customHeight="1">
      <c r="A134" s="54" t="str">
        <f>IF(C134="","",VLOOKUP('Opći dio'!$C$3,'Opći dio'!$L$6:$U$137,10,FALSE))</f>
        <v>08006</v>
      </c>
      <c r="B134" s="54" t="str">
        <f>IF(C134="","",VLOOKUP('Opći dio'!$C$3,'Opći dio'!$L$6:$U$137,9,FALSE))</f>
        <v>Sveučilišta i veleučilišta u Republici Hrvatskoj</v>
      </c>
      <c r="C134" s="71">
        <v>61</v>
      </c>
      <c r="D134" s="66" t="str">
        <f t="shared" si="47"/>
        <v>Donacije</v>
      </c>
      <c r="E134" s="71">
        <v>3224</v>
      </c>
      <c r="F134" s="66" t="str">
        <f t="shared" si="46"/>
        <v>Materijal i dijelovi za tekuće i investicijsko održavanje</v>
      </c>
      <c r="G134" s="71" t="s">
        <v>649</v>
      </c>
      <c r="H134" s="66" t="str">
        <f t="shared" si="48"/>
        <v>REDOVNA DJELATNOST SVEUČILIŠTA U ZAGREBU (IZ EVIDENCIJSKIH PRIHODA)</v>
      </c>
      <c r="I134" s="59">
        <v>2500.3999999999996</v>
      </c>
      <c r="J134" s="59">
        <v>0</v>
      </c>
      <c r="K134" s="59">
        <v>0</v>
      </c>
      <c r="L134" s="44"/>
      <c r="M134" s="44" t="str">
        <f t="shared" si="3"/>
        <v>322</v>
      </c>
      <c r="N134" s="44" t="str">
        <f t="shared" si="4"/>
        <v>32</v>
      </c>
      <c r="O134" s="44"/>
      <c r="P134" s="44"/>
      <c r="Q134" s="44"/>
      <c r="R134" s="44"/>
      <c r="S134" s="44"/>
      <c r="T134" s="44"/>
      <c r="U134" s="44"/>
      <c r="V134" s="44"/>
      <c r="W134" s="44"/>
      <c r="X134" s="60" t="s">
        <v>1027</v>
      </c>
      <c r="Y134" s="60" t="s">
        <v>1028</v>
      </c>
      <c r="Z134" s="44"/>
    </row>
    <row r="135" spans="1:26" ht="15.75" customHeight="1">
      <c r="A135" s="54" t="str">
        <f>IF(C135="","",VLOOKUP('Opći dio'!$C$3,'Opći dio'!$L$6:$U$137,10,FALSE))</f>
        <v>08006</v>
      </c>
      <c r="B135" s="54" t="str">
        <f>IF(C135="","",VLOOKUP('Opći dio'!$C$3,'Opći dio'!$L$6:$U$137,9,FALSE))</f>
        <v>Sveučilišta i veleučilišta u Republici Hrvatskoj</v>
      </c>
      <c r="C135" s="71">
        <v>61</v>
      </c>
      <c r="D135" s="66" t="str">
        <f t="shared" si="47"/>
        <v>Donacije</v>
      </c>
      <c r="E135" s="71">
        <v>3233</v>
      </c>
      <c r="F135" s="66" t="str">
        <f t="shared" si="46"/>
        <v>Usluge promidžbe i informiranja</v>
      </c>
      <c r="G135" s="71" t="s">
        <v>649</v>
      </c>
      <c r="H135" s="66" t="str">
        <f t="shared" si="48"/>
        <v>REDOVNA DJELATNOST SVEUČILIŠTA U ZAGREBU (IZ EVIDENCIJSKIH PRIHODA)</v>
      </c>
      <c r="I135" s="59">
        <v>34016.691800000001</v>
      </c>
      <c r="J135" s="59">
        <v>11200</v>
      </c>
      <c r="K135" s="59">
        <v>11200</v>
      </c>
      <c r="L135" s="44"/>
      <c r="M135" s="44" t="str">
        <f t="shared" si="3"/>
        <v>323</v>
      </c>
      <c r="N135" s="44" t="str">
        <f t="shared" si="4"/>
        <v>32</v>
      </c>
      <c r="O135" s="44"/>
      <c r="P135" s="44"/>
      <c r="Q135" s="44"/>
      <c r="R135" s="44"/>
      <c r="S135" s="44"/>
      <c r="T135" s="44"/>
      <c r="U135" s="44"/>
      <c r="V135" s="44"/>
      <c r="W135" s="44"/>
      <c r="X135" s="44" t="s">
        <v>1029</v>
      </c>
      <c r="Y135" s="44" t="s">
        <v>1030</v>
      </c>
      <c r="Z135" s="44"/>
    </row>
    <row r="136" spans="1:26" ht="15.75" customHeight="1">
      <c r="A136" s="54" t="str">
        <f>IF(C136="","",VLOOKUP('Opći dio'!$C$3,'Opći dio'!$L$6:$U$137,10,FALSE))</f>
        <v>08006</v>
      </c>
      <c r="B136" s="54" t="str">
        <f>IF(C136="","",VLOOKUP('Opći dio'!$C$3,'Opći dio'!$L$6:$U$137,9,FALSE))</f>
        <v>Sveučilišta i veleučilišta u Republici Hrvatskoj</v>
      </c>
      <c r="C136" s="71">
        <v>61</v>
      </c>
      <c r="D136" s="66" t="str">
        <f t="shared" si="47"/>
        <v>Donacije</v>
      </c>
      <c r="E136" s="71">
        <v>3237</v>
      </c>
      <c r="F136" s="66" t="str">
        <f t="shared" si="46"/>
        <v>Intelektualne i osobne usluge</v>
      </c>
      <c r="G136" s="71" t="s">
        <v>649</v>
      </c>
      <c r="H136" s="66" t="str">
        <f t="shared" si="48"/>
        <v>REDOVNA DJELATNOST SVEUČILIŠTA U ZAGREBU (IZ EVIDENCIJSKIH PRIHODA)</v>
      </c>
      <c r="I136" s="59">
        <v>125720.7371</v>
      </c>
      <c r="J136" s="59">
        <v>95000</v>
      </c>
      <c r="K136" s="59">
        <v>95000</v>
      </c>
      <c r="L136" s="44"/>
      <c r="M136" s="44" t="str">
        <f t="shared" si="3"/>
        <v>323</v>
      </c>
      <c r="N136" s="44" t="str">
        <f t="shared" si="4"/>
        <v>32</v>
      </c>
      <c r="O136" s="44"/>
      <c r="P136" s="44"/>
      <c r="Q136" s="44"/>
      <c r="R136" s="44"/>
      <c r="S136" s="44"/>
      <c r="T136" s="44"/>
      <c r="U136" s="44"/>
      <c r="V136" s="44"/>
      <c r="W136" s="44"/>
      <c r="X136" s="44" t="s">
        <v>1031</v>
      </c>
      <c r="Y136" s="44" t="s">
        <v>1032</v>
      </c>
      <c r="Z136" s="44"/>
    </row>
    <row r="137" spans="1:26" ht="15.75" customHeight="1">
      <c r="A137" s="54" t="str">
        <f>IF(C137="","",VLOOKUP('Opći dio'!$C$3,'Opći dio'!$L$6:$U$137,10,FALSE))</f>
        <v>08006</v>
      </c>
      <c r="B137" s="54" t="str">
        <f>IF(C137="","",VLOOKUP('Opći dio'!$C$3,'Opći dio'!$L$6:$U$137,9,FALSE))</f>
        <v>Sveučilišta i veleučilišta u Republici Hrvatskoj</v>
      </c>
      <c r="C137" s="71">
        <v>61</v>
      </c>
      <c r="D137" s="66" t="str">
        <f t="shared" si="47"/>
        <v>Donacije</v>
      </c>
      <c r="E137" s="71">
        <v>3293</v>
      </c>
      <c r="F137" s="66" t="str">
        <f t="shared" si="46"/>
        <v>Reprezentacija</v>
      </c>
      <c r="G137" s="71" t="s">
        <v>649</v>
      </c>
      <c r="H137" s="66" t="str">
        <f t="shared" si="48"/>
        <v>REDOVNA DJELATNOST SVEUČILIŠTA U ZAGREBU (IZ EVIDENCIJSKIH PRIHODA)</v>
      </c>
      <c r="I137" s="59">
        <v>2375.38</v>
      </c>
      <c r="J137" s="59">
        <v>4500</v>
      </c>
      <c r="K137" s="59">
        <v>4500</v>
      </c>
      <c r="L137" s="44"/>
      <c r="M137" s="44" t="str">
        <f t="shared" si="3"/>
        <v>329</v>
      </c>
      <c r="N137" s="44" t="str">
        <f t="shared" si="4"/>
        <v>32</v>
      </c>
      <c r="O137" s="44"/>
      <c r="P137" s="44"/>
      <c r="Q137" s="44"/>
      <c r="R137" s="44"/>
      <c r="S137" s="44"/>
      <c r="T137" s="44"/>
      <c r="U137" s="44"/>
      <c r="V137" s="44"/>
      <c r="W137" s="44"/>
      <c r="X137" s="44" t="s">
        <v>1033</v>
      </c>
      <c r="Y137" s="44" t="s">
        <v>1034</v>
      </c>
      <c r="Z137" s="44"/>
    </row>
    <row r="138" spans="1:26" ht="15.75" customHeight="1">
      <c r="A138" s="54" t="str">
        <f>IF(C138="","",VLOOKUP('Opći dio'!$C$3,'Opći dio'!$L$6:$U$137,10,FALSE))</f>
        <v>08006</v>
      </c>
      <c r="B138" s="54" t="str">
        <f>IF(C138="","",VLOOKUP('Opći dio'!$C$3,'Opći dio'!$L$6:$U$137,9,FALSE))</f>
        <v>Sveučilišta i veleučilišta u Republici Hrvatskoj</v>
      </c>
      <c r="C138" s="71">
        <v>61</v>
      </c>
      <c r="D138" s="66" t="str">
        <f t="shared" si="47"/>
        <v>Donacije</v>
      </c>
      <c r="E138" s="71">
        <v>3299</v>
      </c>
      <c r="F138" s="66" t="str">
        <f t="shared" si="46"/>
        <v>Ostali nespomenuti rashodi poslovanja</v>
      </c>
      <c r="G138" s="71" t="s">
        <v>649</v>
      </c>
      <c r="H138" s="66" t="str">
        <f t="shared" si="48"/>
        <v>REDOVNA DJELATNOST SVEUČILIŠTA U ZAGREBU (IZ EVIDENCIJSKIH PRIHODA)</v>
      </c>
      <c r="I138" s="59">
        <v>5222.7104999999992</v>
      </c>
      <c r="J138" s="59">
        <v>7300</v>
      </c>
      <c r="K138" s="59">
        <v>7300</v>
      </c>
      <c r="L138" s="44"/>
      <c r="M138" s="44" t="str">
        <f t="shared" si="3"/>
        <v>329</v>
      </c>
      <c r="N138" s="44" t="str">
        <f t="shared" si="4"/>
        <v>32</v>
      </c>
      <c r="O138" s="44"/>
      <c r="P138" s="44"/>
      <c r="Q138" s="44"/>
      <c r="R138" s="44"/>
      <c r="S138" s="44"/>
      <c r="T138" s="44"/>
      <c r="U138" s="44"/>
      <c r="V138" s="44"/>
      <c r="W138" s="44"/>
      <c r="X138" s="44" t="s">
        <v>1035</v>
      </c>
      <c r="Y138" s="44" t="s">
        <v>1036</v>
      </c>
      <c r="Z138" s="44"/>
    </row>
    <row r="139" spans="1:26" ht="15.75" customHeight="1">
      <c r="A139" s="54" t="str">
        <f>IF(C139="","",VLOOKUP('Opći dio'!$C$3,'Opći dio'!$L$6:$U$137,10,FALSE))</f>
        <v>08006</v>
      </c>
      <c r="B139" s="54" t="str">
        <f>IF(C139="","",VLOOKUP('Opći dio'!$C$3,'Opći dio'!$L$6:$U$137,9,FALSE))</f>
        <v>Sveučilišta i veleučilišta u Republici Hrvatskoj</v>
      </c>
      <c r="C139" s="71">
        <v>61</v>
      </c>
      <c r="D139" s="66" t="str">
        <f t="shared" si="47"/>
        <v>Donacije</v>
      </c>
      <c r="E139" s="71">
        <v>4221</v>
      </c>
      <c r="F139" s="66" t="str">
        <f t="shared" si="46"/>
        <v>Uredska oprema i namještaj</v>
      </c>
      <c r="G139" s="71" t="s">
        <v>649</v>
      </c>
      <c r="H139" s="66" t="str">
        <f t="shared" si="48"/>
        <v>REDOVNA DJELATNOST SVEUČILIŠTA U ZAGREBU (IZ EVIDENCIJSKIH PRIHODA)</v>
      </c>
      <c r="I139" s="59">
        <v>21878.5</v>
      </c>
      <c r="J139" s="59">
        <v>25000</v>
      </c>
      <c r="K139" s="59">
        <v>25000</v>
      </c>
      <c r="L139" s="44"/>
      <c r="M139" s="44" t="str">
        <f t="shared" si="3"/>
        <v>422</v>
      </c>
      <c r="N139" s="44" t="str">
        <f t="shared" si="4"/>
        <v>42</v>
      </c>
      <c r="O139" s="44"/>
      <c r="P139" s="44"/>
      <c r="Q139" s="44"/>
      <c r="R139" s="44"/>
      <c r="S139" s="44"/>
      <c r="T139" s="44"/>
      <c r="U139" s="44"/>
      <c r="V139" s="44"/>
      <c r="W139" s="44"/>
      <c r="X139" s="44" t="s">
        <v>1037</v>
      </c>
      <c r="Y139" s="44" t="s">
        <v>1038</v>
      </c>
      <c r="Z139" s="44"/>
    </row>
    <row r="140" spans="1:26" ht="15.75" customHeight="1">
      <c r="A140" s="54" t="str">
        <f>IF(C140="","",VLOOKUP('Opći dio'!$C$3,'Opći dio'!$L$6:$U$137,10,FALSE))</f>
        <v>08006</v>
      </c>
      <c r="B140" s="54" t="str">
        <f>IF(C140="","",VLOOKUP('Opći dio'!$C$3,'Opći dio'!$L$6:$U$137,9,FALSE))</f>
        <v>Sveučilišta i veleučilišta u Republici Hrvatskoj</v>
      </c>
      <c r="C140" s="71">
        <v>61</v>
      </c>
      <c r="D140" s="66" t="str">
        <f t="shared" si="47"/>
        <v>Donacije</v>
      </c>
      <c r="E140" s="71">
        <v>4224</v>
      </c>
      <c r="F140" s="66" t="str">
        <f>$F$118</f>
        <v>Medicinska i laboratorijska oprema</v>
      </c>
      <c r="G140" s="71" t="s">
        <v>649</v>
      </c>
      <c r="H140" s="66" t="str">
        <f t="shared" si="48"/>
        <v>REDOVNA DJELATNOST SVEUČILIŠTA U ZAGREBU (IZ EVIDENCIJSKIH PRIHODA)</v>
      </c>
      <c r="I140" s="59">
        <v>10345.404999999999</v>
      </c>
      <c r="J140" s="59">
        <v>11200</v>
      </c>
      <c r="K140" s="59">
        <v>11200</v>
      </c>
      <c r="L140" s="44"/>
      <c r="M140" s="44" t="str">
        <f t="shared" si="3"/>
        <v>422</v>
      </c>
      <c r="N140" s="44" t="str">
        <f t="shared" si="4"/>
        <v>42</v>
      </c>
      <c r="O140" s="44"/>
      <c r="P140" s="44"/>
      <c r="Q140" s="44"/>
      <c r="R140" s="44"/>
      <c r="S140" s="44"/>
      <c r="T140" s="44"/>
      <c r="U140" s="44"/>
      <c r="V140" s="44"/>
      <c r="W140" s="44"/>
      <c r="X140" s="44" t="s">
        <v>1039</v>
      </c>
      <c r="Y140" s="44" t="s">
        <v>1040</v>
      </c>
      <c r="Z140" s="44"/>
    </row>
    <row r="141" spans="1:26" ht="15.75" customHeight="1">
      <c r="A141" s="66" t="str">
        <f>IF(C141="","",VLOOKUP('Opći dio'!$C$3,'Opći dio'!$L$6:$U$137,10,FALSE))</f>
        <v/>
      </c>
      <c r="B141" s="66" t="str">
        <f>IF(C141="","",VLOOKUP('Opći dio'!$C$3,'Opći dio'!$L$6:$U$137,9,FALSE))</f>
        <v/>
      </c>
      <c r="C141" s="71"/>
      <c r="D141" s="66" t="str">
        <f t="shared" si="0"/>
        <v/>
      </c>
      <c r="E141" s="71"/>
      <c r="F141" s="66" t="str">
        <f t="shared" ref="F141:F204" si="49">IFERROR(VLOOKUP(E141,$R$5:$T$109,2,FALSE),"")</f>
        <v/>
      </c>
      <c r="G141" s="71"/>
      <c r="H141" s="66" t="str">
        <f t="shared" si="48"/>
        <v/>
      </c>
      <c r="I141" s="59"/>
      <c r="J141" s="59"/>
      <c r="K141" s="59"/>
      <c r="L141" s="44"/>
      <c r="M141" s="44" t="str">
        <f t="shared" si="3"/>
        <v/>
      </c>
      <c r="N141" s="44" t="str">
        <f t="shared" si="4"/>
        <v/>
      </c>
      <c r="O141" s="44"/>
      <c r="P141" s="44"/>
      <c r="Q141" s="44"/>
      <c r="R141" s="44"/>
      <c r="S141" s="44"/>
      <c r="T141" s="44"/>
      <c r="U141" s="44"/>
      <c r="V141" s="44"/>
      <c r="W141" s="44"/>
      <c r="X141" s="44" t="s">
        <v>1041</v>
      </c>
      <c r="Y141" s="44" t="s">
        <v>1042</v>
      </c>
      <c r="Z141" s="44"/>
    </row>
    <row r="142" spans="1:26" ht="15.75" customHeight="1">
      <c r="A142" s="66" t="str">
        <f>IF(C142="","",VLOOKUP('Opći dio'!$C$3,'Opći dio'!$L$6:$U$137,10,FALSE))</f>
        <v/>
      </c>
      <c r="B142" s="66" t="str">
        <f>IF(C142="","",VLOOKUP('Opći dio'!$C$3,'Opći dio'!$L$6:$U$137,9,FALSE))</f>
        <v/>
      </c>
      <c r="C142" s="71"/>
      <c r="D142" s="66" t="str">
        <f t="shared" si="0"/>
        <v/>
      </c>
      <c r="E142" s="71"/>
      <c r="F142" s="66" t="str">
        <f t="shared" si="49"/>
        <v/>
      </c>
      <c r="G142" s="71"/>
      <c r="H142" s="66" t="str">
        <f t="shared" si="48"/>
        <v/>
      </c>
      <c r="I142" s="59"/>
      <c r="J142" s="59"/>
      <c r="K142" s="59"/>
      <c r="L142" s="44"/>
      <c r="M142" s="44" t="str">
        <f t="shared" si="3"/>
        <v/>
      </c>
      <c r="N142" s="44" t="str">
        <f t="shared" si="4"/>
        <v/>
      </c>
      <c r="O142" s="44"/>
      <c r="P142" s="44"/>
      <c r="Q142" s="44"/>
      <c r="R142" s="44"/>
      <c r="S142" s="44"/>
      <c r="T142" s="44"/>
      <c r="U142" s="44"/>
      <c r="V142" s="44"/>
      <c r="W142" s="44"/>
      <c r="X142" s="44" t="s">
        <v>1043</v>
      </c>
      <c r="Y142" s="44" t="s">
        <v>1044</v>
      </c>
      <c r="Z142" s="44"/>
    </row>
    <row r="143" spans="1:26" ht="15.75" customHeight="1">
      <c r="A143" s="66" t="str">
        <f>IF(C143="","",VLOOKUP('Opći dio'!$C$3,'Opći dio'!$L$6:$U$137,10,FALSE))</f>
        <v/>
      </c>
      <c r="B143" s="66" t="str">
        <f>IF(C143="","",VLOOKUP('Opći dio'!$C$3,'Opći dio'!$L$6:$U$137,9,FALSE))</f>
        <v/>
      </c>
      <c r="C143" s="71"/>
      <c r="D143" s="66" t="str">
        <f t="shared" si="0"/>
        <v/>
      </c>
      <c r="E143" s="71"/>
      <c r="F143" s="66" t="str">
        <f t="shared" si="49"/>
        <v/>
      </c>
      <c r="G143" s="71"/>
      <c r="H143" s="66" t="str">
        <f t="shared" si="48"/>
        <v/>
      </c>
      <c r="I143" s="59"/>
      <c r="J143" s="59"/>
      <c r="K143" s="59"/>
      <c r="L143" s="44"/>
      <c r="M143" s="44" t="str">
        <f t="shared" si="3"/>
        <v/>
      </c>
      <c r="N143" s="44" t="str">
        <f t="shared" si="4"/>
        <v/>
      </c>
      <c r="O143" s="44"/>
      <c r="P143" s="44"/>
      <c r="Q143" s="44"/>
      <c r="R143" s="44"/>
      <c r="S143" s="44"/>
      <c r="T143" s="44"/>
      <c r="U143" s="44"/>
      <c r="V143" s="44"/>
      <c r="W143" s="44"/>
      <c r="X143" s="44" t="s">
        <v>1045</v>
      </c>
      <c r="Y143" s="44" t="s">
        <v>1046</v>
      </c>
      <c r="Z143" s="44"/>
    </row>
    <row r="144" spans="1:26" ht="15.75" customHeight="1">
      <c r="A144" s="66" t="str">
        <f>IF(C144="","",VLOOKUP('Opći dio'!$C$3,'Opći dio'!$L$6:$U$137,10,FALSE))</f>
        <v/>
      </c>
      <c r="B144" s="66" t="str">
        <f>IF(C144="","",VLOOKUP('Opći dio'!$C$3,'Opći dio'!$L$6:$U$137,9,FALSE))</f>
        <v/>
      </c>
      <c r="C144" s="71"/>
      <c r="D144" s="66" t="str">
        <f t="shared" si="0"/>
        <v/>
      </c>
      <c r="E144" s="71"/>
      <c r="F144" s="66" t="str">
        <f t="shared" si="49"/>
        <v/>
      </c>
      <c r="G144" s="71"/>
      <c r="H144" s="66" t="str">
        <f t="shared" si="48"/>
        <v/>
      </c>
      <c r="I144" s="59"/>
      <c r="J144" s="59"/>
      <c r="K144" s="59"/>
      <c r="L144" s="44"/>
      <c r="M144" s="44" t="str">
        <f t="shared" si="3"/>
        <v/>
      </c>
      <c r="N144" s="44" t="str">
        <f t="shared" si="4"/>
        <v/>
      </c>
      <c r="O144" s="44"/>
      <c r="P144" s="44"/>
      <c r="Q144" s="44"/>
      <c r="R144" s="44"/>
      <c r="S144" s="44"/>
      <c r="T144" s="44"/>
      <c r="U144" s="44"/>
      <c r="V144" s="44"/>
      <c r="W144" s="44"/>
      <c r="X144" s="44" t="s">
        <v>1047</v>
      </c>
      <c r="Y144" s="44" t="s">
        <v>1048</v>
      </c>
      <c r="Z144" s="44"/>
    </row>
    <row r="145" spans="1:26" ht="15.75" customHeight="1">
      <c r="A145" s="66" t="str">
        <f>IF(C145="","",VLOOKUP('Opći dio'!$C$3,'Opći dio'!$L$6:$U$137,10,FALSE))</f>
        <v/>
      </c>
      <c r="B145" s="66" t="str">
        <f>IF(C145="","",VLOOKUP('Opći dio'!$C$3,'Opći dio'!$L$6:$U$137,9,FALSE))</f>
        <v/>
      </c>
      <c r="C145" s="71"/>
      <c r="D145" s="66" t="str">
        <f t="shared" si="0"/>
        <v/>
      </c>
      <c r="E145" s="71"/>
      <c r="F145" s="66" t="str">
        <f t="shared" si="49"/>
        <v/>
      </c>
      <c r="G145" s="71"/>
      <c r="H145" s="66" t="str">
        <f t="shared" si="48"/>
        <v/>
      </c>
      <c r="I145" s="59"/>
      <c r="J145" s="59"/>
      <c r="K145" s="59"/>
      <c r="L145" s="44"/>
      <c r="M145" s="44" t="str">
        <f t="shared" si="3"/>
        <v/>
      </c>
      <c r="N145" s="44" t="str">
        <f t="shared" si="4"/>
        <v/>
      </c>
      <c r="O145" s="44"/>
      <c r="P145" s="44"/>
      <c r="Q145" s="44"/>
      <c r="R145" s="44"/>
      <c r="S145" s="44"/>
      <c r="T145" s="44"/>
      <c r="U145" s="44"/>
      <c r="V145" s="44"/>
      <c r="W145" s="44"/>
      <c r="X145" s="44" t="s">
        <v>1049</v>
      </c>
      <c r="Y145" s="44" t="s">
        <v>1050</v>
      </c>
      <c r="Z145" s="44"/>
    </row>
    <row r="146" spans="1:26" ht="15.75" customHeight="1">
      <c r="A146" s="66" t="str">
        <f>IF(C146="","",VLOOKUP('Opći dio'!$C$3,'Opći dio'!$L$6:$U$137,10,FALSE))</f>
        <v/>
      </c>
      <c r="B146" s="66" t="str">
        <f>IF(C146="","",VLOOKUP('Opći dio'!$C$3,'Opći dio'!$L$6:$U$137,9,FALSE))</f>
        <v/>
      </c>
      <c r="C146" s="71"/>
      <c r="D146" s="66" t="str">
        <f t="shared" si="0"/>
        <v/>
      </c>
      <c r="E146" s="71"/>
      <c r="F146" s="66" t="str">
        <f t="shared" si="49"/>
        <v/>
      </c>
      <c r="G146" s="71"/>
      <c r="H146" s="66" t="str">
        <f t="shared" si="48"/>
        <v/>
      </c>
      <c r="I146" s="59"/>
      <c r="J146" s="59"/>
      <c r="K146" s="59"/>
      <c r="L146" s="44"/>
      <c r="M146" s="44" t="str">
        <f t="shared" si="3"/>
        <v/>
      </c>
      <c r="N146" s="44" t="str">
        <f t="shared" si="4"/>
        <v/>
      </c>
      <c r="O146" s="44"/>
      <c r="P146" s="44"/>
      <c r="Q146" s="44"/>
      <c r="R146" s="44"/>
      <c r="S146" s="44"/>
      <c r="T146" s="44"/>
      <c r="U146" s="44"/>
      <c r="V146" s="44"/>
      <c r="W146" s="44"/>
      <c r="X146" s="44" t="s">
        <v>916</v>
      </c>
      <c r="Y146" s="44" t="s">
        <v>990</v>
      </c>
      <c r="Z146" s="44"/>
    </row>
    <row r="147" spans="1:26" ht="15.75" customHeight="1">
      <c r="A147" s="66" t="str">
        <f>IF(C147="","",VLOOKUP('Opći dio'!$C$3,'Opći dio'!$L$6:$U$137,10,FALSE))</f>
        <v/>
      </c>
      <c r="B147" s="66" t="str">
        <f>IF(C147="","",VLOOKUP('Opći dio'!$C$3,'Opći dio'!$L$6:$U$137,9,FALSE))</f>
        <v/>
      </c>
      <c r="C147" s="71"/>
      <c r="D147" s="66" t="str">
        <f t="shared" si="0"/>
        <v/>
      </c>
      <c r="E147" s="71"/>
      <c r="F147" s="66" t="str">
        <f t="shared" si="49"/>
        <v/>
      </c>
      <c r="G147" s="71"/>
      <c r="H147" s="66" t="str">
        <f t="shared" si="48"/>
        <v/>
      </c>
      <c r="I147" s="59"/>
      <c r="J147" s="59"/>
      <c r="K147" s="59"/>
      <c r="L147" s="44"/>
      <c r="M147" s="44" t="str">
        <f t="shared" si="3"/>
        <v/>
      </c>
      <c r="N147" s="44" t="str">
        <f t="shared" si="4"/>
        <v/>
      </c>
      <c r="O147" s="44"/>
      <c r="P147" s="44"/>
      <c r="Q147" s="44"/>
      <c r="R147" s="44"/>
      <c r="S147" s="44"/>
      <c r="T147" s="44"/>
      <c r="U147" s="44"/>
      <c r="V147" s="44"/>
      <c r="W147" s="44"/>
      <c r="X147" s="44" t="s">
        <v>929</v>
      </c>
      <c r="Y147" s="44" t="s">
        <v>1051</v>
      </c>
      <c r="Z147" s="44"/>
    </row>
    <row r="148" spans="1:26" ht="15.75" customHeight="1">
      <c r="A148" s="66" t="str">
        <f>IF(C148="","",VLOOKUP('Opći dio'!$C$3,'Opći dio'!$L$6:$U$137,10,FALSE))</f>
        <v/>
      </c>
      <c r="B148" s="66" t="str">
        <f>IF(C148="","",VLOOKUP('Opći dio'!$C$3,'Opći dio'!$L$6:$U$137,9,FALSE))</f>
        <v/>
      </c>
      <c r="C148" s="71"/>
      <c r="D148" s="66" t="str">
        <f t="shared" si="0"/>
        <v/>
      </c>
      <c r="E148" s="71"/>
      <c r="F148" s="66" t="str">
        <f t="shared" si="49"/>
        <v/>
      </c>
      <c r="G148" s="71"/>
      <c r="H148" s="66" t="str">
        <f t="shared" si="48"/>
        <v/>
      </c>
      <c r="I148" s="59"/>
      <c r="J148" s="59"/>
      <c r="K148" s="59"/>
      <c r="L148" s="44"/>
      <c r="M148" s="44" t="str">
        <f t="shared" si="3"/>
        <v/>
      </c>
      <c r="N148" s="44" t="str">
        <f t="shared" si="4"/>
        <v/>
      </c>
      <c r="O148" s="44"/>
      <c r="P148" s="44"/>
      <c r="Q148" s="44"/>
      <c r="R148" s="44"/>
      <c r="S148" s="44"/>
      <c r="T148" s="44"/>
      <c r="U148" s="44"/>
      <c r="V148" s="44"/>
      <c r="W148" s="44"/>
      <c r="X148" s="44" t="s">
        <v>1052</v>
      </c>
      <c r="Y148" s="44" t="s">
        <v>1053</v>
      </c>
      <c r="Z148" s="44"/>
    </row>
    <row r="149" spans="1:26" ht="15.75" customHeight="1">
      <c r="A149" s="66" t="str">
        <f>IF(C149="","",VLOOKUP('Opći dio'!$C$3,'Opći dio'!$L$6:$U$137,10,FALSE))</f>
        <v/>
      </c>
      <c r="B149" s="66" t="str">
        <f>IF(C149="","",VLOOKUP('Opći dio'!$C$3,'Opći dio'!$L$6:$U$137,9,FALSE))</f>
        <v/>
      </c>
      <c r="C149" s="71"/>
      <c r="D149" s="66" t="str">
        <f t="shared" si="0"/>
        <v/>
      </c>
      <c r="E149" s="71"/>
      <c r="F149" s="66" t="str">
        <f t="shared" si="49"/>
        <v/>
      </c>
      <c r="G149" s="71"/>
      <c r="H149" s="66" t="str">
        <f t="shared" si="48"/>
        <v/>
      </c>
      <c r="I149" s="59"/>
      <c r="J149" s="59"/>
      <c r="K149" s="59"/>
      <c r="L149" s="44"/>
      <c r="M149" s="44" t="str">
        <f t="shared" si="3"/>
        <v/>
      </c>
      <c r="N149" s="44" t="str">
        <f t="shared" si="4"/>
        <v/>
      </c>
      <c r="O149" s="44"/>
      <c r="P149" s="44"/>
      <c r="Q149" s="44"/>
      <c r="R149" s="44"/>
      <c r="S149" s="44"/>
      <c r="T149" s="44"/>
      <c r="U149" s="44"/>
      <c r="V149" s="44"/>
      <c r="W149" s="44"/>
      <c r="X149" s="44" t="s">
        <v>1054</v>
      </c>
      <c r="Y149" s="44" t="s">
        <v>1055</v>
      </c>
      <c r="Z149" s="44"/>
    </row>
    <row r="150" spans="1:26" ht="15.75" customHeight="1">
      <c r="A150" s="66" t="str">
        <f>IF(C150="","",VLOOKUP('Opći dio'!$C$3,'Opći dio'!$L$6:$U$137,10,FALSE))</f>
        <v/>
      </c>
      <c r="B150" s="66" t="str">
        <f>IF(C150="","",VLOOKUP('Opći dio'!$C$3,'Opći dio'!$L$6:$U$137,9,FALSE))</f>
        <v/>
      </c>
      <c r="C150" s="71"/>
      <c r="D150" s="66" t="str">
        <f t="shared" si="0"/>
        <v/>
      </c>
      <c r="E150" s="71"/>
      <c r="F150" s="66" t="str">
        <f t="shared" si="49"/>
        <v/>
      </c>
      <c r="G150" s="71"/>
      <c r="H150" s="66" t="str">
        <f t="shared" si="48"/>
        <v/>
      </c>
      <c r="I150" s="59"/>
      <c r="J150" s="59"/>
      <c r="K150" s="59"/>
      <c r="L150" s="44"/>
      <c r="M150" s="44" t="str">
        <f t="shared" si="3"/>
        <v/>
      </c>
      <c r="N150" s="44" t="str">
        <f t="shared" si="4"/>
        <v/>
      </c>
      <c r="O150" s="44"/>
      <c r="P150" s="44"/>
      <c r="Q150" s="44"/>
      <c r="R150" s="44"/>
      <c r="S150" s="44"/>
      <c r="T150" s="44"/>
      <c r="U150" s="44"/>
      <c r="V150" s="44"/>
      <c r="W150" s="44"/>
      <c r="X150" s="44" t="s">
        <v>1056</v>
      </c>
      <c r="Y150" s="44" t="s">
        <v>1057</v>
      </c>
      <c r="Z150" s="44"/>
    </row>
    <row r="151" spans="1:26" ht="15.75" customHeight="1">
      <c r="A151" s="66" t="str">
        <f>IF(C151="","",VLOOKUP('Opći dio'!$C$3,'Opći dio'!$L$6:$U$137,10,FALSE))</f>
        <v/>
      </c>
      <c r="B151" s="66" t="str">
        <f>IF(C151="","",VLOOKUP('Opći dio'!$C$3,'Opći dio'!$L$6:$U$137,9,FALSE))</f>
        <v/>
      </c>
      <c r="C151" s="71"/>
      <c r="D151" s="66" t="str">
        <f t="shared" si="0"/>
        <v/>
      </c>
      <c r="E151" s="71"/>
      <c r="F151" s="66" t="str">
        <f t="shared" si="49"/>
        <v/>
      </c>
      <c r="G151" s="71"/>
      <c r="H151" s="66" t="str">
        <f t="shared" si="48"/>
        <v/>
      </c>
      <c r="I151" s="59"/>
      <c r="J151" s="59"/>
      <c r="K151" s="59"/>
      <c r="L151" s="44"/>
      <c r="M151" s="44" t="str">
        <f t="shared" si="3"/>
        <v/>
      </c>
      <c r="N151" s="44" t="str">
        <f t="shared" si="4"/>
        <v/>
      </c>
      <c r="O151" s="44"/>
      <c r="P151" s="44"/>
      <c r="Q151" s="44"/>
      <c r="R151" s="44"/>
      <c r="S151" s="44"/>
      <c r="T151" s="44"/>
      <c r="U151" s="44"/>
      <c r="V151" s="44"/>
      <c r="W151" s="44"/>
      <c r="X151" s="44" t="s">
        <v>1058</v>
      </c>
      <c r="Y151" s="44" t="s">
        <v>1059</v>
      </c>
      <c r="Z151" s="44"/>
    </row>
    <row r="152" spans="1:26" ht="15.75" customHeight="1">
      <c r="A152" s="66" t="str">
        <f>IF(C152="","",VLOOKUP('Opći dio'!$C$3,'Opći dio'!$L$6:$U$137,10,FALSE))</f>
        <v/>
      </c>
      <c r="B152" s="66" t="str">
        <f>IF(C152="","",VLOOKUP('Opći dio'!$C$3,'Opći dio'!$L$6:$U$137,9,FALSE))</f>
        <v/>
      </c>
      <c r="C152" s="71"/>
      <c r="D152" s="66" t="str">
        <f t="shared" si="0"/>
        <v/>
      </c>
      <c r="E152" s="71"/>
      <c r="F152" s="66" t="str">
        <f t="shared" si="49"/>
        <v/>
      </c>
      <c r="G152" s="71"/>
      <c r="H152" s="66" t="str">
        <f t="shared" si="48"/>
        <v/>
      </c>
      <c r="I152" s="59"/>
      <c r="J152" s="59"/>
      <c r="K152" s="59"/>
      <c r="L152" s="44"/>
      <c r="M152" s="44" t="str">
        <f t="shared" si="3"/>
        <v/>
      </c>
      <c r="N152" s="44" t="str">
        <f t="shared" si="4"/>
        <v/>
      </c>
      <c r="O152" s="44"/>
      <c r="P152" s="44"/>
      <c r="Q152" s="44"/>
      <c r="R152" s="44"/>
      <c r="S152" s="44"/>
      <c r="T152" s="44"/>
      <c r="U152" s="44"/>
      <c r="V152" s="44"/>
      <c r="W152" s="44"/>
      <c r="X152" s="44" t="s">
        <v>1060</v>
      </c>
      <c r="Y152" s="44" t="s">
        <v>1061</v>
      </c>
      <c r="Z152" s="44"/>
    </row>
    <row r="153" spans="1:26" ht="15.75" customHeight="1">
      <c r="A153" s="66" t="str">
        <f>IF(C153="","",VLOOKUP('Opći dio'!$C$3,'Opći dio'!$L$6:$U$137,10,FALSE))</f>
        <v/>
      </c>
      <c r="B153" s="66" t="str">
        <f>IF(C153="","",VLOOKUP('Opći dio'!$C$3,'Opći dio'!$L$6:$U$137,9,FALSE))</f>
        <v/>
      </c>
      <c r="C153" s="71"/>
      <c r="D153" s="66" t="str">
        <f t="shared" si="0"/>
        <v/>
      </c>
      <c r="E153" s="71"/>
      <c r="F153" s="66" t="str">
        <f t="shared" si="49"/>
        <v/>
      </c>
      <c r="G153" s="71"/>
      <c r="H153" s="66" t="str">
        <f t="shared" si="48"/>
        <v/>
      </c>
      <c r="I153" s="59"/>
      <c r="J153" s="59"/>
      <c r="K153" s="59"/>
      <c r="L153" s="44"/>
      <c r="M153" s="44" t="str">
        <f t="shared" si="3"/>
        <v/>
      </c>
      <c r="N153" s="44" t="str">
        <f t="shared" si="4"/>
        <v/>
      </c>
      <c r="O153" s="44"/>
      <c r="P153" s="44"/>
      <c r="Q153" s="44"/>
      <c r="R153" s="44"/>
      <c r="S153" s="44"/>
      <c r="T153" s="44"/>
      <c r="U153" s="44"/>
      <c r="V153" s="44"/>
      <c r="W153" s="44"/>
      <c r="X153" s="44" t="s">
        <v>1062</v>
      </c>
      <c r="Y153" s="44" t="s">
        <v>1063</v>
      </c>
      <c r="Z153" s="44"/>
    </row>
    <row r="154" spans="1:26" ht="15.75" customHeight="1">
      <c r="A154" s="66" t="str">
        <f>IF(C154="","",VLOOKUP('Opći dio'!$C$3,'Opći dio'!$L$6:$U$137,10,FALSE))</f>
        <v/>
      </c>
      <c r="B154" s="66" t="str">
        <f>IF(C154="","",VLOOKUP('Opći dio'!$C$3,'Opći dio'!$L$6:$U$137,9,FALSE))</f>
        <v/>
      </c>
      <c r="C154" s="71"/>
      <c r="D154" s="66" t="str">
        <f t="shared" si="0"/>
        <v/>
      </c>
      <c r="E154" s="71"/>
      <c r="F154" s="66" t="str">
        <f t="shared" si="49"/>
        <v/>
      </c>
      <c r="G154" s="71"/>
      <c r="H154" s="66" t="str">
        <f t="shared" si="48"/>
        <v/>
      </c>
      <c r="I154" s="59"/>
      <c r="J154" s="59"/>
      <c r="K154" s="59"/>
      <c r="L154" s="44"/>
      <c r="M154" s="44" t="str">
        <f t="shared" si="3"/>
        <v/>
      </c>
      <c r="N154" s="44" t="str">
        <f t="shared" si="4"/>
        <v/>
      </c>
      <c r="O154" s="44"/>
      <c r="P154" s="44"/>
      <c r="Q154" s="44"/>
      <c r="R154" s="44"/>
      <c r="S154" s="44"/>
      <c r="T154" s="44"/>
      <c r="U154" s="44"/>
      <c r="V154" s="44"/>
      <c r="W154" s="44"/>
      <c r="X154" s="44" t="s">
        <v>1064</v>
      </c>
      <c r="Y154" s="44" t="s">
        <v>715</v>
      </c>
      <c r="Z154" s="44"/>
    </row>
    <row r="155" spans="1:26" ht="15.75" customHeight="1">
      <c r="A155" s="66" t="str">
        <f>IF(C155="","",VLOOKUP('Opći dio'!$C$3,'Opći dio'!$L$6:$U$137,10,FALSE))</f>
        <v/>
      </c>
      <c r="B155" s="66" t="str">
        <f>IF(C155="","",VLOOKUP('Opći dio'!$C$3,'Opći dio'!$L$6:$U$137,9,FALSE))</f>
        <v/>
      </c>
      <c r="C155" s="71"/>
      <c r="D155" s="66" t="str">
        <f t="shared" si="0"/>
        <v/>
      </c>
      <c r="E155" s="71"/>
      <c r="F155" s="66" t="str">
        <f t="shared" si="49"/>
        <v/>
      </c>
      <c r="G155" s="71"/>
      <c r="H155" s="66" t="str">
        <f t="shared" si="48"/>
        <v/>
      </c>
      <c r="I155" s="59"/>
      <c r="J155" s="59"/>
      <c r="K155" s="59"/>
      <c r="L155" s="44"/>
      <c r="M155" s="44" t="str">
        <f t="shared" si="3"/>
        <v/>
      </c>
      <c r="N155" s="44" t="str">
        <f t="shared" si="4"/>
        <v/>
      </c>
      <c r="O155" s="44"/>
      <c r="P155" s="44"/>
      <c r="Q155" s="44"/>
      <c r="R155" s="44"/>
      <c r="S155" s="44"/>
      <c r="T155" s="44"/>
      <c r="U155" s="44"/>
      <c r="V155" s="44"/>
      <c r="W155" s="44"/>
      <c r="X155" s="44" t="s">
        <v>1065</v>
      </c>
      <c r="Y155" s="44" t="s">
        <v>1066</v>
      </c>
      <c r="Z155" s="44"/>
    </row>
    <row r="156" spans="1:26" ht="15.75" customHeight="1">
      <c r="A156" s="66" t="str">
        <f>IF(C156="","",VLOOKUP('Opći dio'!$C$3,'Opći dio'!$L$6:$U$137,10,FALSE))</f>
        <v/>
      </c>
      <c r="B156" s="66" t="str">
        <f>IF(C156="","",VLOOKUP('Opći dio'!$C$3,'Opći dio'!$L$6:$U$137,9,FALSE))</f>
        <v/>
      </c>
      <c r="C156" s="71"/>
      <c r="D156" s="66" t="str">
        <f t="shared" si="0"/>
        <v/>
      </c>
      <c r="E156" s="71"/>
      <c r="F156" s="66" t="str">
        <f t="shared" si="49"/>
        <v/>
      </c>
      <c r="G156" s="71"/>
      <c r="H156" s="66" t="str">
        <f t="shared" si="48"/>
        <v/>
      </c>
      <c r="I156" s="59"/>
      <c r="J156" s="59"/>
      <c r="K156" s="59"/>
      <c r="L156" s="44"/>
      <c r="M156" s="44" t="str">
        <f t="shared" si="3"/>
        <v/>
      </c>
      <c r="N156" s="44" t="str">
        <f t="shared" si="4"/>
        <v/>
      </c>
      <c r="O156" s="44"/>
      <c r="P156" s="44"/>
      <c r="Q156" s="44"/>
      <c r="R156" s="44"/>
      <c r="S156" s="44"/>
      <c r="T156" s="44"/>
      <c r="U156" s="44"/>
      <c r="V156" s="44"/>
      <c r="W156" s="44"/>
      <c r="X156" s="44" t="s">
        <v>1067</v>
      </c>
      <c r="Y156" s="44" t="s">
        <v>1068</v>
      </c>
      <c r="Z156" s="44"/>
    </row>
    <row r="157" spans="1:26" ht="15.75" customHeight="1">
      <c r="A157" s="66" t="str">
        <f>IF(C157="","",VLOOKUP('Opći dio'!$C$3,'Opći dio'!$L$6:$U$137,10,FALSE))</f>
        <v/>
      </c>
      <c r="B157" s="66" t="str">
        <f>IF(C157="","",VLOOKUP('Opći dio'!$C$3,'Opći dio'!$L$6:$U$137,9,FALSE))</f>
        <v/>
      </c>
      <c r="C157" s="71"/>
      <c r="D157" s="66" t="str">
        <f t="shared" si="0"/>
        <v/>
      </c>
      <c r="E157" s="71"/>
      <c r="F157" s="66" t="str">
        <f t="shared" si="49"/>
        <v/>
      </c>
      <c r="G157" s="71"/>
      <c r="H157" s="66" t="str">
        <f t="shared" si="48"/>
        <v/>
      </c>
      <c r="I157" s="59"/>
      <c r="J157" s="59"/>
      <c r="K157" s="59"/>
      <c r="L157" s="44"/>
      <c r="M157" s="44" t="str">
        <f t="shared" si="3"/>
        <v/>
      </c>
      <c r="N157" s="44" t="str">
        <f t="shared" si="4"/>
        <v/>
      </c>
      <c r="O157" s="44"/>
      <c r="P157" s="44"/>
      <c r="Q157" s="44"/>
      <c r="R157" s="44"/>
      <c r="S157" s="44"/>
      <c r="T157" s="44"/>
      <c r="U157" s="44"/>
      <c r="V157" s="44"/>
      <c r="W157" s="44"/>
      <c r="X157" s="44" t="s">
        <v>1069</v>
      </c>
      <c r="Y157" s="44" t="s">
        <v>1070</v>
      </c>
      <c r="Z157" s="44"/>
    </row>
    <row r="158" spans="1:26" ht="15.75" customHeight="1">
      <c r="A158" s="66" t="str">
        <f>IF(C158="","",VLOOKUP('Opći dio'!$C$3,'Opći dio'!$L$6:$U$137,10,FALSE))</f>
        <v/>
      </c>
      <c r="B158" s="66" t="str">
        <f>IF(C158="","",VLOOKUP('Opći dio'!$C$3,'Opći dio'!$L$6:$U$137,9,FALSE))</f>
        <v/>
      </c>
      <c r="C158" s="71"/>
      <c r="D158" s="66" t="str">
        <f t="shared" si="0"/>
        <v/>
      </c>
      <c r="E158" s="71"/>
      <c r="F158" s="66" t="str">
        <f t="shared" si="49"/>
        <v/>
      </c>
      <c r="G158" s="71"/>
      <c r="H158" s="66" t="str">
        <f t="shared" si="48"/>
        <v/>
      </c>
      <c r="I158" s="59"/>
      <c r="J158" s="59"/>
      <c r="K158" s="59"/>
      <c r="L158" s="44"/>
      <c r="M158" s="44" t="str">
        <f t="shared" si="3"/>
        <v/>
      </c>
      <c r="N158" s="44" t="str">
        <f t="shared" si="4"/>
        <v/>
      </c>
      <c r="O158" s="44"/>
      <c r="P158" s="44"/>
      <c r="Q158" s="44"/>
      <c r="R158" s="44"/>
      <c r="S158" s="44"/>
      <c r="T158" s="44"/>
      <c r="U158" s="44"/>
      <c r="V158" s="44"/>
      <c r="W158" s="44"/>
      <c r="X158" s="44" t="s">
        <v>1071</v>
      </c>
      <c r="Y158" s="44" t="s">
        <v>990</v>
      </c>
      <c r="Z158" s="44"/>
    </row>
    <row r="159" spans="1:26" ht="15.75" customHeight="1">
      <c r="A159" s="66" t="str">
        <f>IF(C159="","",VLOOKUP('Opći dio'!$C$3,'Opći dio'!$L$6:$U$137,10,FALSE))</f>
        <v/>
      </c>
      <c r="B159" s="66" t="str">
        <f>IF(C159="","",VLOOKUP('Opći dio'!$C$3,'Opći dio'!$L$6:$U$137,9,FALSE))</f>
        <v/>
      </c>
      <c r="C159" s="71"/>
      <c r="D159" s="66" t="str">
        <f t="shared" si="0"/>
        <v/>
      </c>
      <c r="E159" s="71"/>
      <c r="F159" s="66" t="str">
        <f t="shared" si="49"/>
        <v/>
      </c>
      <c r="G159" s="71"/>
      <c r="H159" s="66" t="str">
        <f t="shared" si="48"/>
        <v/>
      </c>
      <c r="I159" s="59"/>
      <c r="J159" s="59"/>
      <c r="K159" s="59"/>
      <c r="L159" s="44"/>
      <c r="M159" s="44" t="str">
        <f t="shared" si="3"/>
        <v/>
      </c>
      <c r="N159" s="44" t="str">
        <f t="shared" si="4"/>
        <v/>
      </c>
      <c r="O159" s="44"/>
      <c r="P159" s="44"/>
      <c r="Q159" s="44"/>
      <c r="R159" s="44"/>
      <c r="S159" s="44"/>
      <c r="T159" s="44"/>
      <c r="U159" s="44"/>
      <c r="V159" s="44"/>
      <c r="W159" s="44"/>
      <c r="X159" s="44" t="s">
        <v>1072</v>
      </c>
      <c r="Y159" s="44" t="s">
        <v>1051</v>
      </c>
      <c r="Z159" s="44"/>
    </row>
    <row r="160" spans="1:26" ht="15.75" customHeight="1">
      <c r="A160" s="66" t="str">
        <f>IF(C160="","",VLOOKUP('Opći dio'!$C$3,'Opći dio'!$L$6:$U$137,10,FALSE))</f>
        <v/>
      </c>
      <c r="B160" s="66" t="str">
        <f>IF(C160="","",VLOOKUP('Opći dio'!$C$3,'Opći dio'!$L$6:$U$137,9,FALSE))</f>
        <v/>
      </c>
      <c r="C160" s="71"/>
      <c r="D160" s="66" t="str">
        <f t="shared" si="0"/>
        <v/>
      </c>
      <c r="E160" s="71"/>
      <c r="F160" s="66" t="str">
        <f t="shared" si="49"/>
        <v/>
      </c>
      <c r="G160" s="71"/>
      <c r="H160" s="66" t="str">
        <f t="shared" si="48"/>
        <v/>
      </c>
      <c r="I160" s="59"/>
      <c r="J160" s="59"/>
      <c r="K160" s="59"/>
      <c r="L160" s="44"/>
      <c r="M160" s="44" t="str">
        <f t="shared" si="3"/>
        <v/>
      </c>
      <c r="N160" s="44" t="str">
        <f t="shared" si="4"/>
        <v/>
      </c>
      <c r="O160" s="44"/>
      <c r="P160" s="44"/>
      <c r="Q160" s="44"/>
      <c r="R160" s="44"/>
      <c r="S160" s="44"/>
      <c r="T160" s="44"/>
      <c r="U160" s="44"/>
      <c r="V160" s="44"/>
      <c r="W160" s="44"/>
      <c r="X160" s="44" t="s">
        <v>1073</v>
      </c>
      <c r="Y160" s="44" t="s">
        <v>1074</v>
      </c>
      <c r="Z160" s="44"/>
    </row>
    <row r="161" spans="1:26" ht="15.75" customHeight="1">
      <c r="A161" s="66" t="str">
        <f>IF(C161="","",VLOOKUP('Opći dio'!$C$3,'Opći dio'!$L$6:$U$137,10,FALSE))</f>
        <v/>
      </c>
      <c r="B161" s="66" t="str">
        <f>IF(C161="","",VLOOKUP('Opći dio'!$C$3,'Opći dio'!$L$6:$U$137,9,FALSE))</f>
        <v/>
      </c>
      <c r="C161" s="71"/>
      <c r="D161" s="66" t="str">
        <f t="shared" si="0"/>
        <v/>
      </c>
      <c r="E161" s="71"/>
      <c r="F161" s="66" t="str">
        <f t="shared" si="49"/>
        <v/>
      </c>
      <c r="G161" s="71"/>
      <c r="H161" s="66" t="str">
        <f t="shared" si="48"/>
        <v/>
      </c>
      <c r="I161" s="59"/>
      <c r="J161" s="59"/>
      <c r="K161" s="59"/>
      <c r="L161" s="44"/>
      <c r="M161" s="44" t="str">
        <f t="shared" si="3"/>
        <v/>
      </c>
      <c r="N161" s="44" t="str">
        <f t="shared" si="4"/>
        <v/>
      </c>
      <c r="O161" s="44"/>
      <c r="P161" s="44"/>
      <c r="Q161" s="44"/>
      <c r="R161" s="44"/>
      <c r="S161" s="44"/>
      <c r="T161" s="44"/>
      <c r="U161" s="44"/>
      <c r="V161" s="44"/>
      <c r="W161" s="44"/>
      <c r="X161" s="44" t="s">
        <v>1075</v>
      </c>
      <c r="Y161" s="44" t="s">
        <v>1076</v>
      </c>
      <c r="Z161" s="44"/>
    </row>
    <row r="162" spans="1:26" ht="15.75" customHeight="1">
      <c r="A162" s="66" t="str">
        <f>IF(C162="","",VLOOKUP('Opći dio'!$C$3,'Opći dio'!$L$6:$U$137,10,FALSE))</f>
        <v/>
      </c>
      <c r="B162" s="66" t="str">
        <f>IF(C162="","",VLOOKUP('Opći dio'!$C$3,'Opći dio'!$L$6:$U$137,9,FALSE))</f>
        <v/>
      </c>
      <c r="C162" s="71"/>
      <c r="D162" s="66" t="str">
        <f t="shared" si="0"/>
        <v/>
      </c>
      <c r="E162" s="71"/>
      <c r="F162" s="66" t="str">
        <f t="shared" si="49"/>
        <v/>
      </c>
      <c r="G162" s="71"/>
      <c r="H162" s="66" t="str">
        <f t="shared" si="48"/>
        <v/>
      </c>
      <c r="I162" s="59"/>
      <c r="J162" s="59"/>
      <c r="K162" s="59"/>
      <c r="L162" s="44"/>
      <c r="M162" s="44" t="str">
        <f t="shared" si="3"/>
        <v/>
      </c>
      <c r="N162" s="44" t="str">
        <f t="shared" si="4"/>
        <v/>
      </c>
      <c r="O162" s="44"/>
      <c r="P162" s="44"/>
      <c r="Q162" s="44"/>
      <c r="R162" s="44"/>
      <c r="S162" s="44"/>
      <c r="T162" s="44"/>
      <c r="U162" s="44"/>
      <c r="V162" s="44"/>
      <c r="W162" s="44"/>
      <c r="X162" s="44" t="s">
        <v>1077</v>
      </c>
      <c r="Y162" s="44" t="s">
        <v>1078</v>
      </c>
      <c r="Z162" s="44"/>
    </row>
    <row r="163" spans="1:26" ht="15.75" customHeight="1">
      <c r="A163" s="66" t="str">
        <f>IF(C163="","",VLOOKUP('Opći dio'!$C$3,'Opći dio'!$L$6:$U$137,10,FALSE))</f>
        <v/>
      </c>
      <c r="B163" s="66" t="str">
        <f>IF(C163="","",VLOOKUP('Opći dio'!$C$3,'Opći dio'!$L$6:$U$137,9,FALSE))</f>
        <v/>
      </c>
      <c r="C163" s="71"/>
      <c r="D163" s="66" t="str">
        <f t="shared" si="0"/>
        <v/>
      </c>
      <c r="E163" s="71"/>
      <c r="F163" s="66" t="str">
        <f t="shared" si="49"/>
        <v/>
      </c>
      <c r="G163" s="71"/>
      <c r="H163" s="66" t="str">
        <f t="shared" si="48"/>
        <v/>
      </c>
      <c r="I163" s="59"/>
      <c r="J163" s="59"/>
      <c r="K163" s="59"/>
      <c r="L163" s="44"/>
      <c r="M163" s="44" t="str">
        <f t="shared" si="3"/>
        <v/>
      </c>
      <c r="N163" s="44" t="str">
        <f t="shared" si="4"/>
        <v/>
      </c>
      <c r="O163" s="44"/>
      <c r="P163" s="44"/>
      <c r="Q163" s="44"/>
      <c r="R163" s="44"/>
      <c r="S163" s="44"/>
      <c r="T163" s="44"/>
      <c r="U163" s="44"/>
      <c r="V163" s="44"/>
      <c r="W163" s="44"/>
      <c r="X163" s="44" t="s">
        <v>1079</v>
      </c>
      <c r="Y163" s="44" t="s">
        <v>1080</v>
      </c>
      <c r="Z163" s="44"/>
    </row>
    <row r="164" spans="1:26" ht="15.75" customHeight="1">
      <c r="A164" s="66" t="str">
        <f>IF(C164="","",VLOOKUP('Opći dio'!$C$3,'Opći dio'!$L$6:$U$137,10,FALSE))</f>
        <v/>
      </c>
      <c r="B164" s="66" t="str">
        <f>IF(C164="","",VLOOKUP('Opći dio'!$C$3,'Opći dio'!$L$6:$U$137,9,FALSE))</f>
        <v/>
      </c>
      <c r="C164" s="71"/>
      <c r="D164" s="66" t="str">
        <f t="shared" si="0"/>
        <v/>
      </c>
      <c r="E164" s="71"/>
      <c r="F164" s="66" t="str">
        <f t="shared" si="49"/>
        <v/>
      </c>
      <c r="G164" s="71"/>
      <c r="H164" s="66" t="str">
        <f t="shared" si="48"/>
        <v/>
      </c>
      <c r="I164" s="59"/>
      <c r="J164" s="59"/>
      <c r="K164" s="59"/>
      <c r="L164" s="44"/>
      <c r="M164" s="44" t="str">
        <f t="shared" si="3"/>
        <v/>
      </c>
      <c r="N164" s="44" t="str">
        <f t="shared" si="4"/>
        <v/>
      </c>
      <c r="O164" s="44"/>
      <c r="P164" s="44"/>
      <c r="Q164" s="44"/>
      <c r="R164" s="44"/>
      <c r="S164" s="44"/>
      <c r="T164" s="44"/>
      <c r="U164" s="44"/>
      <c r="V164" s="44"/>
      <c r="W164" s="44"/>
      <c r="X164" s="44" t="s">
        <v>1081</v>
      </c>
      <c r="Y164" s="44" t="s">
        <v>1082</v>
      </c>
      <c r="Z164" s="44"/>
    </row>
    <row r="165" spans="1:26" ht="15.75" customHeight="1">
      <c r="A165" s="66" t="str">
        <f>IF(C165="","",VLOOKUP('Opći dio'!$C$3,'Opći dio'!$L$6:$U$137,10,FALSE))</f>
        <v/>
      </c>
      <c r="B165" s="66" t="str">
        <f>IF(C165="","",VLOOKUP('Opći dio'!$C$3,'Opći dio'!$L$6:$U$137,9,FALSE))</f>
        <v/>
      </c>
      <c r="C165" s="71"/>
      <c r="D165" s="66" t="str">
        <f t="shared" si="0"/>
        <v/>
      </c>
      <c r="E165" s="71"/>
      <c r="F165" s="66" t="str">
        <f t="shared" si="49"/>
        <v/>
      </c>
      <c r="G165" s="71"/>
      <c r="H165" s="66" t="str">
        <f t="shared" si="48"/>
        <v/>
      </c>
      <c r="I165" s="59"/>
      <c r="J165" s="59"/>
      <c r="K165" s="59"/>
      <c r="L165" s="44"/>
      <c r="M165" s="44" t="str">
        <f t="shared" si="3"/>
        <v/>
      </c>
      <c r="N165" s="44" t="str">
        <f t="shared" si="4"/>
        <v/>
      </c>
      <c r="O165" s="44"/>
      <c r="P165" s="44"/>
      <c r="Q165" s="44"/>
      <c r="R165" s="44"/>
      <c r="S165" s="44"/>
      <c r="T165" s="44"/>
      <c r="U165" s="44"/>
      <c r="V165" s="44"/>
      <c r="W165" s="44"/>
      <c r="X165" s="44" t="s">
        <v>1083</v>
      </c>
      <c r="Y165" s="44" t="s">
        <v>1084</v>
      </c>
      <c r="Z165" s="44"/>
    </row>
    <row r="166" spans="1:26" ht="15.75" customHeight="1">
      <c r="A166" s="66" t="str">
        <f>IF(C166="","",VLOOKUP('Opći dio'!$C$3,'Opći dio'!$L$6:$U$137,10,FALSE))</f>
        <v/>
      </c>
      <c r="B166" s="66" t="str">
        <f>IF(C166="","",VLOOKUP('Opći dio'!$C$3,'Opći dio'!$L$6:$U$137,9,FALSE))</f>
        <v/>
      </c>
      <c r="C166" s="71"/>
      <c r="D166" s="66" t="str">
        <f t="shared" si="0"/>
        <v/>
      </c>
      <c r="E166" s="71"/>
      <c r="F166" s="66" t="str">
        <f t="shared" si="49"/>
        <v/>
      </c>
      <c r="G166" s="71"/>
      <c r="H166" s="66" t="str">
        <f t="shared" si="48"/>
        <v/>
      </c>
      <c r="I166" s="59"/>
      <c r="J166" s="59"/>
      <c r="K166" s="59"/>
      <c r="L166" s="44"/>
      <c r="M166" s="44" t="str">
        <f t="shared" si="3"/>
        <v/>
      </c>
      <c r="N166" s="44" t="str">
        <f t="shared" si="4"/>
        <v/>
      </c>
      <c r="O166" s="44"/>
      <c r="P166" s="44"/>
      <c r="Q166" s="44"/>
      <c r="R166" s="44"/>
      <c r="S166" s="44"/>
      <c r="T166" s="44"/>
      <c r="U166" s="44"/>
      <c r="V166" s="44"/>
      <c r="W166" s="44"/>
      <c r="X166" s="44" t="s">
        <v>1085</v>
      </c>
      <c r="Y166" s="44" t="s">
        <v>1086</v>
      </c>
      <c r="Z166" s="44"/>
    </row>
    <row r="167" spans="1:26" ht="15.75" customHeight="1">
      <c r="A167" s="66" t="str">
        <f>IF(C167="","",VLOOKUP('Opći dio'!$C$3,'Opći dio'!$L$6:$U$137,10,FALSE))</f>
        <v/>
      </c>
      <c r="B167" s="66" t="str">
        <f>IF(C167="","",VLOOKUP('Opći dio'!$C$3,'Opći dio'!$L$6:$U$137,9,FALSE))</f>
        <v/>
      </c>
      <c r="C167" s="71"/>
      <c r="D167" s="66" t="str">
        <f t="shared" si="0"/>
        <v/>
      </c>
      <c r="E167" s="71"/>
      <c r="F167" s="66" t="str">
        <f t="shared" si="49"/>
        <v/>
      </c>
      <c r="G167" s="71"/>
      <c r="H167" s="66" t="str">
        <f t="shared" si="48"/>
        <v/>
      </c>
      <c r="I167" s="59"/>
      <c r="J167" s="59"/>
      <c r="K167" s="59"/>
      <c r="L167" s="44"/>
      <c r="M167" s="44" t="str">
        <f t="shared" si="3"/>
        <v/>
      </c>
      <c r="N167" s="44" t="str">
        <f t="shared" si="4"/>
        <v/>
      </c>
      <c r="O167" s="44"/>
      <c r="P167" s="44"/>
      <c r="Q167" s="44"/>
      <c r="R167" s="44"/>
      <c r="S167" s="44"/>
      <c r="T167" s="44"/>
      <c r="U167" s="44"/>
      <c r="V167" s="44"/>
      <c r="W167" s="44"/>
      <c r="X167" s="44" t="s">
        <v>1087</v>
      </c>
      <c r="Y167" s="44" t="s">
        <v>1088</v>
      </c>
      <c r="Z167" s="44"/>
    </row>
    <row r="168" spans="1:26" ht="15.75" customHeight="1">
      <c r="A168" s="66" t="str">
        <f>IF(C168="","",VLOOKUP('Opći dio'!$C$3,'Opći dio'!$L$6:$U$137,10,FALSE))</f>
        <v/>
      </c>
      <c r="B168" s="66" t="str">
        <f>IF(C168="","",VLOOKUP('Opći dio'!$C$3,'Opći dio'!$L$6:$U$137,9,FALSE))</f>
        <v/>
      </c>
      <c r="C168" s="71"/>
      <c r="D168" s="66" t="str">
        <f t="shared" si="0"/>
        <v/>
      </c>
      <c r="E168" s="71"/>
      <c r="F168" s="66" t="str">
        <f t="shared" si="49"/>
        <v/>
      </c>
      <c r="G168" s="71"/>
      <c r="H168" s="66" t="str">
        <f t="shared" si="48"/>
        <v/>
      </c>
      <c r="I168" s="59"/>
      <c r="J168" s="59"/>
      <c r="K168" s="59"/>
      <c r="L168" s="44"/>
      <c r="M168" s="44" t="str">
        <f t="shared" si="3"/>
        <v/>
      </c>
      <c r="N168" s="44" t="str">
        <f t="shared" si="4"/>
        <v/>
      </c>
      <c r="O168" s="44"/>
      <c r="P168" s="44"/>
      <c r="Q168" s="44"/>
      <c r="R168" s="44"/>
      <c r="S168" s="44"/>
      <c r="T168" s="44"/>
      <c r="U168" s="44"/>
      <c r="V168" s="44"/>
      <c r="W168" s="44"/>
      <c r="X168" s="44" t="s">
        <v>1089</v>
      </c>
      <c r="Y168" s="44" t="s">
        <v>1090</v>
      </c>
      <c r="Z168" s="44"/>
    </row>
    <row r="169" spans="1:26" ht="15.75" customHeight="1">
      <c r="A169" s="66" t="str">
        <f>IF(C169="","",VLOOKUP('Opći dio'!$C$3,'Opći dio'!$L$6:$U$137,10,FALSE))</f>
        <v/>
      </c>
      <c r="B169" s="66" t="str">
        <f>IF(C169="","",VLOOKUP('Opći dio'!$C$3,'Opći dio'!$L$6:$U$137,9,FALSE))</f>
        <v/>
      </c>
      <c r="C169" s="71"/>
      <c r="D169" s="66" t="str">
        <f t="shared" si="0"/>
        <v/>
      </c>
      <c r="E169" s="71"/>
      <c r="F169" s="66" t="str">
        <f t="shared" si="49"/>
        <v/>
      </c>
      <c r="G169" s="71"/>
      <c r="H169" s="66" t="str">
        <f t="shared" si="48"/>
        <v/>
      </c>
      <c r="I169" s="59"/>
      <c r="J169" s="59"/>
      <c r="K169" s="59"/>
      <c r="L169" s="44"/>
      <c r="M169" s="44" t="str">
        <f t="shared" si="3"/>
        <v/>
      </c>
      <c r="N169" s="44" t="str">
        <f t="shared" si="4"/>
        <v/>
      </c>
      <c r="O169" s="44"/>
      <c r="P169" s="44"/>
      <c r="Q169" s="44"/>
      <c r="R169" s="44"/>
      <c r="S169" s="44"/>
      <c r="T169" s="44"/>
      <c r="U169" s="44"/>
      <c r="V169" s="44"/>
      <c r="W169" s="44"/>
      <c r="X169" s="44" t="s">
        <v>1091</v>
      </c>
      <c r="Y169" s="44" t="s">
        <v>1092</v>
      </c>
      <c r="Z169" s="44"/>
    </row>
    <row r="170" spans="1:26" ht="15.75" customHeight="1">
      <c r="A170" s="66" t="str">
        <f>IF(C170="","",VLOOKUP('Opći dio'!$C$3,'Opći dio'!$L$6:$U$137,10,FALSE))</f>
        <v/>
      </c>
      <c r="B170" s="66" t="str">
        <f>IF(C170="","",VLOOKUP('Opći dio'!$C$3,'Opći dio'!$L$6:$U$137,9,FALSE))</f>
        <v/>
      </c>
      <c r="C170" s="71"/>
      <c r="D170" s="66" t="str">
        <f t="shared" si="0"/>
        <v/>
      </c>
      <c r="E170" s="71"/>
      <c r="F170" s="66" t="str">
        <f t="shared" si="49"/>
        <v/>
      </c>
      <c r="G170" s="71"/>
      <c r="H170" s="66" t="str">
        <f t="shared" si="48"/>
        <v/>
      </c>
      <c r="I170" s="59"/>
      <c r="J170" s="59"/>
      <c r="K170" s="59"/>
      <c r="L170" s="44"/>
      <c r="M170" s="44" t="str">
        <f t="shared" si="3"/>
        <v/>
      </c>
      <c r="N170" s="44" t="str">
        <f t="shared" si="4"/>
        <v/>
      </c>
      <c r="O170" s="44"/>
      <c r="P170" s="44"/>
      <c r="Q170" s="44"/>
      <c r="R170" s="44"/>
      <c r="S170" s="44"/>
      <c r="T170" s="44"/>
      <c r="U170" s="44"/>
      <c r="V170" s="44"/>
      <c r="W170" s="44"/>
      <c r="X170" s="44" t="s">
        <v>1093</v>
      </c>
      <c r="Y170" s="44" t="s">
        <v>1094</v>
      </c>
      <c r="Z170" s="44"/>
    </row>
    <row r="171" spans="1:26" ht="15.75" customHeight="1">
      <c r="A171" s="66" t="str">
        <f>IF(C171="","",VLOOKUP('Opći dio'!$C$3,'Opći dio'!$L$6:$U$137,10,FALSE))</f>
        <v/>
      </c>
      <c r="B171" s="66" t="str">
        <f>IF(C171="","",VLOOKUP('Opći dio'!$C$3,'Opći dio'!$L$6:$U$137,9,FALSE))</f>
        <v/>
      </c>
      <c r="C171" s="71"/>
      <c r="D171" s="66" t="str">
        <f t="shared" si="0"/>
        <v/>
      </c>
      <c r="E171" s="71"/>
      <c r="F171" s="66" t="str">
        <f t="shared" si="49"/>
        <v/>
      </c>
      <c r="G171" s="71"/>
      <c r="H171" s="66" t="str">
        <f t="shared" si="48"/>
        <v/>
      </c>
      <c r="I171" s="59"/>
      <c r="J171" s="59"/>
      <c r="K171" s="59"/>
      <c r="L171" s="44"/>
      <c r="M171" s="44" t="str">
        <f t="shared" si="3"/>
        <v/>
      </c>
      <c r="N171" s="44" t="str">
        <f t="shared" si="4"/>
        <v/>
      </c>
      <c r="O171" s="44"/>
      <c r="P171" s="44"/>
      <c r="Q171" s="44"/>
      <c r="R171" s="44"/>
      <c r="S171" s="44"/>
      <c r="T171" s="44"/>
      <c r="U171" s="44"/>
      <c r="V171" s="44"/>
      <c r="W171" s="44"/>
      <c r="X171" s="44" t="s">
        <v>1095</v>
      </c>
      <c r="Y171" s="44" t="s">
        <v>1096</v>
      </c>
      <c r="Z171" s="44"/>
    </row>
    <row r="172" spans="1:26" ht="15.75" customHeight="1">
      <c r="A172" s="66" t="str">
        <f>IF(C172="","",VLOOKUP('Opći dio'!$C$3,'Opći dio'!$L$6:$U$137,10,FALSE))</f>
        <v/>
      </c>
      <c r="B172" s="66" t="str">
        <f>IF(C172="","",VLOOKUP('Opći dio'!$C$3,'Opći dio'!$L$6:$U$137,9,FALSE))</f>
        <v/>
      </c>
      <c r="C172" s="71"/>
      <c r="D172" s="66" t="str">
        <f t="shared" si="0"/>
        <v/>
      </c>
      <c r="E172" s="71"/>
      <c r="F172" s="66" t="str">
        <f t="shared" si="49"/>
        <v/>
      </c>
      <c r="G172" s="71"/>
      <c r="H172" s="66" t="str">
        <f t="shared" si="48"/>
        <v/>
      </c>
      <c r="I172" s="59"/>
      <c r="J172" s="59"/>
      <c r="K172" s="59"/>
      <c r="L172" s="44"/>
      <c r="M172" s="44" t="str">
        <f t="shared" si="3"/>
        <v/>
      </c>
      <c r="N172" s="44" t="str">
        <f t="shared" si="4"/>
        <v/>
      </c>
      <c r="O172" s="44"/>
      <c r="P172" s="44"/>
      <c r="Q172" s="44"/>
      <c r="R172" s="44"/>
      <c r="S172" s="44"/>
      <c r="T172" s="44"/>
      <c r="U172" s="44"/>
      <c r="V172" s="44"/>
      <c r="W172" s="44"/>
      <c r="X172" s="44" t="s">
        <v>1097</v>
      </c>
      <c r="Y172" s="44" t="s">
        <v>1098</v>
      </c>
      <c r="Z172" s="44"/>
    </row>
    <row r="173" spans="1:26" ht="15.75" customHeight="1">
      <c r="A173" s="66" t="str">
        <f>IF(C173="","",VLOOKUP('Opći dio'!$C$3,'Opći dio'!$L$6:$U$137,10,FALSE))</f>
        <v/>
      </c>
      <c r="B173" s="66" t="str">
        <f>IF(C173="","",VLOOKUP('Opći dio'!$C$3,'Opći dio'!$L$6:$U$137,9,FALSE))</f>
        <v/>
      </c>
      <c r="C173" s="71"/>
      <c r="D173" s="66" t="str">
        <f t="shared" si="0"/>
        <v/>
      </c>
      <c r="E173" s="71"/>
      <c r="F173" s="66" t="str">
        <f t="shared" si="49"/>
        <v/>
      </c>
      <c r="G173" s="71"/>
      <c r="H173" s="66" t="str">
        <f t="shared" si="48"/>
        <v/>
      </c>
      <c r="I173" s="59"/>
      <c r="J173" s="59"/>
      <c r="K173" s="59"/>
      <c r="L173" s="44"/>
      <c r="M173" s="44" t="str">
        <f t="shared" si="3"/>
        <v/>
      </c>
      <c r="N173" s="44" t="str">
        <f t="shared" si="4"/>
        <v/>
      </c>
      <c r="O173" s="44"/>
      <c r="P173" s="44"/>
      <c r="Q173" s="44"/>
      <c r="R173" s="44"/>
      <c r="S173" s="44"/>
      <c r="T173" s="44"/>
      <c r="U173" s="44"/>
      <c r="V173" s="44"/>
      <c r="W173" s="44"/>
      <c r="X173" s="44" t="s">
        <v>1099</v>
      </c>
      <c r="Y173" s="44" t="s">
        <v>1100</v>
      </c>
      <c r="Z173" s="44"/>
    </row>
    <row r="174" spans="1:26" ht="15.75" customHeight="1">
      <c r="A174" s="66" t="str">
        <f>IF(C174="","",VLOOKUP('Opći dio'!$C$3,'Opći dio'!$L$6:$U$137,10,FALSE))</f>
        <v/>
      </c>
      <c r="B174" s="66" t="str">
        <f>IF(C174="","",VLOOKUP('Opći dio'!$C$3,'Opći dio'!$L$6:$U$137,9,FALSE))</f>
        <v/>
      </c>
      <c r="C174" s="71"/>
      <c r="D174" s="66" t="str">
        <f t="shared" si="0"/>
        <v/>
      </c>
      <c r="E174" s="71"/>
      <c r="F174" s="66" t="str">
        <f t="shared" si="49"/>
        <v/>
      </c>
      <c r="G174" s="71"/>
      <c r="H174" s="66" t="str">
        <f t="shared" si="48"/>
        <v/>
      </c>
      <c r="I174" s="59"/>
      <c r="J174" s="59"/>
      <c r="K174" s="59"/>
      <c r="L174" s="44"/>
      <c r="M174" s="44" t="str">
        <f t="shared" si="3"/>
        <v/>
      </c>
      <c r="N174" s="44" t="str">
        <f t="shared" si="4"/>
        <v/>
      </c>
      <c r="O174" s="44"/>
      <c r="P174" s="44"/>
      <c r="Q174" s="44"/>
      <c r="R174" s="44"/>
      <c r="S174" s="44"/>
      <c r="T174" s="44"/>
      <c r="U174" s="44"/>
      <c r="V174" s="44"/>
      <c r="W174" s="44"/>
      <c r="X174" s="44" t="s">
        <v>1101</v>
      </c>
      <c r="Y174" s="44" t="s">
        <v>1102</v>
      </c>
      <c r="Z174" s="44"/>
    </row>
    <row r="175" spans="1:26" ht="15.75" customHeight="1">
      <c r="A175" s="66" t="str">
        <f>IF(C175="","",VLOOKUP('Opći dio'!$C$3,'Opći dio'!$L$6:$U$137,10,FALSE))</f>
        <v/>
      </c>
      <c r="B175" s="66" t="str">
        <f>IF(C175="","",VLOOKUP('Opći dio'!$C$3,'Opći dio'!$L$6:$U$137,9,FALSE))</f>
        <v/>
      </c>
      <c r="C175" s="71"/>
      <c r="D175" s="66" t="str">
        <f t="shared" si="0"/>
        <v/>
      </c>
      <c r="E175" s="71"/>
      <c r="F175" s="66" t="str">
        <f t="shared" si="49"/>
        <v/>
      </c>
      <c r="G175" s="71"/>
      <c r="H175" s="66" t="str">
        <f t="shared" si="48"/>
        <v/>
      </c>
      <c r="I175" s="59"/>
      <c r="J175" s="59"/>
      <c r="K175" s="59"/>
      <c r="L175" s="44"/>
      <c r="M175" s="44" t="str">
        <f t="shared" si="3"/>
        <v/>
      </c>
      <c r="N175" s="44" t="str">
        <f t="shared" si="4"/>
        <v/>
      </c>
      <c r="O175" s="44"/>
      <c r="P175" s="44"/>
      <c r="Q175" s="44"/>
      <c r="R175" s="44"/>
      <c r="S175" s="44"/>
      <c r="T175" s="44"/>
      <c r="U175" s="44"/>
      <c r="V175" s="44"/>
      <c r="W175" s="44"/>
      <c r="X175" s="44" t="s">
        <v>1103</v>
      </c>
      <c r="Y175" s="44" t="s">
        <v>1104</v>
      </c>
      <c r="Z175" s="44"/>
    </row>
    <row r="176" spans="1:26" ht="15.75" customHeight="1">
      <c r="A176" s="66" t="str">
        <f>IF(C176="","",VLOOKUP('Opći dio'!$C$3,'Opći dio'!$L$6:$U$137,10,FALSE))</f>
        <v/>
      </c>
      <c r="B176" s="66" t="str">
        <f>IF(C176="","",VLOOKUP('Opći dio'!$C$3,'Opći dio'!$L$6:$U$137,9,FALSE))</f>
        <v/>
      </c>
      <c r="C176" s="71"/>
      <c r="D176" s="66" t="str">
        <f t="shared" si="0"/>
        <v/>
      </c>
      <c r="E176" s="71"/>
      <c r="F176" s="66" t="str">
        <f t="shared" si="49"/>
        <v/>
      </c>
      <c r="G176" s="71"/>
      <c r="H176" s="66" t="str">
        <f t="shared" si="48"/>
        <v/>
      </c>
      <c r="I176" s="59"/>
      <c r="J176" s="59"/>
      <c r="K176" s="59"/>
      <c r="L176" s="44"/>
      <c r="M176" s="44" t="str">
        <f t="shared" si="3"/>
        <v/>
      </c>
      <c r="N176" s="44" t="str">
        <f t="shared" si="4"/>
        <v/>
      </c>
      <c r="O176" s="44"/>
      <c r="P176" s="44"/>
      <c r="Q176" s="44"/>
      <c r="R176" s="44"/>
      <c r="S176" s="44"/>
      <c r="T176" s="44"/>
      <c r="U176" s="44"/>
      <c r="V176" s="44"/>
      <c r="W176" s="44"/>
      <c r="X176" s="44" t="s">
        <v>1105</v>
      </c>
      <c r="Y176" s="44" t="s">
        <v>1106</v>
      </c>
      <c r="Z176" s="44"/>
    </row>
    <row r="177" spans="1:26" ht="15.75" customHeight="1">
      <c r="A177" s="66" t="str">
        <f>IF(C177="","",VLOOKUP('Opći dio'!$C$3,'Opći dio'!$L$6:$U$137,10,FALSE))</f>
        <v/>
      </c>
      <c r="B177" s="66" t="str">
        <f>IF(C177="","",VLOOKUP('Opći dio'!$C$3,'Opći dio'!$L$6:$U$137,9,FALSE))</f>
        <v/>
      </c>
      <c r="C177" s="71"/>
      <c r="D177" s="66" t="str">
        <f t="shared" si="0"/>
        <v/>
      </c>
      <c r="E177" s="71"/>
      <c r="F177" s="66" t="str">
        <f t="shared" si="49"/>
        <v/>
      </c>
      <c r="G177" s="71"/>
      <c r="H177" s="66" t="str">
        <f t="shared" si="48"/>
        <v/>
      </c>
      <c r="I177" s="59"/>
      <c r="J177" s="59"/>
      <c r="K177" s="59"/>
      <c r="L177" s="44"/>
      <c r="M177" s="44" t="str">
        <f t="shared" si="3"/>
        <v/>
      </c>
      <c r="N177" s="44" t="str">
        <f t="shared" si="4"/>
        <v/>
      </c>
      <c r="O177" s="44"/>
      <c r="P177" s="44"/>
      <c r="Q177" s="44"/>
      <c r="R177" s="44"/>
      <c r="S177" s="44"/>
      <c r="T177" s="44"/>
      <c r="U177" s="44"/>
      <c r="V177" s="44"/>
      <c r="W177" s="44"/>
      <c r="X177" s="44" t="s">
        <v>1107</v>
      </c>
      <c r="Y177" s="44" t="s">
        <v>1108</v>
      </c>
      <c r="Z177" s="44"/>
    </row>
    <row r="178" spans="1:26" ht="15.75" customHeight="1">
      <c r="A178" s="66" t="str">
        <f>IF(C178="","",VLOOKUP('Opći dio'!$C$3,'Opći dio'!$L$6:$U$137,10,FALSE))</f>
        <v/>
      </c>
      <c r="B178" s="66" t="str">
        <f>IF(C178="","",VLOOKUP('Opći dio'!$C$3,'Opći dio'!$L$6:$U$137,9,FALSE))</f>
        <v/>
      </c>
      <c r="C178" s="71"/>
      <c r="D178" s="66" t="str">
        <f t="shared" si="0"/>
        <v/>
      </c>
      <c r="E178" s="71"/>
      <c r="F178" s="66" t="str">
        <f t="shared" si="49"/>
        <v/>
      </c>
      <c r="G178" s="71"/>
      <c r="H178" s="66" t="str">
        <f t="shared" si="48"/>
        <v/>
      </c>
      <c r="I178" s="59"/>
      <c r="J178" s="59"/>
      <c r="K178" s="59"/>
      <c r="L178" s="44"/>
      <c r="M178" s="44" t="str">
        <f t="shared" si="3"/>
        <v/>
      </c>
      <c r="N178" s="44" t="str">
        <f t="shared" si="4"/>
        <v/>
      </c>
      <c r="O178" s="44"/>
      <c r="P178" s="44"/>
      <c r="Q178" s="44"/>
      <c r="R178" s="44"/>
      <c r="S178" s="44"/>
      <c r="T178" s="44"/>
      <c r="U178" s="44"/>
      <c r="V178" s="44"/>
      <c r="W178" s="44"/>
      <c r="X178" s="44" t="s">
        <v>1109</v>
      </c>
      <c r="Y178" s="44" t="s">
        <v>1110</v>
      </c>
      <c r="Z178" s="44"/>
    </row>
    <row r="179" spans="1:26" ht="15.75" customHeight="1">
      <c r="A179" s="66" t="str">
        <f>IF(C179="","",VLOOKUP('Opći dio'!$C$3,'Opći dio'!$L$6:$U$137,10,FALSE))</f>
        <v/>
      </c>
      <c r="B179" s="66" t="str">
        <f>IF(C179="","",VLOOKUP('Opći dio'!$C$3,'Opći dio'!$L$6:$U$137,9,FALSE))</f>
        <v/>
      </c>
      <c r="C179" s="71"/>
      <c r="D179" s="66" t="str">
        <f t="shared" si="0"/>
        <v/>
      </c>
      <c r="E179" s="71"/>
      <c r="F179" s="66" t="str">
        <f t="shared" si="49"/>
        <v/>
      </c>
      <c r="G179" s="71"/>
      <c r="H179" s="66" t="str">
        <f t="shared" si="48"/>
        <v/>
      </c>
      <c r="I179" s="59"/>
      <c r="J179" s="59"/>
      <c r="K179" s="59"/>
      <c r="L179" s="44"/>
      <c r="M179" s="44" t="str">
        <f t="shared" si="3"/>
        <v/>
      </c>
      <c r="N179" s="44" t="str">
        <f t="shared" si="4"/>
        <v/>
      </c>
      <c r="O179" s="44"/>
      <c r="P179" s="44"/>
      <c r="Q179" s="44"/>
      <c r="R179" s="44"/>
      <c r="S179" s="44"/>
      <c r="T179" s="44"/>
      <c r="U179" s="44"/>
      <c r="V179" s="44"/>
      <c r="W179" s="44"/>
      <c r="X179" s="44" t="s">
        <v>1111</v>
      </c>
      <c r="Y179" s="44" t="s">
        <v>1112</v>
      </c>
      <c r="Z179" s="44"/>
    </row>
    <row r="180" spans="1:26" ht="15.75" customHeight="1">
      <c r="A180" s="66" t="str">
        <f>IF(C180="","",VLOOKUP('Opći dio'!$C$3,'Opći dio'!$L$6:$U$137,10,FALSE))</f>
        <v/>
      </c>
      <c r="B180" s="66" t="str">
        <f>IF(C180="","",VLOOKUP('Opći dio'!$C$3,'Opći dio'!$L$6:$U$137,9,FALSE))</f>
        <v/>
      </c>
      <c r="C180" s="71"/>
      <c r="D180" s="66" t="str">
        <f t="shared" si="0"/>
        <v/>
      </c>
      <c r="E180" s="71"/>
      <c r="F180" s="66" t="str">
        <f t="shared" si="49"/>
        <v/>
      </c>
      <c r="G180" s="71"/>
      <c r="H180" s="66" t="str">
        <f t="shared" si="48"/>
        <v/>
      </c>
      <c r="I180" s="59"/>
      <c r="J180" s="59"/>
      <c r="K180" s="59"/>
      <c r="L180" s="44"/>
      <c r="M180" s="44" t="str">
        <f t="shared" si="3"/>
        <v/>
      </c>
      <c r="N180" s="44" t="str">
        <f t="shared" si="4"/>
        <v/>
      </c>
      <c r="O180" s="44"/>
      <c r="P180" s="44"/>
      <c r="Q180" s="44"/>
      <c r="R180" s="44"/>
      <c r="S180" s="44"/>
      <c r="T180" s="44"/>
      <c r="U180" s="44"/>
      <c r="V180" s="44"/>
      <c r="W180" s="44"/>
      <c r="X180" s="44" t="s">
        <v>1113</v>
      </c>
      <c r="Y180" s="44" t="s">
        <v>1114</v>
      </c>
      <c r="Z180" s="44"/>
    </row>
    <row r="181" spans="1:26" ht="15.75" customHeight="1">
      <c r="A181" s="66" t="str">
        <f>IF(C181="","",VLOOKUP('Opći dio'!$C$3,'Opći dio'!$L$6:$U$137,10,FALSE))</f>
        <v/>
      </c>
      <c r="B181" s="66" t="str">
        <f>IF(C181="","",VLOOKUP('Opći dio'!$C$3,'Opći dio'!$L$6:$U$137,9,FALSE))</f>
        <v/>
      </c>
      <c r="C181" s="71"/>
      <c r="D181" s="66" t="str">
        <f t="shared" si="0"/>
        <v/>
      </c>
      <c r="E181" s="71"/>
      <c r="F181" s="66" t="str">
        <f t="shared" si="49"/>
        <v/>
      </c>
      <c r="G181" s="71"/>
      <c r="H181" s="66" t="str">
        <f t="shared" si="48"/>
        <v/>
      </c>
      <c r="I181" s="59"/>
      <c r="J181" s="59"/>
      <c r="K181" s="59"/>
      <c r="L181" s="44"/>
      <c r="M181" s="44" t="str">
        <f t="shared" si="3"/>
        <v/>
      </c>
      <c r="N181" s="44" t="str">
        <f t="shared" si="4"/>
        <v/>
      </c>
      <c r="O181" s="44"/>
      <c r="P181" s="44"/>
      <c r="Q181" s="44"/>
      <c r="R181" s="44"/>
      <c r="S181" s="44"/>
      <c r="T181" s="44"/>
      <c r="U181" s="44"/>
      <c r="V181" s="44"/>
      <c r="W181" s="44"/>
      <c r="X181" s="44" t="s">
        <v>1115</v>
      </c>
      <c r="Y181" s="44" t="s">
        <v>1116</v>
      </c>
      <c r="Z181" s="44"/>
    </row>
    <row r="182" spans="1:26" ht="15.75" customHeight="1">
      <c r="A182" s="66" t="str">
        <f>IF(C182="","",VLOOKUP('Opći dio'!$C$3,'Opći dio'!$L$6:$U$137,10,FALSE))</f>
        <v/>
      </c>
      <c r="B182" s="66" t="str">
        <f>IF(C182="","",VLOOKUP('Opći dio'!$C$3,'Opći dio'!$L$6:$U$137,9,FALSE))</f>
        <v/>
      </c>
      <c r="C182" s="71"/>
      <c r="D182" s="66" t="str">
        <f t="shared" si="0"/>
        <v/>
      </c>
      <c r="E182" s="71"/>
      <c r="F182" s="66" t="str">
        <f t="shared" si="49"/>
        <v/>
      </c>
      <c r="G182" s="71"/>
      <c r="H182" s="66" t="str">
        <f t="shared" si="48"/>
        <v/>
      </c>
      <c r="I182" s="59"/>
      <c r="J182" s="59"/>
      <c r="K182" s="59"/>
      <c r="L182" s="44"/>
      <c r="M182" s="44" t="str">
        <f t="shared" si="3"/>
        <v/>
      </c>
      <c r="N182" s="44" t="str">
        <f t="shared" si="4"/>
        <v/>
      </c>
      <c r="O182" s="44"/>
      <c r="P182" s="44"/>
      <c r="Q182" s="44"/>
      <c r="R182" s="44"/>
      <c r="S182" s="44"/>
      <c r="T182" s="44"/>
      <c r="U182" s="44"/>
      <c r="V182" s="44"/>
      <c r="W182" s="44"/>
      <c r="X182" s="44" t="s">
        <v>1117</v>
      </c>
      <c r="Y182" s="44" t="s">
        <v>1118</v>
      </c>
      <c r="Z182" s="44"/>
    </row>
    <row r="183" spans="1:26" ht="15.75" customHeight="1">
      <c r="A183" s="66" t="str">
        <f>IF(C183="","",VLOOKUP('Opći dio'!$C$3,'Opći dio'!$L$6:$U$137,10,FALSE))</f>
        <v/>
      </c>
      <c r="B183" s="66" t="str">
        <f>IF(C183="","",VLOOKUP('Opći dio'!$C$3,'Opći dio'!$L$6:$U$137,9,FALSE))</f>
        <v/>
      </c>
      <c r="C183" s="71"/>
      <c r="D183" s="66" t="str">
        <f t="shared" si="0"/>
        <v/>
      </c>
      <c r="E183" s="71"/>
      <c r="F183" s="66" t="str">
        <f t="shared" si="49"/>
        <v/>
      </c>
      <c r="G183" s="71"/>
      <c r="H183" s="66" t="str">
        <f t="shared" si="48"/>
        <v/>
      </c>
      <c r="I183" s="59"/>
      <c r="J183" s="59"/>
      <c r="K183" s="59"/>
      <c r="L183" s="44"/>
      <c r="M183" s="44" t="str">
        <f t="shared" si="3"/>
        <v/>
      </c>
      <c r="N183" s="44" t="str">
        <f t="shared" si="4"/>
        <v/>
      </c>
      <c r="O183" s="44"/>
      <c r="P183" s="44"/>
      <c r="Q183" s="44"/>
      <c r="R183" s="44"/>
      <c r="S183" s="44"/>
      <c r="T183" s="44"/>
      <c r="U183" s="44"/>
      <c r="V183" s="44"/>
      <c r="W183" s="44"/>
      <c r="X183" s="44" t="s">
        <v>1119</v>
      </c>
      <c r="Y183" s="44" t="s">
        <v>1120</v>
      </c>
      <c r="Z183" s="44"/>
    </row>
    <row r="184" spans="1:26" ht="15.75" customHeight="1">
      <c r="A184" s="66" t="str">
        <f>IF(C184="","",VLOOKUP('Opći dio'!$C$3,'Opći dio'!$L$6:$U$137,10,FALSE))</f>
        <v/>
      </c>
      <c r="B184" s="66" t="str">
        <f>IF(C184="","",VLOOKUP('Opći dio'!$C$3,'Opći dio'!$L$6:$U$137,9,FALSE))</f>
        <v/>
      </c>
      <c r="C184" s="71"/>
      <c r="D184" s="66" t="str">
        <f t="shared" si="0"/>
        <v/>
      </c>
      <c r="E184" s="71"/>
      <c r="F184" s="66" t="str">
        <f t="shared" si="49"/>
        <v/>
      </c>
      <c r="G184" s="71"/>
      <c r="H184" s="66" t="str">
        <f t="shared" si="48"/>
        <v/>
      </c>
      <c r="I184" s="59"/>
      <c r="J184" s="59"/>
      <c r="K184" s="59"/>
      <c r="L184" s="44"/>
      <c r="M184" s="44" t="str">
        <f t="shared" si="3"/>
        <v/>
      </c>
      <c r="N184" s="44" t="str">
        <f t="shared" si="4"/>
        <v/>
      </c>
      <c r="O184" s="44"/>
      <c r="P184" s="44"/>
      <c r="Q184" s="44"/>
      <c r="R184" s="44"/>
      <c r="S184" s="44"/>
      <c r="T184" s="44"/>
      <c r="U184" s="44"/>
      <c r="V184" s="44"/>
      <c r="W184" s="44"/>
      <c r="X184" s="44" t="s">
        <v>1121</v>
      </c>
      <c r="Y184" s="44" t="s">
        <v>1122</v>
      </c>
      <c r="Z184" s="44"/>
    </row>
    <row r="185" spans="1:26" ht="15.75" customHeight="1">
      <c r="A185" s="66" t="str">
        <f>IF(C185="","",VLOOKUP('Opći dio'!$C$3,'Opći dio'!$L$6:$U$137,10,FALSE))</f>
        <v/>
      </c>
      <c r="B185" s="66" t="str">
        <f>IF(C185="","",VLOOKUP('Opći dio'!$C$3,'Opći dio'!$L$6:$U$137,9,FALSE))</f>
        <v/>
      </c>
      <c r="C185" s="71"/>
      <c r="D185" s="66" t="str">
        <f t="shared" si="0"/>
        <v/>
      </c>
      <c r="E185" s="71"/>
      <c r="F185" s="66" t="str">
        <f t="shared" si="49"/>
        <v/>
      </c>
      <c r="G185" s="71"/>
      <c r="H185" s="66" t="str">
        <f t="shared" si="48"/>
        <v/>
      </c>
      <c r="I185" s="59"/>
      <c r="J185" s="59"/>
      <c r="K185" s="59"/>
      <c r="L185" s="44"/>
      <c r="M185" s="44" t="str">
        <f t="shared" si="3"/>
        <v/>
      </c>
      <c r="N185" s="44" t="str">
        <f t="shared" si="4"/>
        <v/>
      </c>
      <c r="O185" s="44"/>
      <c r="P185" s="44"/>
      <c r="Q185" s="44"/>
      <c r="R185" s="44"/>
      <c r="S185" s="44"/>
      <c r="T185" s="44"/>
      <c r="U185" s="44"/>
      <c r="V185" s="44"/>
      <c r="W185" s="44"/>
      <c r="X185" s="44" t="s">
        <v>1123</v>
      </c>
      <c r="Y185" s="44" t="s">
        <v>1124</v>
      </c>
      <c r="Z185" s="44"/>
    </row>
    <row r="186" spans="1:26" ht="15.75" customHeight="1">
      <c r="A186" s="66" t="str">
        <f>IF(C186="","",VLOOKUP('Opći dio'!$C$3,'Opći dio'!$L$6:$U$137,10,FALSE))</f>
        <v/>
      </c>
      <c r="B186" s="66" t="str">
        <f>IF(C186="","",VLOOKUP('Opći dio'!$C$3,'Opći dio'!$L$6:$U$137,9,FALSE))</f>
        <v/>
      </c>
      <c r="C186" s="71"/>
      <c r="D186" s="66" t="str">
        <f t="shared" si="0"/>
        <v/>
      </c>
      <c r="E186" s="71"/>
      <c r="F186" s="66" t="str">
        <f t="shared" si="49"/>
        <v/>
      </c>
      <c r="G186" s="71"/>
      <c r="H186" s="66" t="str">
        <f t="shared" si="48"/>
        <v/>
      </c>
      <c r="I186" s="59"/>
      <c r="J186" s="59"/>
      <c r="K186" s="59"/>
      <c r="L186" s="44"/>
      <c r="M186" s="44" t="str">
        <f t="shared" si="3"/>
        <v/>
      </c>
      <c r="N186" s="44" t="str">
        <f t="shared" si="4"/>
        <v/>
      </c>
      <c r="O186" s="44"/>
      <c r="P186" s="44"/>
      <c r="Q186" s="44"/>
      <c r="R186" s="44"/>
      <c r="S186" s="44"/>
      <c r="T186" s="44"/>
      <c r="U186" s="44"/>
      <c r="V186" s="44"/>
      <c r="W186" s="44"/>
      <c r="X186" s="44" t="s">
        <v>1125</v>
      </c>
      <c r="Y186" s="44" t="s">
        <v>1126</v>
      </c>
      <c r="Z186" s="44"/>
    </row>
    <row r="187" spans="1:26" ht="15.75" customHeight="1">
      <c r="A187" s="66" t="str">
        <f>IF(C187="","",VLOOKUP('Opći dio'!$C$3,'Opći dio'!$L$6:$U$137,10,FALSE))</f>
        <v/>
      </c>
      <c r="B187" s="66" t="str">
        <f>IF(C187="","",VLOOKUP('Opći dio'!$C$3,'Opći dio'!$L$6:$U$137,9,FALSE))</f>
        <v/>
      </c>
      <c r="C187" s="71"/>
      <c r="D187" s="66" t="str">
        <f t="shared" si="0"/>
        <v/>
      </c>
      <c r="E187" s="71"/>
      <c r="F187" s="66" t="str">
        <f t="shared" si="49"/>
        <v/>
      </c>
      <c r="G187" s="71"/>
      <c r="H187" s="66" t="str">
        <f t="shared" si="48"/>
        <v/>
      </c>
      <c r="I187" s="59"/>
      <c r="J187" s="59"/>
      <c r="K187" s="59"/>
      <c r="L187" s="44"/>
      <c r="M187" s="44" t="str">
        <f t="shared" si="3"/>
        <v/>
      </c>
      <c r="N187" s="44" t="str">
        <f t="shared" si="4"/>
        <v/>
      </c>
      <c r="O187" s="44"/>
      <c r="P187" s="44"/>
      <c r="Q187" s="44"/>
      <c r="R187" s="44"/>
      <c r="S187" s="44"/>
      <c r="T187" s="44"/>
      <c r="U187" s="44"/>
      <c r="V187" s="44"/>
      <c r="W187" s="44"/>
      <c r="X187" s="44" t="s">
        <v>1127</v>
      </c>
      <c r="Y187" s="44" t="s">
        <v>1128</v>
      </c>
      <c r="Z187" s="44"/>
    </row>
    <row r="188" spans="1:26" ht="15.75" customHeight="1">
      <c r="A188" s="66" t="str">
        <f>IF(C188="","",VLOOKUP('Opći dio'!$C$3,'Opći dio'!$L$6:$U$137,10,FALSE))</f>
        <v/>
      </c>
      <c r="B188" s="66" t="str">
        <f>IF(C188="","",VLOOKUP('Opći dio'!$C$3,'Opći dio'!$L$6:$U$137,9,FALSE))</f>
        <v/>
      </c>
      <c r="C188" s="71"/>
      <c r="D188" s="66" t="str">
        <f t="shared" si="0"/>
        <v/>
      </c>
      <c r="E188" s="71"/>
      <c r="F188" s="66" t="str">
        <f t="shared" si="49"/>
        <v/>
      </c>
      <c r="G188" s="71"/>
      <c r="H188" s="66" t="str">
        <f t="shared" si="48"/>
        <v/>
      </c>
      <c r="I188" s="59"/>
      <c r="J188" s="59"/>
      <c r="K188" s="59"/>
      <c r="L188" s="44"/>
      <c r="M188" s="44" t="str">
        <f t="shared" si="3"/>
        <v/>
      </c>
      <c r="N188" s="44" t="str">
        <f t="shared" si="4"/>
        <v/>
      </c>
      <c r="O188" s="44"/>
      <c r="P188" s="44"/>
      <c r="Q188" s="44"/>
      <c r="R188" s="44"/>
      <c r="S188" s="44"/>
      <c r="T188" s="44"/>
      <c r="U188" s="44"/>
      <c r="V188" s="44"/>
      <c r="W188" s="44"/>
      <c r="X188" s="44" t="s">
        <v>1129</v>
      </c>
      <c r="Y188" s="44" t="s">
        <v>1130</v>
      </c>
      <c r="Z188" s="44"/>
    </row>
    <row r="189" spans="1:26" ht="15.75" customHeight="1">
      <c r="A189" s="66" t="str">
        <f>IF(C189="","",VLOOKUP('Opći dio'!$C$3,'Opći dio'!$L$6:$U$137,10,FALSE))</f>
        <v/>
      </c>
      <c r="B189" s="66" t="str">
        <f>IF(C189="","",VLOOKUP('Opći dio'!$C$3,'Opći dio'!$L$6:$U$137,9,FALSE))</f>
        <v/>
      </c>
      <c r="C189" s="71"/>
      <c r="D189" s="66" t="str">
        <f t="shared" si="0"/>
        <v/>
      </c>
      <c r="E189" s="71"/>
      <c r="F189" s="66" t="str">
        <f t="shared" si="49"/>
        <v/>
      </c>
      <c r="G189" s="71"/>
      <c r="H189" s="66" t="str">
        <f t="shared" si="48"/>
        <v/>
      </c>
      <c r="I189" s="59"/>
      <c r="J189" s="59"/>
      <c r="K189" s="59"/>
      <c r="L189" s="44"/>
      <c r="M189" s="44" t="str">
        <f t="shared" si="3"/>
        <v/>
      </c>
      <c r="N189" s="44" t="str">
        <f t="shared" si="4"/>
        <v/>
      </c>
      <c r="O189" s="44"/>
      <c r="P189" s="44"/>
      <c r="Q189" s="44"/>
      <c r="R189" s="44"/>
      <c r="S189" s="44"/>
      <c r="T189" s="44"/>
      <c r="U189" s="44"/>
      <c r="V189" s="44"/>
      <c r="W189" s="44"/>
      <c r="X189" s="44" t="s">
        <v>1131</v>
      </c>
      <c r="Y189" s="44" t="s">
        <v>1132</v>
      </c>
      <c r="Z189" s="44"/>
    </row>
    <row r="190" spans="1:26" ht="15.75" customHeight="1">
      <c r="A190" s="66" t="str">
        <f>IF(C190="","",VLOOKUP('Opći dio'!$C$3,'Opći dio'!$L$6:$U$137,10,FALSE))</f>
        <v/>
      </c>
      <c r="B190" s="66" t="str">
        <f>IF(C190="","",VLOOKUP('Opći dio'!$C$3,'Opći dio'!$L$6:$U$137,9,FALSE))</f>
        <v/>
      </c>
      <c r="C190" s="71"/>
      <c r="D190" s="66" t="str">
        <f t="shared" si="0"/>
        <v/>
      </c>
      <c r="E190" s="71"/>
      <c r="F190" s="66" t="str">
        <f t="shared" si="49"/>
        <v/>
      </c>
      <c r="G190" s="71"/>
      <c r="H190" s="66" t="str">
        <f t="shared" si="48"/>
        <v/>
      </c>
      <c r="I190" s="59"/>
      <c r="J190" s="59"/>
      <c r="K190" s="59"/>
      <c r="L190" s="44"/>
      <c r="M190" s="44" t="str">
        <f t="shared" si="3"/>
        <v/>
      </c>
      <c r="N190" s="44" t="str">
        <f t="shared" si="4"/>
        <v/>
      </c>
      <c r="O190" s="44"/>
      <c r="P190" s="44"/>
      <c r="Q190" s="44"/>
      <c r="R190" s="44"/>
      <c r="S190" s="44"/>
      <c r="T190" s="44"/>
      <c r="U190" s="44"/>
      <c r="V190" s="44"/>
      <c r="W190" s="44"/>
      <c r="X190" s="44" t="s">
        <v>1133</v>
      </c>
      <c r="Y190" s="44" t="s">
        <v>1134</v>
      </c>
      <c r="Z190" s="44"/>
    </row>
    <row r="191" spans="1:26" ht="15.75" customHeight="1">
      <c r="A191" s="66" t="str">
        <f>IF(C191="","",VLOOKUP('Opći dio'!$C$3,'Opći dio'!$L$6:$U$137,10,FALSE))</f>
        <v/>
      </c>
      <c r="B191" s="66" t="str">
        <f>IF(C191="","",VLOOKUP('Opći dio'!$C$3,'Opći dio'!$L$6:$U$137,9,FALSE))</f>
        <v/>
      </c>
      <c r="C191" s="71"/>
      <c r="D191" s="66" t="str">
        <f t="shared" si="0"/>
        <v/>
      </c>
      <c r="E191" s="71"/>
      <c r="F191" s="66" t="str">
        <f t="shared" si="49"/>
        <v/>
      </c>
      <c r="G191" s="71"/>
      <c r="H191" s="66" t="str">
        <f t="shared" si="48"/>
        <v/>
      </c>
      <c r="I191" s="59"/>
      <c r="J191" s="59"/>
      <c r="K191" s="59"/>
      <c r="L191" s="44"/>
      <c r="M191" s="44" t="str">
        <f t="shared" si="3"/>
        <v/>
      </c>
      <c r="N191" s="44" t="str">
        <f t="shared" si="4"/>
        <v/>
      </c>
      <c r="O191" s="44"/>
      <c r="P191" s="44"/>
      <c r="Q191" s="44"/>
      <c r="R191" s="44"/>
      <c r="S191" s="44"/>
      <c r="T191" s="44"/>
      <c r="U191" s="44"/>
      <c r="V191" s="44"/>
      <c r="W191" s="44"/>
      <c r="X191" s="44" t="s">
        <v>1135</v>
      </c>
      <c r="Y191" s="44" t="s">
        <v>1136</v>
      </c>
      <c r="Z191" s="44"/>
    </row>
    <row r="192" spans="1:26" ht="15.75" customHeight="1">
      <c r="A192" s="66" t="str">
        <f>IF(C192="","",VLOOKUP('Opći dio'!$C$3,'Opći dio'!$L$6:$U$137,10,FALSE))</f>
        <v/>
      </c>
      <c r="B192" s="66" t="str">
        <f>IF(C192="","",VLOOKUP('Opći dio'!$C$3,'Opći dio'!$L$6:$U$137,9,FALSE))</f>
        <v/>
      </c>
      <c r="C192" s="71"/>
      <c r="D192" s="66" t="str">
        <f t="shared" si="0"/>
        <v/>
      </c>
      <c r="E192" s="71"/>
      <c r="F192" s="66" t="str">
        <f t="shared" si="49"/>
        <v/>
      </c>
      <c r="G192" s="71"/>
      <c r="H192" s="66" t="str">
        <f t="shared" si="48"/>
        <v/>
      </c>
      <c r="I192" s="59"/>
      <c r="J192" s="59"/>
      <c r="K192" s="59"/>
      <c r="L192" s="44"/>
      <c r="M192" s="44" t="str">
        <f t="shared" si="3"/>
        <v/>
      </c>
      <c r="N192" s="44" t="str">
        <f t="shared" si="4"/>
        <v/>
      </c>
      <c r="O192" s="44"/>
      <c r="P192" s="44"/>
      <c r="Q192" s="44"/>
      <c r="R192" s="44"/>
      <c r="S192" s="44"/>
      <c r="T192" s="44"/>
      <c r="U192" s="44"/>
      <c r="V192" s="44"/>
      <c r="W192" s="44"/>
      <c r="X192" s="44" t="s">
        <v>1137</v>
      </c>
      <c r="Y192" s="44" t="s">
        <v>1138</v>
      </c>
      <c r="Z192" s="44"/>
    </row>
    <row r="193" spans="1:26" ht="15.75" customHeight="1">
      <c r="A193" s="66" t="str">
        <f>IF(C193="","",VLOOKUP('Opći dio'!$C$3,'Opći dio'!$L$6:$U$137,10,FALSE))</f>
        <v/>
      </c>
      <c r="B193" s="66" t="str">
        <f>IF(C193="","",VLOOKUP('Opći dio'!$C$3,'Opći dio'!$L$6:$U$137,9,FALSE))</f>
        <v/>
      </c>
      <c r="C193" s="71"/>
      <c r="D193" s="66" t="str">
        <f t="shared" si="0"/>
        <v/>
      </c>
      <c r="E193" s="71"/>
      <c r="F193" s="66" t="str">
        <f t="shared" si="49"/>
        <v/>
      </c>
      <c r="G193" s="71"/>
      <c r="H193" s="66" t="str">
        <f t="shared" si="48"/>
        <v/>
      </c>
      <c r="I193" s="59"/>
      <c r="J193" s="59"/>
      <c r="K193" s="59"/>
      <c r="L193" s="44"/>
      <c r="M193" s="44" t="str">
        <f t="shared" si="3"/>
        <v/>
      </c>
      <c r="N193" s="44" t="str">
        <f t="shared" si="4"/>
        <v/>
      </c>
      <c r="O193" s="44"/>
      <c r="P193" s="44"/>
      <c r="Q193" s="44"/>
      <c r="R193" s="44"/>
      <c r="S193" s="44"/>
      <c r="T193" s="44"/>
      <c r="U193" s="44"/>
      <c r="V193" s="44"/>
      <c r="W193" s="44"/>
      <c r="X193" s="44" t="s">
        <v>1139</v>
      </c>
      <c r="Y193" s="44" t="s">
        <v>1140</v>
      </c>
      <c r="Z193" s="44"/>
    </row>
    <row r="194" spans="1:26" ht="15.75" customHeight="1">
      <c r="A194" s="66" t="str">
        <f>IF(C194="","",VLOOKUP('Opći dio'!$C$3,'Opći dio'!$L$6:$U$137,10,FALSE))</f>
        <v/>
      </c>
      <c r="B194" s="66" t="str">
        <f>IF(C194="","",VLOOKUP('Opći dio'!$C$3,'Opći dio'!$L$6:$U$137,9,FALSE))</f>
        <v/>
      </c>
      <c r="C194" s="71"/>
      <c r="D194" s="66" t="str">
        <f t="shared" si="0"/>
        <v/>
      </c>
      <c r="E194" s="71"/>
      <c r="F194" s="66" t="str">
        <f t="shared" si="49"/>
        <v/>
      </c>
      <c r="G194" s="71"/>
      <c r="H194" s="66" t="str">
        <f t="shared" si="48"/>
        <v/>
      </c>
      <c r="I194" s="59"/>
      <c r="J194" s="59"/>
      <c r="K194" s="59"/>
      <c r="L194" s="44"/>
      <c r="M194" s="44" t="str">
        <f t="shared" si="3"/>
        <v/>
      </c>
      <c r="N194" s="44" t="str">
        <f t="shared" si="4"/>
        <v/>
      </c>
      <c r="O194" s="44"/>
      <c r="P194" s="44"/>
      <c r="Q194" s="44"/>
      <c r="R194" s="44"/>
      <c r="S194" s="44"/>
      <c r="T194" s="44"/>
      <c r="U194" s="44"/>
      <c r="V194" s="44"/>
      <c r="W194" s="44"/>
      <c r="X194" s="44" t="s">
        <v>1141</v>
      </c>
      <c r="Y194" s="44" t="s">
        <v>1142</v>
      </c>
      <c r="Z194" s="44"/>
    </row>
    <row r="195" spans="1:26" ht="15.75" customHeight="1">
      <c r="A195" s="66" t="str">
        <f>IF(C195="","",VLOOKUP('Opći dio'!$C$3,'Opći dio'!$L$6:$U$137,10,FALSE))</f>
        <v/>
      </c>
      <c r="B195" s="66" t="str">
        <f>IF(C195="","",VLOOKUP('Opći dio'!$C$3,'Opći dio'!$L$6:$U$137,9,FALSE))</f>
        <v/>
      </c>
      <c r="C195" s="71"/>
      <c r="D195" s="66" t="str">
        <f t="shared" si="0"/>
        <v/>
      </c>
      <c r="E195" s="71"/>
      <c r="F195" s="66" t="str">
        <f t="shared" si="49"/>
        <v/>
      </c>
      <c r="G195" s="71"/>
      <c r="H195" s="66" t="str">
        <f t="shared" ref="H195:H258" si="50">IFERROR(VLOOKUP(G195,$X$6:$Y$276,2,FALSE),"")</f>
        <v/>
      </c>
      <c r="I195" s="59"/>
      <c r="J195" s="59"/>
      <c r="K195" s="59"/>
      <c r="L195" s="44"/>
      <c r="M195" s="44" t="str">
        <f t="shared" si="3"/>
        <v/>
      </c>
      <c r="N195" s="44" t="str">
        <f t="shared" si="4"/>
        <v/>
      </c>
      <c r="O195" s="44"/>
      <c r="P195" s="44"/>
      <c r="Q195" s="44"/>
      <c r="R195" s="44"/>
      <c r="S195" s="44"/>
      <c r="T195" s="44"/>
      <c r="U195" s="44"/>
      <c r="V195" s="44"/>
      <c r="W195" s="44"/>
      <c r="X195" s="44" t="s">
        <v>1143</v>
      </c>
      <c r="Y195" s="44" t="s">
        <v>1144</v>
      </c>
      <c r="Z195" s="44"/>
    </row>
    <row r="196" spans="1:26" ht="15.75" customHeight="1">
      <c r="A196" s="66" t="str">
        <f>IF(C196="","",VLOOKUP('Opći dio'!$C$3,'Opći dio'!$L$6:$U$137,10,FALSE))</f>
        <v/>
      </c>
      <c r="B196" s="66" t="str">
        <f>IF(C196="","",VLOOKUP('Opći dio'!$C$3,'Opći dio'!$L$6:$U$137,9,FALSE))</f>
        <v/>
      </c>
      <c r="C196" s="71"/>
      <c r="D196" s="66" t="str">
        <f t="shared" si="0"/>
        <v/>
      </c>
      <c r="E196" s="71"/>
      <c r="F196" s="66" t="str">
        <f t="shared" si="49"/>
        <v/>
      </c>
      <c r="G196" s="71"/>
      <c r="H196" s="66" t="str">
        <f t="shared" si="50"/>
        <v/>
      </c>
      <c r="I196" s="59"/>
      <c r="J196" s="59"/>
      <c r="K196" s="59"/>
      <c r="L196" s="44"/>
      <c r="M196" s="44" t="str">
        <f t="shared" si="3"/>
        <v/>
      </c>
      <c r="N196" s="44" t="str">
        <f t="shared" si="4"/>
        <v/>
      </c>
      <c r="O196" s="44"/>
      <c r="P196" s="44"/>
      <c r="Q196" s="44"/>
      <c r="R196" s="44"/>
      <c r="S196" s="44"/>
      <c r="T196" s="44"/>
      <c r="U196" s="44"/>
      <c r="V196" s="44"/>
      <c r="W196" s="44"/>
      <c r="X196" s="44" t="s">
        <v>1145</v>
      </c>
      <c r="Y196" s="44" t="s">
        <v>1146</v>
      </c>
      <c r="Z196" s="44"/>
    </row>
    <row r="197" spans="1:26" ht="15.75" customHeight="1">
      <c r="A197" s="66" t="str">
        <f>IF(C197="","",VLOOKUP('Opći dio'!$C$3,'Opći dio'!$L$6:$U$137,10,FALSE))</f>
        <v/>
      </c>
      <c r="B197" s="66" t="str">
        <f>IF(C197="","",VLOOKUP('Opći dio'!$C$3,'Opći dio'!$L$6:$U$137,9,FALSE))</f>
        <v/>
      </c>
      <c r="C197" s="71"/>
      <c r="D197" s="66" t="str">
        <f t="shared" si="0"/>
        <v/>
      </c>
      <c r="E197" s="71"/>
      <c r="F197" s="66" t="str">
        <f t="shared" si="49"/>
        <v/>
      </c>
      <c r="G197" s="71"/>
      <c r="H197" s="66" t="str">
        <f t="shared" si="50"/>
        <v/>
      </c>
      <c r="I197" s="59"/>
      <c r="J197" s="59"/>
      <c r="K197" s="59"/>
      <c r="L197" s="44"/>
      <c r="M197" s="44" t="str">
        <f t="shared" si="3"/>
        <v/>
      </c>
      <c r="N197" s="44" t="str">
        <f t="shared" si="4"/>
        <v/>
      </c>
      <c r="O197" s="44"/>
      <c r="P197" s="44"/>
      <c r="Q197" s="44"/>
      <c r="R197" s="44"/>
      <c r="S197" s="44"/>
      <c r="T197" s="44"/>
      <c r="U197" s="44"/>
      <c r="V197" s="44"/>
      <c r="W197" s="44"/>
      <c r="X197" s="44" t="s">
        <v>1147</v>
      </c>
      <c r="Y197" s="44" t="s">
        <v>1148</v>
      </c>
      <c r="Z197" s="44"/>
    </row>
    <row r="198" spans="1:26" ht="15.75" customHeight="1">
      <c r="A198" s="66" t="str">
        <f>IF(C198="","",VLOOKUP('Opći dio'!$C$3,'Opći dio'!$L$6:$U$137,10,FALSE))</f>
        <v/>
      </c>
      <c r="B198" s="66" t="str">
        <f>IF(C198="","",VLOOKUP('Opći dio'!$C$3,'Opći dio'!$L$6:$U$137,9,FALSE))</f>
        <v/>
      </c>
      <c r="C198" s="71"/>
      <c r="D198" s="66" t="str">
        <f t="shared" si="0"/>
        <v/>
      </c>
      <c r="E198" s="71"/>
      <c r="F198" s="66" t="str">
        <f t="shared" si="49"/>
        <v/>
      </c>
      <c r="G198" s="71"/>
      <c r="H198" s="66" t="str">
        <f t="shared" si="50"/>
        <v/>
      </c>
      <c r="I198" s="59"/>
      <c r="J198" s="59"/>
      <c r="K198" s="59"/>
      <c r="L198" s="44"/>
      <c r="M198" s="44" t="str">
        <f t="shared" si="3"/>
        <v/>
      </c>
      <c r="N198" s="44" t="str">
        <f t="shared" si="4"/>
        <v/>
      </c>
      <c r="O198" s="44"/>
      <c r="P198" s="44"/>
      <c r="Q198" s="44"/>
      <c r="R198" s="44"/>
      <c r="S198" s="44"/>
      <c r="T198" s="44"/>
      <c r="U198" s="44"/>
      <c r="V198" s="44"/>
      <c r="W198" s="44"/>
      <c r="X198" s="44" t="s">
        <v>1149</v>
      </c>
      <c r="Y198" s="44" t="s">
        <v>1150</v>
      </c>
      <c r="Z198" s="44"/>
    </row>
    <row r="199" spans="1:26" ht="15.75" customHeight="1">
      <c r="A199" s="66" t="str">
        <f>IF(C199="","",VLOOKUP('Opći dio'!$C$3,'Opći dio'!$L$6:$U$137,10,FALSE))</f>
        <v/>
      </c>
      <c r="B199" s="66" t="str">
        <f>IF(C199="","",VLOOKUP('Opći dio'!$C$3,'Opći dio'!$L$6:$U$137,9,FALSE))</f>
        <v/>
      </c>
      <c r="C199" s="71"/>
      <c r="D199" s="66" t="str">
        <f t="shared" si="0"/>
        <v/>
      </c>
      <c r="E199" s="71"/>
      <c r="F199" s="66" t="str">
        <f t="shared" si="49"/>
        <v/>
      </c>
      <c r="G199" s="71"/>
      <c r="H199" s="66" t="str">
        <f t="shared" si="50"/>
        <v/>
      </c>
      <c r="I199" s="59"/>
      <c r="J199" s="59"/>
      <c r="K199" s="59"/>
      <c r="L199" s="44"/>
      <c r="M199" s="44" t="str">
        <f t="shared" si="3"/>
        <v/>
      </c>
      <c r="N199" s="44" t="str">
        <f t="shared" si="4"/>
        <v/>
      </c>
      <c r="O199" s="44"/>
      <c r="P199" s="44"/>
      <c r="Q199" s="44"/>
      <c r="R199" s="44"/>
      <c r="S199" s="44"/>
      <c r="T199" s="44"/>
      <c r="U199" s="44"/>
      <c r="V199" s="44"/>
      <c r="W199" s="44"/>
      <c r="X199" s="44" t="s">
        <v>1151</v>
      </c>
      <c r="Y199" s="44" t="s">
        <v>1152</v>
      </c>
      <c r="Z199" s="44"/>
    </row>
    <row r="200" spans="1:26" ht="15.75" customHeight="1">
      <c r="A200" s="66" t="str">
        <f>IF(C200="","",VLOOKUP('Opći dio'!$C$3,'Opći dio'!$L$6:$U$137,10,FALSE))</f>
        <v/>
      </c>
      <c r="B200" s="66" t="str">
        <f>IF(C200="","",VLOOKUP('Opći dio'!$C$3,'Opći dio'!$L$6:$U$137,9,FALSE))</f>
        <v/>
      </c>
      <c r="C200" s="71"/>
      <c r="D200" s="66" t="str">
        <f t="shared" si="0"/>
        <v/>
      </c>
      <c r="E200" s="71"/>
      <c r="F200" s="66" t="str">
        <f t="shared" si="49"/>
        <v/>
      </c>
      <c r="G200" s="71"/>
      <c r="H200" s="66" t="str">
        <f t="shared" si="50"/>
        <v/>
      </c>
      <c r="I200" s="59"/>
      <c r="J200" s="59"/>
      <c r="K200" s="59"/>
      <c r="L200" s="44"/>
      <c r="M200" s="44" t="str">
        <f t="shared" si="3"/>
        <v/>
      </c>
      <c r="N200" s="44" t="str">
        <f t="shared" si="4"/>
        <v/>
      </c>
      <c r="O200" s="44"/>
      <c r="P200" s="44"/>
      <c r="Q200" s="44"/>
      <c r="R200" s="44"/>
      <c r="S200" s="44"/>
      <c r="T200" s="44"/>
      <c r="U200" s="44"/>
      <c r="V200" s="44"/>
      <c r="W200" s="44"/>
      <c r="X200" s="44" t="s">
        <v>1153</v>
      </c>
      <c r="Y200" s="44" t="s">
        <v>1154</v>
      </c>
      <c r="Z200" s="44"/>
    </row>
    <row r="201" spans="1:26" ht="15.75" customHeight="1">
      <c r="A201" s="66" t="str">
        <f>IF(C201="","",VLOOKUP('Opći dio'!$C$3,'Opći dio'!$L$6:$U$137,10,FALSE))</f>
        <v/>
      </c>
      <c r="B201" s="66" t="str">
        <f>IF(C201="","",VLOOKUP('Opći dio'!$C$3,'Opći dio'!$L$6:$U$137,9,FALSE))</f>
        <v/>
      </c>
      <c r="C201" s="71"/>
      <c r="D201" s="66" t="str">
        <f t="shared" si="0"/>
        <v/>
      </c>
      <c r="E201" s="71"/>
      <c r="F201" s="66" t="str">
        <f t="shared" si="49"/>
        <v/>
      </c>
      <c r="G201" s="71"/>
      <c r="H201" s="66" t="str">
        <f t="shared" si="50"/>
        <v/>
      </c>
      <c r="I201" s="59"/>
      <c r="J201" s="59"/>
      <c r="K201" s="59"/>
      <c r="L201" s="44"/>
      <c r="M201" s="44" t="str">
        <f t="shared" si="3"/>
        <v/>
      </c>
      <c r="N201" s="44" t="str">
        <f t="shared" si="4"/>
        <v/>
      </c>
      <c r="O201" s="44"/>
      <c r="P201" s="44"/>
      <c r="Q201" s="44"/>
      <c r="R201" s="44"/>
      <c r="S201" s="44"/>
      <c r="T201" s="44"/>
      <c r="U201" s="44"/>
      <c r="V201" s="44"/>
      <c r="W201" s="44"/>
      <c r="X201" s="44" t="s">
        <v>1155</v>
      </c>
      <c r="Y201" s="44" t="s">
        <v>1156</v>
      </c>
      <c r="Z201" s="44"/>
    </row>
    <row r="202" spans="1:26" ht="15.75" customHeight="1">
      <c r="A202" s="66" t="str">
        <f>IF(C202="","",VLOOKUP('Opći dio'!$C$3,'Opći dio'!$L$6:$U$137,10,FALSE))</f>
        <v/>
      </c>
      <c r="B202" s="66" t="str">
        <f>IF(C202="","",VLOOKUP('Opći dio'!$C$3,'Opći dio'!$L$6:$U$137,9,FALSE))</f>
        <v/>
      </c>
      <c r="C202" s="71"/>
      <c r="D202" s="66" t="str">
        <f t="shared" si="0"/>
        <v/>
      </c>
      <c r="E202" s="71"/>
      <c r="F202" s="66" t="str">
        <f t="shared" si="49"/>
        <v/>
      </c>
      <c r="G202" s="71"/>
      <c r="H202" s="66" t="str">
        <f t="shared" si="50"/>
        <v/>
      </c>
      <c r="I202" s="59"/>
      <c r="J202" s="59"/>
      <c r="K202" s="59"/>
      <c r="L202" s="44"/>
      <c r="M202" s="44" t="str">
        <f t="shared" si="3"/>
        <v/>
      </c>
      <c r="N202" s="44" t="str">
        <f t="shared" si="4"/>
        <v/>
      </c>
      <c r="O202" s="44"/>
      <c r="P202" s="44"/>
      <c r="Q202" s="44"/>
      <c r="R202" s="44"/>
      <c r="S202" s="44"/>
      <c r="T202" s="44"/>
      <c r="U202" s="44"/>
      <c r="V202" s="44"/>
      <c r="W202" s="44"/>
      <c r="X202" s="44" t="s">
        <v>1157</v>
      </c>
      <c r="Y202" s="44" t="s">
        <v>1158</v>
      </c>
      <c r="Z202" s="44"/>
    </row>
    <row r="203" spans="1:26" ht="15.75" customHeight="1">
      <c r="A203" s="66" t="str">
        <f>IF(C203="","",VLOOKUP('Opći dio'!$C$3,'Opći dio'!$L$6:$U$137,10,FALSE))</f>
        <v/>
      </c>
      <c r="B203" s="66" t="str">
        <f>IF(C203="","",VLOOKUP('Opći dio'!$C$3,'Opći dio'!$L$6:$U$137,9,FALSE))</f>
        <v/>
      </c>
      <c r="C203" s="71"/>
      <c r="D203" s="66" t="str">
        <f t="shared" si="0"/>
        <v/>
      </c>
      <c r="E203" s="71"/>
      <c r="F203" s="66" t="str">
        <f t="shared" si="49"/>
        <v/>
      </c>
      <c r="G203" s="71"/>
      <c r="H203" s="66" t="str">
        <f t="shared" si="50"/>
        <v/>
      </c>
      <c r="I203" s="59"/>
      <c r="J203" s="59"/>
      <c r="K203" s="59"/>
      <c r="L203" s="44"/>
      <c r="M203" s="44" t="str">
        <f t="shared" si="3"/>
        <v/>
      </c>
      <c r="N203" s="44" t="str">
        <f t="shared" si="4"/>
        <v/>
      </c>
      <c r="O203" s="44"/>
      <c r="P203" s="44"/>
      <c r="Q203" s="44"/>
      <c r="R203" s="44"/>
      <c r="S203" s="44"/>
      <c r="T203" s="44"/>
      <c r="U203" s="44"/>
      <c r="V203" s="44"/>
      <c r="W203" s="44"/>
      <c r="X203" s="44" t="s">
        <v>1159</v>
      </c>
      <c r="Y203" s="44" t="s">
        <v>1160</v>
      </c>
      <c r="Z203" s="44"/>
    </row>
    <row r="204" spans="1:26" ht="15.75" customHeight="1">
      <c r="A204" s="66" t="str">
        <f>IF(C204="","",VLOOKUP('Opći dio'!$C$3,'Opći dio'!$L$6:$U$137,10,FALSE))</f>
        <v/>
      </c>
      <c r="B204" s="66" t="str">
        <f>IF(C204="","",VLOOKUP('Opći dio'!$C$3,'Opći dio'!$L$6:$U$137,9,FALSE))</f>
        <v/>
      </c>
      <c r="C204" s="71"/>
      <c r="D204" s="66" t="str">
        <f t="shared" si="0"/>
        <v/>
      </c>
      <c r="E204" s="71"/>
      <c r="F204" s="66" t="str">
        <f t="shared" si="49"/>
        <v/>
      </c>
      <c r="G204" s="71"/>
      <c r="H204" s="66" t="str">
        <f t="shared" si="50"/>
        <v/>
      </c>
      <c r="I204" s="59"/>
      <c r="J204" s="59"/>
      <c r="K204" s="59"/>
      <c r="L204" s="44"/>
      <c r="M204" s="44" t="str">
        <f t="shared" si="3"/>
        <v/>
      </c>
      <c r="N204" s="44" t="str">
        <f t="shared" si="4"/>
        <v/>
      </c>
      <c r="O204" s="44"/>
      <c r="P204" s="44"/>
      <c r="Q204" s="44"/>
      <c r="R204" s="44"/>
      <c r="S204" s="44"/>
      <c r="T204" s="44"/>
      <c r="U204" s="44"/>
      <c r="V204" s="44"/>
      <c r="W204" s="44"/>
      <c r="X204" s="44" t="s">
        <v>1161</v>
      </c>
      <c r="Y204" s="44" t="s">
        <v>1162</v>
      </c>
      <c r="Z204" s="44"/>
    </row>
    <row r="205" spans="1:26" ht="15.75" customHeight="1">
      <c r="A205" s="66" t="str">
        <f>IF(C205="","",VLOOKUP('Opći dio'!$C$3,'Opći dio'!$L$6:$U$137,10,FALSE))</f>
        <v/>
      </c>
      <c r="B205" s="66" t="str">
        <f>IF(C205="","",VLOOKUP('Opći dio'!$C$3,'Opći dio'!$L$6:$U$137,9,FALSE))</f>
        <v/>
      </c>
      <c r="C205" s="71"/>
      <c r="D205" s="66" t="str">
        <f t="shared" si="0"/>
        <v/>
      </c>
      <c r="E205" s="71"/>
      <c r="F205" s="66" t="str">
        <f t="shared" ref="F205:F268" si="51">IFERROR(VLOOKUP(E205,$R$5:$T$109,2,FALSE),"")</f>
        <v/>
      </c>
      <c r="G205" s="71"/>
      <c r="H205" s="66" t="str">
        <f t="shared" si="50"/>
        <v/>
      </c>
      <c r="I205" s="59"/>
      <c r="J205" s="59"/>
      <c r="K205" s="59"/>
      <c r="L205" s="44"/>
      <c r="M205" s="44" t="str">
        <f t="shared" si="3"/>
        <v/>
      </c>
      <c r="N205" s="44" t="str">
        <f t="shared" si="4"/>
        <v/>
      </c>
      <c r="O205" s="44"/>
      <c r="P205" s="44"/>
      <c r="Q205" s="44"/>
      <c r="R205" s="44"/>
      <c r="S205" s="44"/>
      <c r="T205" s="44"/>
      <c r="U205" s="44"/>
      <c r="V205" s="44"/>
      <c r="W205" s="44"/>
      <c r="X205" s="44" t="s">
        <v>1163</v>
      </c>
      <c r="Y205" s="44" t="s">
        <v>1164</v>
      </c>
      <c r="Z205" s="44"/>
    </row>
    <row r="206" spans="1:26" ht="15.75" customHeight="1">
      <c r="A206" s="66" t="str">
        <f>IF(C206="","",VLOOKUP('Opći dio'!$C$3,'Opći dio'!$L$6:$U$137,10,FALSE))</f>
        <v/>
      </c>
      <c r="B206" s="66" t="str">
        <f>IF(C206="","",VLOOKUP('Opći dio'!$C$3,'Opći dio'!$L$6:$U$137,9,FALSE))</f>
        <v/>
      </c>
      <c r="C206" s="71"/>
      <c r="D206" s="66" t="str">
        <f t="shared" si="0"/>
        <v/>
      </c>
      <c r="E206" s="71"/>
      <c r="F206" s="66" t="str">
        <f t="shared" si="51"/>
        <v/>
      </c>
      <c r="G206" s="71"/>
      <c r="H206" s="66" t="str">
        <f t="shared" si="50"/>
        <v/>
      </c>
      <c r="I206" s="59"/>
      <c r="J206" s="59"/>
      <c r="K206" s="59"/>
      <c r="L206" s="44"/>
      <c r="M206" s="44" t="str">
        <f t="shared" si="3"/>
        <v/>
      </c>
      <c r="N206" s="44" t="str">
        <f t="shared" si="4"/>
        <v/>
      </c>
      <c r="O206" s="44"/>
      <c r="P206" s="44"/>
      <c r="Q206" s="44"/>
      <c r="R206" s="44"/>
      <c r="S206" s="44"/>
      <c r="T206" s="44"/>
      <c r="U206" s="44"/>
      <c r="V206" s="44"/>
      <c r="W206" s="44"/>
      <c r="X206" s="44" t="s">
        <v>1165</v>
      </c>
      <c r="Y206" s="44" t="s">
        <v>1166</v>
      </c>
      <c r="Z206" s="44"/>
    </row>
    <row r="207" spans="1:26" ht="15.75" customHeight="1">
      <c r="A207" s="66" t="str">
        <f>IF(C207="","",VLOOKUP('Opći dio'!$C$3,'Opći dio'!$L$6:$U$137,10,FALSE))</f>
        <v/>
      </c>
      <c r="B207" s="66" t="str">
        <f>IF(C207="","",VLOOKUP('Opći dio'!$C$3,'Opći dio'!$L$6:$U$137,9,FALSE))</f>
        <v/>
      </c>
      <c r="C207" s="71"/>
      <c r="D207" s="66" t="str">
        <f t="shared" si="0"/>
        <v/>
      </c>
      <c r="E207" s="71"/>
      <c r="F207" s="66" t="str">
        <f t="shared" si="51"/>
        <v/>
      </c>
      <c r="G207" s="71"/>
      <c r="H207" s="66" t="str">
        <f t="shared" si="50"/>
        <v/>
      </c>
      <c r="I207" s="59"/>
      <c r="J207" s="59"/>
      <c r="K207" s="59"/>
      <c r="L207" s="44"/>
      <c r="M207" s="44" t="str">
        <f t="shared" si="3"/>
        <v/>
      </c>
      <c r="N207" s="44" t="str">
        <f t="shared" si="4"/>
        <v/>
      </c>
      <c r="O207" s="44"/>
      <c r="P207" s="44"/>
      <c r="Q207" s="44"/>
      <c r="R207" s="44"/>
      <c r="S207" s="44"/>
      <c r="T207" s="44"/>
      <c r="U207" s="44"/>
      <c r="V207" s="44"/>
      <c r="W207" s="44"/>
      <c r="X207" s="44" t="s">
        <v>1167</v>
      </c>
      <c r="Y207" s="44" t="s">
        <v>1168</v>
      </c>
      <c r="Z207" s="44"/>
    </row>
    <row r="208" spans="1:26" ht="15.75" customHeight="1">
      <c r="A208" s="66" t="str">
        <f>IF(C208="","",VLOOKUP('Opći dio'!$C$3,'Opći dio'!$L$6:$U$137,10,FALSE))</f>
        <v/>
      </c>
      <c r="B208" s="66" t="str">
        <f>IF(C208="","",VLOOKUP('Opći dio'!$C$3,'Opći dio'!$L$6:$U$137,9,FALSE))</f>
        <v/>
      </c>
      <c r="C208" s="71"/>
      <c r="D208" s="66" t="str">
        <f t="shared" si="0"/>
        <v/>
      </c>
      <c r="E208" s="71"/>
      <c r="F208" s="66" t="str">
        <f t="shared" si="51"/>
        <v/>
      </c>
      <c r="G208" s="71"/>
      <c r="H208" s="66" t="str">
        <f t="shared" si="50"/>
        <v/>
      </c>
      <c r="I208" s="59"/>
      <c r="J208" s="59"/>
      <c r="K208" s="59"/>
      <c r="L208" s="44"/>
      <c r="M208" s="44" t="str">
        <f t="shared" si="3"/>
        <v/>
      </c>
      <c r="N208" s="44" t="str">
        <f t="shared" si="4"/>
        <v/>
      </c>
      <c r="O208" s="44"/>
      <c r="P208" s="44"/>
      <c r="Q208" s="44"/>
      <c r="R208" s="44"/>
      <c r="S208" s="44"/>
      <c r="T208" s="44"/>
      <c r="U208" s="44"/>
      <c r="V208" s="44"/>
      <c r="W208" s="44"/>
      <c r="X208" s="44" t="s">
        <v>1169</v>
      </c>
      <c r="Y208" s="44" t="s">
        <v>1170</v>
      </c>
      <c r="Z208" s="44"/>
    </row>
    <row r="209" spans="1:26" ht="15.75" customHeight="1">
      <c r="A209" s="66" t="str">
        <f>IF(C209="","",VLOOKUP('Opći dio'!$C$3,'Opći dio'!$L$6:$U$137,10,FALSE))</f>
        <v/>
      </c>
      <c r="B209" s="66" t="str">
        <f>IF(C209="","",VLOOKUP('Opći dio'!$C$3,'Opći dio'!$L$6:$U$137,9,FALSE))</f>
        <v/>
      </c>
      <c r="C209" s="71"/>
      <c r="D209" s="66" t="str">
        <f t="shared" si="0"/>
        <v/>
      </c>
      <c r="E209" s="71"/>
      <c r="F209" s="66" t="str">
        <f t="shared" si="51"/>
        <v/>
      </c>
      <c r="G209" s="71"/>
      <c r="H209" s="66" t="str">
        <f t="shared" si="50"/>
        <v/>
      </c>
      <c r="I209" s="59"/>
      <c r="J209" s="59"/>
      <c r="K209" s="59"/>
      <c r="L209" s="44"/>
      <c r="M209" s="44" t="str">
        <f t="shared" si="3"/>
        <v/>
      </c>
      <c r="N209" s="44" t="str">
        <f t="shared" si="4"/>
        <v/>
      </c>
      <c r="O209" s="44"/>
      <c r="P209" s="44"/>
      <c r="Q209" s="44"/>
      <c r="R209" s="44"/>
      <c r="S209" s="44"/>
      <c r="T209" s="44"/>
      <c r="U209" s="44"/>
      <c r="V209" s="44"/>
      <c r="W209" s="44"/>
      <c r="X209" s="44" t="s">
        <v>1171</v>
      </c>
      <c r="Y209" s="44" t="s">
        <v>1172</v>
      </c>
      <c r="Z209" s="44"/>
    </row>
    <row r="210" spans="1:26" ht="15.75" customHeight="1">
      <c r="A210" s="66" t="str">
        <f>IF(C210="","",VLOOKUP('Opći dio'!$C$3,'Opći dio'!$L$6:$U$137,10,FALSE))</f>
        <v/>
      </c>
      <c r="B210" s="66" t="str">
        <f>IF(C210="","",VLOOKUP('Opći dio'!$C$3,'Opći dio'!$L$6:$U$137,9,FALSE))</f>
        <v/>
      </c>
      <c r="C210" s="71"/>
      <c r="D210" s="66" t="str">
        <f t="shared" si="0"/>
        <v/>
      </c>
      <c r="E210" s="71"/>
      <c r="F210" s="66" t="str">
        <f t="shared" si="51"/>
        <v/>
      </c>
      <c r="G210" s="71"/>
      <c r="H210" s="66" t="str">
        <f t="shared" si="50"/>
        <v/>
      </c>
      <c r="I210" s="59"/>
      <c r="J210" s="59"/>
      <c r="K210" s="59"/>
      <c r="L210" s="44"/>
      <c r="M210" s="44" t="str">
        <f t="shared" si="3"/>
        <v/>
      </c>
      <c r="N210" s="44" t="str">
        <f t="shared" si="4"/>
        <v/>
      </c>
      <c r="O210" s="44"/>
      <c r="P210" s="44"/>
      <c r="Q210" s="44"/>
      <c r="R210" s="44"/>
      <c r="S210" s="44"/>
      <c r="T210" s="44"/>
      <c r="U210" s="44"/>
      <c r="V210" s="44"/>
      <c r="W210" s="44"/>
      <c r="X210" s="44" t="s">
        <v>1173</v>
      </c>
      <c r="Y210" s="44" t="s">
        <v>1174</v>
      </c>
      <c r="Z210" s="44"/>
    </row>
    <row r="211" spans="1:26" ht="15.75" customHeight="1">
      <c r="A211" s="66" t="str">
        <f>IF(C211="","",VLOOKUP('Opći dio'!$C$3,'Opći dio'!$L$6:$U$137,10,FALSE))</f>
        <v/>
      </c>
      <c r="B211" s="66" t="str">
        <f>IF(C211="","",VLOOKUP('Opći dio'!$C$3,'Opći dio'!$L$6:$U$137,9,FALSE))</f>
        <v/>
      </c>
      <c r="C211" s="71"/>
      <c r="D211" s="66" t="str">
        <f t="shared" si="0"/>
        <v/>
      </c>
      <c r="E211" s="71"/>
      <c r="F211" s="66" t="str">
        <f t="shared" si="51"/>
        <v/>
      </c>
      <c r="G211" s="71"/>
      <c r="H211" s="66" t="str">
        <f t="shared" si="50"/>
        <v/>
      </c>
      <c r="I211" s="59"/>
      <c r="J211" s="59"/>
      <c r="K211" s="59"/>
      <c r="L211" s="44"/>
      <c r="M211" s="44" t="str">
        <f t="shared" si="3"/>
        <v/>
      </c>
      <c r="N211" s="44" t="str">
        <f t="shared" si="4"/>
        <v/>
      </c>
      <c r="O211" s="44"/>
      <c r="P211" s="44"/>
      <c r="Q211" s="44"/>
      <c r="R211" s="44"/>
      <c r="S211" s="44"/>
      <c r="T211" s="44"/>
      <c r="U211" s="44"/>
      <c r="V211" s="44"/>
      <c r="W211" s="44"/>
      <c r="X211" s="44" t="s">
        <v>1175</v>
      </c>
      <c r="Y211" s="44" t="s">
        <v>1176</v>
      </c>
      <c r="Z211" s="44"/>
    </row>
    <row r="212" spans="1:26" ht="15.75" customHeight="1">
      <c r="A212" s="66" t="str">
        <f>IF(C212="","",VLOOKUP('Opći dio'!$C$3,'Opći dio'!$L$6:$U$137,10,FALSE))</f>
        <v/>
      </c>
      <c r="B212" s="66" t="str">
        <f>IF(C212="","",VLOOKUP('Opći dio'!$C$3,'Opći dio'!$L$6:$U$137,9,FALSE))</f>
        <v/>
      </c>
      <c r="C212" s="71"/>
      <c r="D212" s="66" t="str">
        <f t="shared" si="0"/>
        <v/>
      </c>
      <c r="E212" s="71"/>
      <c r="F212" s="66" t="str">
        <f t="shared" si="51"/>
        <v/>
      </c>
      <c r="G212" s="71"/>
      <c r="H212" s="66" t="str">
        <f t="shared" si="50"/>
        <v/>
      </c>
      <c r="I212" s="59"/>
      <c r="J212" s="59"/>
      <c r="K212" s="59"/>
      <c r="L212" s="44"/>
      <c r="M212" s="44" t="str">
        <f t="shared" si="3"/>
        <v/>
      </c>
      <c r="N212" s="44" t="str">
        <f t="shared" si="4"/>
        <v/>
      </c>
      <c r="O212" s="44"/>
      <c r="P212" s="44"/>
      <c r="Q212" s="44"/>
      <c r="R212" s="44"/>
      <c r="S212" s="44"/>
      <c r="T212" s="44"/>
      <c r="U212" s="44"/>
      <c r="V212" s="44"/>
      <c r="W212" s="44"/>
      <c r="X212" s="44" t="s">
        <v>1177</v>
      </c>
      <c r="Y212" s="44" t="s">
        <v>1178</v>
      </c>
      <c r="Z212" s="44"/>
    </row>
    <row r="213" spans="1:26" ht="15.75" customHeight="1">
      <c r="A213" s="66" t="str">
        <f>IF(C213="","",VLOOKUP('Opći dio'!$C$3,'Opći dio'!$L$6:$U$137,10,FALSE))</f>
        <v/>
      </c>
      <c r="B213" s="66" t="str">
        <f>IF(C213="","",VLOOKUP('Opći dio'!$C$3,'Opći dio'!$L$6:$U$137,9,FALSE))</f>
        <v/>
      </c>
      <c r="C213" s="71"/>
      <c r="D213" s="66" t="str">
        <f t="shared" si="0"/>
        <v/>
      </c>
      <c r="E213" s="71"/>
      <c r="F213" s="66" t="str">
        <f t="shared" si="51"/>
        <v/>
      </c>
      <c r="G213" s="71"/>
      <c r="H213" s="66" t="str">
        <f t="shared" si="50"/>
        <v/>
      </c>
      <c r="I213" s="59"/>
      <c r="J213" s="59"/>
      <c r="K213" s="59"/>
      <c r="L213" s="44"/>
      <c r="M213" s="44" t="str">
        <f t="shared" si="3"/>
        <v/>
      </c>
      <c r="N213" s="44" t="str">
        <f t="shared" si="4"/>
        <v/>
      </c>
      <c r="O213" s="44"/>
      <c r="P213" s="44"/>
      <c r="Q213" s="44"/>
      <c r="R213" s="44"/>
      <c r="S213" s="44"/>
      <c r="T213" s="44"/>
      <c r="U213" s="44"/>
      <c r="V213" s="44"/>
      <c r="W213" s="44"/>
      <c r="X213" s="44" t="s">
        <v>1179</v>
      </c>
      <c r="Y213" s="44" t="s">
        <v>1180</v>
      </c>
      <c r="Z213" s="44"/>
    </row>
    <row r="214" spans="1:26" ht="15.75" customHeight="1">
      <c r="A214" s="66" t="str">
        <f>IF(C214="","",VLOOKUP('Opći dio'!$C$3,'Opći dio'!$L$6:$U$137,10,FALSE))</f>
        <v/>
      </c>
      <c r="B214" s="66" t="str">
        <f>IF(C214="","",VLOOKUP('Opći dio'!$C$3,'Opći dio'!$L$6:$U$137,9,FALSE))</f>
        <v/>
      </c>
      <c r="C214" s="71"/>
      <c r="D214" s="66" t="str">
        <f t="shared" si="0"/>
        <v/>
      </c>
      <c r="E214" s="71"/>
      <c r="F214" s="66" t="str">
        <f t="shared" si="51"/>
        <v/>
      </c>
      <c r="G214" s="71"/>
      <c r="H214" s="66" t="str">
        <f t="shared" si="50"/>
        <v/>
      </c>
      <c r="I214" s="59"/>
      <c r="J214" s="59"/>
      <c r="K214" s="59"/>
      <c r="L214" s="44"/>
      <c r="M214" s="44" t="str">
        <f t="shared" si="3"/>
        <v/>
      </c>
      <c r="N214" s="44" t="str">
        <f t="shared" si="4"/>
        <v/>
      </c>
      <c r="O214" s="44"/>
      <c r="P214" s="44"/>
      <c r="Q214" s="44"/>
      <c r="R214" s="44"/>
      <c r="S214" s="44"/>
      <c r="T214" s="44"/>
      <c r="U214" s="44"/>
      <c r="V214" s="44"/>
      <c r="W214" s="44"/>
      <c r="X214" s="44" t="s">
        <v>1181</v>
      </c>
      <c r="Y214" s="44" t="s">
        <v>1142</v>
      </c>
      <c r="Z214" s="44"/>
    </row>
    <row r="215" spans="1:26" ht="15.75" customHeight="1">
      <c r="A215" s="66" t="str">
        <f>IF(C215="","",VLOOKUP('Opći dio'!$C$3,'Opći dio'!$L$6:$U$137,10,FALSE))</f>
        <v/>
      </c>
      <c r="B215" s="66" t="str">
        <f>IF(C215="","",VLOOKUP('Opći dio'!$C$3,'Opći dio'!$L$6:$U$137,9,FALSE))</f>
        <v/>
      </c>
      <c r="C215" s="71"/>
      <c r="D215" s="66" t="str">
        <f t="shared" si="0"/>
        <v/>
      </c>
      <c r="E215" s="71"/>
      <c r="F215" s="66" t="str">
        <f t="shared" si="51"/>
        <v/>
      </c>
      <c r="G215" s="71"/>
      <c r="H215" s="66" t="str">
        <f t="shared" si="50"/>
        <v/>
      </c>
      <c r="I215" s="59"/>
      <c r="J215" s="59"/>
      <c r="K215" s="59"/>
      <c r="L215" s="44"/>
      <c r="M215" s="44" t="str">
        <f t="shared" si="3"/>
        <v/>
      </c>
      <c r="N215" s="44" t="str">
        <f t="shared" si="4"/>
        <v/>
      </c>
      <c r="O215" s="44"/>
      <c r="P215" s="44"/>
      <c r="Q215" s="44"/>
      <c r="R215" s="44"/>
      <c r="S215" s="44"/>
      <c r="T215" s="44"/>
      <c r="U215" s="44"/>
      <c r="V215" s="44"/>
      <c r="W215" s="44"/>
      <c r="X215" s="44" t="s">
        <v>1182</v>
      </c>
      <c r="Y215" s="44" t="s">
        <v>1183</v>
      </c>
      <c r="Z215" s="44"/>
    </row>
    <row r="216" spans="1:26" ht="15.75" customHeight="1">
      <c r="A216" s="66" t="str">
        <f>IF(C216="","",VLOOKUP('Opći dio'!$C$3,'Opći dio'!$L$6:$U$137,10,FALSE))</f>
        <v/>
      </c>
      <c r="B216" s="66" t="str">
        <f>IF(C216="","",VLOOKUP('Opći dio'!$C$3,'Opći dio'!$L$6:$U$137,9,FALSE))</f>
        <v/>
      </c>
      <c r="C216" s="71"/>
      <c r="D216" s="66" t="str">
        <f t="shared" si="0"/>
        <v/>
      </c>
      <c r="E216" s="71"/>
      <c r="F216" s="66" t="str">
        <f t="shared" si="51"/>
        <v/>
      </c>
      <c r="G216" s="71"/>
      <c r="H216" s="66" t="str">
        <f t="shared" si="50"/>
        <v/>
      </c>
      <c r="I216" s="59"/>
      <c r="J216" s="59"/>
      <c r="K216" s="59"/>
      <c r="L216" s="44"/>
      <c r="M216" s="44" t="str">
        <f t="shared" si="3"/>
        <v/>
      </c>
      <c r="N216" s="44" t="str">
        <f t="shared" si="4"/>
        <v/>
      </c>
      <c r="O216" s="44"/>
      <c r="P216" s="44"/>
      <c r="Q216" s="44"/>
      <c r="R216" s="44"/>
      <c r="S216" s="44"/>
      <c r="T216" s="44"/>
      <c r="U216" s="44"/>
      <c r="V216" s="44"/>
      <c r="W216" s="44"/>
      <c r="X216" s="44" t="s">
        <v>1184</v>
      </c>
      <c r="Y216" s="44" t="s">
        <v>1185</v>
      </c>
      <c r="Z216" s="44"/>
    </row>
    <row r="217" spans="1:26" ht="15.75" customHeight="1">
      <c r="A217" s="66" t="str">
        <f>IF(C217="","",VLOOKUP('Opći dio'!$C$3,'Opći dio'!$L$6:$U$137,10,FALSE))</f>
        <v/>
      </c>
      <c r="B217" s="66" t="str">
        <f>IF(C217="","",VLOOKUP('Opći dio'!$C$3,'Opći dio'!$L$6:$U$137,9,FALSE))</f>
        <v/>
      </c>
      <c r="C217" s="71"/>
      <c r="D217" s="66" t="str">
        <f t="shared" si="0"/>
        <v/>
      </c>
      <c r="E217" s="71"/>
      <c r="F217" s="66" t="str">
        <f t="shared" si="51"/>
        <v/>
      </c>
      <c r="G217" s="71"/>
      <c r="H217" s="66" t="str">
        <f t="shared" si="50"/>
        <v/>
      </c>
      <c r="I217" s="59"/>
      <c r="J217" s="59"/>
      <c r="K217" s="59"/>
      <c r="L217" s="44"/>
      <c r="M217" s="44" t="str">
        <f t="shared" si="3"/>
        <v/>
      </c>
      <c r="N217" s="44" t="str">
        <f t="shared" si="4"/>
        <v/>
      </c>
      <c r="O217" s="44"/>
      <c r="P217" s="44"/>
      <c r="Q217" s="44"/>
      <c r="R217" s="44"/>
      <c r="S217" s="44"/>
      <c r="T217" s="44"/>
      <c r="U217" s="44"/>
      <c r="V217" s="44"/>
      <c r="W217" s="44"/>
      <c r="X217" s="44" t="s">
        <v>1186</v>
      </c>
      <c r="Y217" s="44" t="s">
        <v>1187</v>
      </c>
      <c r="Z217" s="44"/>
    </row>
    <row r="218" spans="1:26" ht="15.75" customHeight="1">
      <c r="A218" s="66" t="str">
        <f>IF(C218="","",VLOOKUP('Opći dio'!$C$3,'Opći dio'!$L$6:$U$137,10,FALSE))</f>
        <v/>
      </c>
      <c r="B218" s="66" t="str">
        <f>IF(C218="","",VLOOKUP('Opći dio'!$C$3,'Opći dio'!$L$6:$U$137,9,FALSE))</f>
        <v/>
      </c>
      <c r="C218" s="71"/>
      <c r="D218" s="66" t="str">
        <f t="shared" si="0"/>
        <v/>
      </c>
      <c r="E218" s="71"/>
      <c r="F218" s="66" t="str">
        <f t="shared" si="51"/>
        <v/>
      </c>
      <c r="G218" s="71"/>
      <c r="H218" s="66" t="str">
        <f t="shared" si="50"/>
        <v/>
      </c>
      <c r="I218" s="59"/>
      <c r="J218" s="59"/>
      <c r="K218" s="59"/>
      <c r="L218" s="44"/>
      <c r="M218" s="44" t="str">
        <f t="shared" si="3"/>
        <v/>
      </c>
      <c r="N218" s="44" t="str">
        <f t="shared" si="4"/>
        <v/>
      </c>
      <c r="O218" s="44"/>
      <c r="P218" s="44"/>
      <c r="Q218" s="44"/>
      <c r="R218" s="44"/>
      <c r="S218" s="44"/>
      <c r="T218" s="44"/>
      <c r="U218" s="44"/>
      <c r="V218" s="44"/>
      <c r="W218" s="44"/>
      <c r="X218" s="44" t="s">
        <v>1188</v>
      </c>
      <c r="Y218" s="44" t="s">
        <v>1189</v>
      </c>
      <c r="Z218" s="44"/>
    </row>
    <row r="219" spans="1:26" ht="15.75" customHeight="1">
      <c r="A219" s="66" t="str">
        <f>IF(C219="","",VLOOKUP('Opći dio'!$C$3,'Opći dio'!$L$6:$U$137,10,FALSE))</f>
        <v/>
      </c>
      <c r="B219" s="66" t="str">
        <f>IF(C219="","",VLOOKUP('Opći dio'!$C$3,'Opći dio'!$L$6:$U$137,9,FALSE))</f>
        <v/>
      </c>
      <c r="C219" s="71"/>
      <c r="D219" s="66" t="str">
        <f t="shared" si="0"/>
        <v/>
      </c>
      <c r="E219" s="71"/>
      <c r="F219" s="66" t="str">
        <f t="shared" si="51"/>
        <v/>
      </c>
      <c r="G219" s="71"/>
      <c r="H219" s="66" t="str">
        <f t="shared" si="50"/>
        <v/>
      </c>
      <c r="I219" s="59"/>
      <c r="J219" s="59"/>
      <c r="K219" s="59"/>
      <c r="L219" s="44"/>
      <c r="M219" s="44" t="str">
        <f t="shared" si="3"/>
        <v/>
      </c>
      <c r="N219" s="44" t="str">
        <f t="shared" si="4"/>
        <v/>
      </c>
      <c r="O219" s="44"/>
      <c r="P219" s="44"/>
      <c r="Q219" s="44"/>
      <c r="R219" s="44"/>
      <c r="S219" s="44"/>
      <c r="T219" s="44"/>
      <c r="U219" s="44"/>
      <c r="V219" s="44"/>
      <c r="W219" s="44"/>
      <c r="X219" s="44" t="s">
        <v>1190</v>
      </c>
      <c r="Y219" s="44" t="s">
        <v>1191</v>
      </c>
      <c r="Z219" s="44"/>
    </row>
    <row r="220" spans="1:26" ht="15.75" customHeight="1">
      <c r="A220" s="66" t="str">
        <f>IF(C220="","",VLOOKUP('Opći dio'!$C$3,'Opći dio'!$L$6:$U$137,10,FALSE))</f>
        <v/>
      </c>
      <c r="B220" s="66" t="str">
        <f>IF(C220="","",VLOOKUP('Opći dio'!$C$3,'Opći dio'!$L$6:$U$137,9,FALSE))</f>
        <v/>
      </c>
      <c r="C220" s="71"/>
      <c r="D220" s="66" t="str">
        <f t="shared" si="0"/>
        <v/>
      </c>
      <c r="E220" s="71"/>
      <c r="F220" s="66" t="str">
        <f t="shared" si="51"/>
        <v/>
      </c>
      <c r="G220" s="71"/>
      <c r="H220" s="66" t="str">
        <f t="shared" si="50"/>
        <v/>
      </c>
      <c r="I220" s="59"/>
      <c r="J220" s="59"/>
      <c r="K220" s="59"/>
      <c r="L220" s="44"/>
      <c r="M220" s="44" t="str">
        <f t="shared" si="3"/>
        <v/>
      </c>
      <c r="N220" s="44" t="str">
        <f t="shared" si="4"/>
        <v/>
      </c>
      <c r="O220" s="44"/>
      <c r="P220" s="44"/>
      <c r="Q220" s="44"/>
      <c r="R220" s="44"/>
      <c r="S220" s="44"/>
      <c r="T220" s="44"/>
      <c r="U220" s="44"/>
      <c r="V220" s="44"/>
      <c r="W220" s="44"/>
      <c r="X220" s="44" t="s">
        <v>1192</v>
      </c>
      <c r="Y220" s="44" t="s">
        <v>1193</v>
      </c>
      <c r="Z220" s="44"/>
    </row>
    <row r="221" spans="1:26" ht="15.75" customHeight="1">
      <c r="A221" s="66" t="str">
        <f>IF(C221="","",VLOOKUP('Opći dio'!$C$3,'Opći dio'!$L$6:$U$137,10,FALSE))</f>
        <v/>
      </c>
      <c r="B221" s="66" t="str">
        <f>IF(C221="","",VLOOKUP('Opći dio'!$C$3,'Opći dio'!$L$6:$U$137,9,FALSE))</f>
        <v/>
      </c>
      <c r="C221" s="71"/>
      <c r="D221" s="66" t="str">
        <f t="shared" si="0"/>
        <v/>
      </c>
      <c r="E221" s="71"/>
      <c r="F221" s="66" t="str">
        <f t="shared" si="51"/>
        <v/>
      </c>
      <c r="G221" s="71"/>
      <c r="H221" s="66" t="str">
        <f t="shared" si="50"/>
        <v/>
      </c>
      <c r="I221" s="59"/>
      <c r="J221" s="59"/>
      <c r="K221" s="59"/>
      <c r="L221" s="44"/>
      <c r="M221" s="44" t="str">
        <f t="shared" si="3"/>
        <v/>
      </c>
      <c r="N221" s="44" t="str">
        <f t="shared" si="4"/>
        <v/>
      </c>
      <c r="O221" s="44"/>
      <c r="P221" s="44"/>
      <c r="Q221" s="44"/>
      <c r="R221" s="44"/>
      <c r="S221" s="44"/>
      <c r="T221" s="44"/>
      <c r="U221" s="44"/>
      <c r="V221" s="44"/>
      <c r="W221" s="44"/>
      <c r="X221" s="44" t="s">
        <v>1194</v>
      </c>
      <c r="Y221" s="44" t="s">
        <v>1195</v>
      </c>
      <c r="Z221" s="44"/>
    </row>
    <row r="222" spans="1:26" ht="15.75" customHeight="1">
      <c r="A222" s="66" t="str">
        <f>IF(C222="","",VLOOKUP('Opći dio'!$C$3,'Opći dio'!$L$6:$U$137,10,FALSE))</f>
        <v/>
      </c>
      <c r="B222" s="66" t="str">
        <f>IF(C222="","",VLOOKUP('Opći dio'!$C$3,'Opći dio'!$L$6:$U$137,9,FALSE))</f>
        <v/>
      </c>
      <c r="C222" s="71"/>
      <c r="D222" s="66" t="str">
        <f t="shared" si="0"/>
        <v/>
      </c>
      <c r="E222" s="71"/>
      <c r="F222" s="66" t="str">
        <f t="shared" si="51"/>
        <v/>
      </c>
      <c r="G222" s="71"/>
      <c r="H222" s="66" t="str">
        <f t="shared" si="50"/>
        <v/>
      </c>
      <c r="I222" s="59"/>
      <c r="J222" s="59"/>
      <c r="K222" s="59"/>
      <c r="L222" s="44"/>
      <c r="M222" s="44" t="str">
        <f t="shared" si="3"/>
        <v/>
      </c>
      <c r="N222" s="44" t="str">
        <f t="shared" si="4"/>
        <v/>
      </c>
      <c r="O222" s="44"/>
      <c r="P222" s="44"/>
      <c r="Q222" s="44"/>
      <c r="R222" s="44"/>
      <c r="S222" s="44"/>
      <c r="T222" s="44"/>
      <c r="U222" s="44"/>
      <c r="V222" s="44"/>
      <c r="W222" s="44"/>
      <c r="X222" s="44" t="s">
        <v>1196</v>
      </c>
      <c r="Y222" s="44" t="s">
        <v>1197</v>
      </c>
      <c r="Z222" s="44"/>
    </row>
    <row r="223" spans="1:26" ht="15.75" customHeight="1">
      <c r="A223" s="66" t="str">
        <f>IF(C223="","",VLOOKUP('Opći dio'!$C$3,'Opći dio'!$L$6:$U$137,10,FALSE))</f>
        <v/>
      </c>
      <c r="B223" s="66" t="str">
        <f>IF(C223="","",VLOOKUP('Opći dio'!$C$3,'Opći dio'!$L$6:$U$137,9,FALSE))</f>
        <v/>
      </c>
      <c r="C223" s="71"/>
      <c r="D223" s="66" t="str">
        <f t="shared" si="0"/>
        <v/>
      </c>
      <c r="E223" s="71"/>
      <c r="F223" s="66" t="str">
        <f t="shared" si="51"/>
        <v/>
      </c>
      <c r="G223" s="71"/>
      <c r="H223" s="66" t="str">
        <f t="shared" si="50"/>
        <v/>
      </c>
      <c r="I223" s="59"/>
      <c r="J223" s="59"/>
      <c r="K223" s="59"/>
      <c r="L223" s="44"/>
      <c r="M223" s="44" t="str">
        <f t="shared" si="3"/>
        <v/>
      </c>
      <c r="N223" s="44" t="str">
        <f t="shared" si="4"/>
        <v/>
      </c>
      <c r="O223" s="44"/>
      <c r="P223" s="44"/>
      <c r="Q223" s="44"/>
      <c r="R223" s="44"/>
      <c r="S223" s="44"/>
      <c r="T223" s="44"/>
      <c r="U223" s="44"/>
      <c r="V223" s="44"/>
      <c r="W223" s="44"/>
      <c r="X223" s="44" t="s">
        <v>1198</v>
      </c>
      <c r="Y223" s="44" t="s">
        <v>1199</v>
      </c>
      <c r="Z223" s="44"/>
    </row>
    <row r="224" spans="1:26" ht="15.75" customHeight="1">
      <c r="A224" s="66" t="str">
        <f>IF(C224="","",VLOOKUP('Opći dio'!$C$3,'Opći dio'!$L$6:$U$137,10,FALSE))</f>
        <v/>
      </c>
      <c r="B224" s="66" t="str">
        <f>IF(C224="","",VLOOKUP('Opći dio'!$C$3,'Opći dio'!$L$6:$U$137,9,FALSE))</f>
        <v/>
      </c>
      <c r="C224" s="71"/>
      <c r="D224" s="66" t="str">
        <f t="shared" si="0"/>
        <v/>
      </c>
      <c r="E224" s="71"/>
      <c r="F224" s="66" t="str">
        <f t="shared" si="51"/>
        <v/>
      </c>
      <c r="G224" s="71"/>
      <c r="H224" s="66" t="str">
        <f t="shared" si="50"/>
        <v/>
      </c>
      <c r="I224" s="59"/>
      <c r="J224" s="59"/>
      <c r="K224" s="59"/>
      <c r="L224" s="44"/>
      <c r="M224" s="44" t="str">
        <f t="shared" si="3"/>
        <v/>
      </c>
      <c r="N224" s="44" t="str">
        <f t="shared" si="4"/>
        <v/>
      </c>
      <c r="O224" s="44"/>
      <c r="P224" s="44"/>
      <c r="Q224" s="44"/>
      <c r="R224" s="44"/>
      <c r="S224" s="44"/>
      <c r="T224" s="44"/>
      <c r="U224" s="44"/>
      <c r="V224" s="44"/>
      <c r="W224" s="44"/>
      <c r="X224" s="44" t="s">
        <v>1200</v>
      </c>
      <c r="Y224" s="44" t="s">
        <v>1201</v>
      </c>
      <c r="Z224" s="44"/>
    </row>
    <row r="225" spans="1:26" ht="15.75" customHeight="1">
      <c r="A225" s="66" t="str">
        <f>IF(C225="","",VLOOKUP('Opći dio'!$C$3,'Opći dio'!$L$6:$U$137,10,FALSE))</f>
        <v/>
      </c>
      <c r="B225" s="66" t="str">
        <f>IF(C225="","",VLOOKUP('Opći dio'!$C$3,'Opći dio'!$L$6:$U$137,9,FALSE))</f>
        <v/>
      </c>
      <c r="C225" s="71"/>
      <c r="D225" s="66" t="str">
        <f t="shared" si="0"/>
        <v/>
      </c>
      <c r="E225" s="71"/>
      <c r="F225" s="66" t="str">
        <f t="shared" si="51"/>
        <v/>
      </c>
      <c r="G225" s="71"/>
      <c r="H225" s="66" t="str">
        <f t="shared" si="50"/>
        <v/>
      </c>
      <c r="I225" s="59"/>
      <c r="J225" s="59"/>
      <c r="K225" s="59"/>
      <c r="L225" s="44"/>
      <c r="M225" s="44" t="str">
        <f t="shared" si="3"/>
        <v/>
      </c>
      <c r="N225" s="44" t="str">
        <f t="shared" si="4"/>
        <v/>
      </c>
      <c r="O225" s="44"/>
      <c r="P225" s="44"/>
      <c r="Q225" s="44"/>
      <c r="R225" s="44"/>
      <c r="S225" s="44"/>
      <c r="T225" s="44"/>
      <c r="U225" s="44"/>
      <c r="V225" s="44"/>
      <c r="W225" s="44"/>
      <c r="X225" s="44" t="s">
        <v>1202</v>
      </c>
      <c r="Y225" s="44" t="s">
        <v>1203</v>
      </c>
      <c r="Z225" s="44"/>
    </row>
    <row r="226" spans="1:26" ht="15.75" customHeight="1">
      <c r="A226" s="66" t="str">
        <f>IF(C226="","",VLOOKUP('Opći dio'!$C$3,'Opći dio'!$L$6:$U$137,10,FALSE))</f>
        <v/>
      </c>
      <c r="B226" s="66" t="str">
        <f>IF(C226="","",VLOOKUP('Opći dio'!$C$3,'Opći dio'!$L$6:$U$137,9,FALSE))</f>
        <v/>
      </c>
      <c r="C226" s="71"/>
      <c r="D226" s="66" t="str">
        <f t="shared" si="0"/>
        <v/>
      </c>
      <c r="E226" s="71"/>
      <c r="F226" s="66" t="str">
        <f t="shared" si="51"/>
        <v/>
      </c>
      <c r="G226" s="71"/>
      <c r="H226" s="66" t="str">
        <f t="shared" si="50"/>
        <v/>
      </c>
      <c r="I226" s="59"/>
      <c r="J226" s="59"/>
      <c r="K226" s="59"/>
      <c r="L226" s="44"/>
      <c r="M226" s="44" t="str">
        <f t="shared" si="3"/>
        <v/>
      </c>
      <c r="N226" s="44" t="str">
        <f t="shared" si="4"/>
        <v/>
      </c>
      <c r="O226" s="44"/>
      <c r="P226" s="44"/>
      <c r="Q226" s="44"/>
      <c r="R226" s="44"/>
      <c r="S226" s="44"/>
      <c r="T226" s="44"/>
      <c r="U226" s="44"/>
      <c r="V226" s="44"/>
      <c r="W226" s="44"/>
      <c r="X226" s="44" t="s">
        <v>1204</v>
      </c>
      <c r="Y226" s="44" t="s">
        <v>1205</v>
      </c>
      <c r="Z226" s="44"/>
    </row>
    <row r="227" spans="1:26" ht="15.75" customHeight="1">
      <c r="A227" s="66" t="str">
        <f>IF(C227="","",VLOOKUP('Opći dio'!$C$3,'Opći dio'!$L$6:$U$137,10,FALSE))</f>
        <v/>
      </c>
      <c r="B227" s="66" t="str">
        <f>IF(C227="","",VLOOKUP('Opći dio'!$C$3,'Opći dio'!$L$6:$U$137,9,FALSE))</f>
        <v/>
      </c>
      <c r="C227" s="71"/>
      <c r="D227" s="66" t="str">
        <f t="shared" si="0"/>
        <v/>
      </c>
      <c r="E227" s="71"/>
      <c r="F227" s="66" t="str">
        <f t="shared" si="51"/>
        <v/>
      </c>
      <c r="G227" s="71"/>
      <c r="H227" s="66" t="str">
        <f t="shared" si="50"/>
        <v/>
      </c>
      <c r="I227" s="59"/>
      <c r="J227" s="59"/>
      <c r="K227" s="59"/>
      <c r="L227" s="44"/>
      <c r="M227" s="44" t="str">
        <f t="shared" si="3"/>
        <v/>
      </c>
      <c r="N227" s="44" t="str">
        <f t="shared" si="4"/>
        <v/>
      </c>
      <c r="O227" s="44"/>
      <c r="P227" s="44"/>
      <c r="Q227" s="44"/>
      <c r="R227" s="44"/>
      <c r="S227" s="44"/>
      <c r="T227" s="44"/>
      <c r="U227" s="44"/>
      <c r="V227" s="44"/>
      <c r="W227" s="44"/>
      <c r="X227" s="44" t="s">
        <v>1206</v>
      </c>
      <c r="Y227" s="44" t="s">
        <v>1207</v>
      </c>
      <c r="Z227" s="44"/>
    </row>
    <row r="228" spans="1:26" ht="15.75" customHeight="1">
      <c r="A228" s="66" t="str">
        <f>IF(C228="","",VLOOKUP('Opći dio'!$C$3,'Opći dio'!$L$6:$U$137,10,FALSE))</f>
        <v/>
      </c>
      <c r="B228" s="66" t="str">
        <f>IF(C228="","",VLOOKUP('Opći dio'!$C$3,'Opći dio'!$L$6:$U$137,9,FALSE))</f>
        <v/>
      </c>
      <c r="C228" s="71"/>
      <c r="D228" s="66" t="str">
        <f t="shared" si="0"/>
        <v/>
      </c>
      <c r="E228" s="71"/>
      <c r="F228" s="66" t="str">
        <f t="shared" si="51"/>
        <v/>
      </c>
      <c r="G228" s="71"/>
      <c r="H228" s="66" t="str">
        <f t="shared" si="50"/>
        <v/>
      </c>
      <c r="I228" s="59"/>
      <c r="J228" s="59"/>
      <c r="K228" s="59"/>
      <c r="L228" s="44"/>
      <c r="M228" s="44" t="str">
        <f t="shared" si="3"/>
        <v/>
      </c>
      <c r="N228" s="44" t="str">
        <f t="shared" si="4"/>
        <v/>
      </c>
      <c r="O228" s="44"/>
      <c r="P228" s="44"/>
      <c r="Q228" s="44"/>
      <c r="R228" s="44"/>
      <c r="S228" s="44"/>
      <c r="T228" s="44"/>
      <c r="U228" s="44"/>
      <c r="V228" s="44"/>
      <c r="W228" s="44"/>
      <c r="X228" s="44" t="s">
        <v>1208</v>
      </c>
      <c r="Y228" s="44" t="s">
        <v>1209</v>
      </c>
      <c r="Z228" s="44"/>
    </row>
    <row r="229" spans="1:26" ht="15.75" customHeight="1">
      <c r="A229" s="66" t="str">
        <f>IF(C229="","",VLOOKUP('Opći dio'!$C$3,'Opći dio'!$L$6:$U$137,10,FALSE))</f>
        <v/>
      </c>
      <c r="B229" s="66" t="str">
        <f>IF(C229="","",VLOOKUP('Opći dio'!$C$3,'Opći dio'!$L$6:$U$137,9,FALSE))</f>
        <v/>
      </c>
      <c r="C229" s="71"/>
      <c r="D229" s="66" t="str">
        <f t="shared" si="0"/>
        <v/>
      </c>
      <c r="E229" s="71"/>
      <c r="F229" s="66" t="str">
        <f t="shared" si="51"/>
        <v/>
      </c>
      <c r="G229" s="71"/>
      <c r="H229" s="66" t="str">
        <f t="shared" si="50"/>
        <v/>
      </c>
      <c r="I229" s="59"/>
      <c r="J229" s="59"/>
      <c r="K229" s="59"/>
      <c r="L229" s="44"/>
      <c r="M229" s="44" t="str">
        <f t="shared" si="3"/>
        <v/>
      </c>
      <c r="N229" s="44" t="str">
        <f t="shared" si="4"/>
        <v/>
      </c>
      <c r="O229" s="44"/>
      <c r="P229" s="44"/>
      <c r="Q229" s="44"/>
      <c r="R229" s="44"/>
      <c r="S229" s="44"/>
      <c r="T229" s="44"/>
      <c r="U229" s="44"/>
      <c r="V229" s="44"/>
      <c r="W229" s="44"/>
      <c r="X229" s="44" t="s">
        <v>1210</v>
      </c>
      <c r="Y229" s="44" t="s">
        <v>1211</v>
      </c>
      <c r="Z229" s="44"/>
    </row>
    <row r="230" spans="1:26" ht="15.75" customHeight="1">
      <c r="A230" s="66" t="str">
        <f>IF(C230="","",VLOOKUP('Opći dio'!$C$3,'Opći dio'!$L$6:$U$137,10,FALSE))</f>
        <v/>
      </c>
      <c r="B230" s="66" t="str">
        <f>IF(C230="","",VLOOKUP('Opći dio'!$C$3,'Opći dio'!$L$6:$U$137,9,FALSE))</f>
        <v/>
      </c>
      <c r="C230" s="71"/>
      <c r="D230" s="66" t="str">
        <f t="shared" si="0"/>
        <v/>
      </c>
      <c r="E230" s="71"/>
      <c r="F230" s="66" t="str">
        <f t="shared" si="51"/>
        <v/>
      </c>
      <c r="G230" s="71"/>
      <c r="H230" s="66" t="str">
        <f t="shared" si="50"/>
        <v/>
      </c>
      <c r="I230" s="59"/>
      <c r="J230" s="59"/>
      <c r="K230" s="59"/>
      <c r="L230" s="44"/>
      <c r="M230" s="44" t="str">
        <f t="shared" si="3"/>
        <v/>
      </c>
      <c r="N230" s="44" t="str">
        <f t="shared" si="4"/>
        <v/>
      </c>
      <c r="O230" s="44"/>
      <c r="P230" s="44"/>
      <c r="Q230" s="44"/>
      <c r="R230" s="44"/>
      <c r="S230" s="44"/>
      <c r="T230" s="44"/>
      <c r="U230" s="44"/>
      <c r="V230" s="44"/>
      <c r="W230" s="44"/>
      <c r="X230" s="44" t="s">
        <v>1212</v>
      </c>
      <c r="Y230" s="44" t="s">
        <v>1213</v>
      </c>
      <c r="Z230" s="44"/>
    </row>
    <row r="231" spans="1:26" ht="15.75" customHeight="1">
      <c r="A231" s="66" t="str">
        <f>IF(C231="","",VLOOKUP('Opći dio'!$C$3,'Opći dio'!$L$6:$U$137,10,FALSE))</f>
        <v/>
      </c>
      <c r="B231" s="66" t="str">
        <f>IF(C231="","",VLOOKUP('Opći dio'!$C$3,'Opći dio'!$L$6:$U$137,9,FALSE))</f>
        <v/>
      </c>
      <c r="C231" s="71"/>
      <c r="D231" s="66" t="str">
        <f t="shared" si="0"/>
        <v/>
      </c>
      <c r="E231" s="71"/>
      <c r="F231" s="66" t="str">
        <f t="shared" si="51"/>
        <v/>
      </c>
      <c r="G231" s="71"/>
      <c r="H231" s="66" t="str">
        <f t="shared" si="50"/>
        <v/>
      </c>
      <c r="I231" s="59"/>
      <c r="J231" s="59"/>
      <c r="K231" s="59"/>
      <c r="L231" s="44"/>
      <c r="M231" s="44" t="str">
        <f t="shared" si="3"/>
        <v/>
      </c>
      <c r="N231" s="44" t="str">
        <f t="shared" si="4"/>
        <v/>
      </c>
      <c r="O231" s="44"/>
      <c r="P231" s="44"/>
      <c r="Q231" s="44"/>
      <c r="R231" s="44"/>
      <c r="S231" s="44"/>
      <c r="T231" s="44"/>
      <c r="U231" s="44"/>
      <c r="V231" s="44"/>
      <c r="W231" s="44"/>
      <c r="X231" s="44" t="s">
        <v>1214</v>
      </c>
      <c r="Y231" s="44" t="s">
        <v>1215</v>
      </c>
      <c r="Z231" s="44"/>
    </row>
    <row r="232" spans="1:26" ht="15.75" customHeight="1">
      <c r="A232" s="66" t="str">
        <f>IF(C232="","",VLOOKUP('Opći dio'!$C$3,'Opći dio'!$L$6:$U$137,10,FALSE))</f>
        <v/>
      </c>
      <c r="B232" s="66" t="str">
        <f>IF(C232="","",VLOOKUP('Opći dio'!$C$3,'Opći dio'!$L$6:$U$137,9,FALSE))</f>
        <v/>
      </c>
      <c r="C232" s="71"/>
      <c r="D232" s="66" t="str">
        <f t="shared" si="0"/>
        <v/>
      </c>
      <c r="E232" s="71"/>
      <c r="F232" s="66" t="str">
        <f t="shared" si="51"/>
        <v/>
      </c>
      <c r="G232" s="71"/>
      <c r="H232" s="66" t="str">
        <f t="shared" si="50"/>
        <v/>
      </c>
      <c r="I232" s="59"/>
      <c r="J232" s="59"/>
      <c r="K232" s="59"/>
      <c r="L232" s="44"/>
      <c r="M232" s="44" t="str">
        <f t="shared" si="3"/>
        <v/>
      </c>
      <c r="N232" s="44" t="str">
        <f t="shared" si="4"/>
        <v/>
      </c>
      <c r="O232" s="44"/>
      <c r="P232" s="44"/>
      <c r="Q232" s="44"/>
      <c r="R232" s="44"/>
      <c r="S232" s="44"/>
      <c r="T232" s="44"/>
      <c r="U232" s="44"/>
      <c r="V232" s="44"/>
      <c r="W232" s="44"/>
      <c r="X232" s="44" t="s">
        <v>1216</v>
      </c>
      <c r="Y232" s="44" t="s">
        <v>1217</v>
      </c>
      <c r="Z232" s="44"/>
    </row>
    <row r="233" spans="1:26" ht="15.75" customHeight="1">
      <c r="A233" s="66" t="str">
        <f>IF(C233="","",VLOOKUP('Opći dio'!$C$3,'Opći dio'!$L$6:$U$137,10,FALSE))</f>
        <v/>
      </c>
      <c r="B233" s="66" t="str">
        <f>IF(C233="","",VLOOKUP('Opći dio'!$C$3,'Opći dio'!$L$6:$U$137,9,FALSE))</f>
        <v/>
      </c>
      <c r="C233" s="71"/>
      <c r="D233" s="66" t="str">
        <f t="shared" si="0"/>
        <v/>
      </c>
      <c r="E233" s="71"/>
      <c r="F233" s="66" t="str">
        <f t="shared" si="51"/>
        <v/>
      </c>
      <c r="G233" s="71"/>
      <c r="H233" s="66" t="str">
        <f t="shared" si="50"/>
        <v/>
      </c>
      <c r="I233" s="59"/>
      <c r="J233" s="59"/>
      <c r="K233" s="59"/>
      <c r="L233" s="44"/>
      <c r="M233" s="44" t="str">
        <f t="shared" si="3"/>
        <v/>
      </c>
      <c r="N233" s="44" t="str">
        <f t="shared" si="4"/>
        <v/>
      </c>
      <c r="O233" s="44"/>
      <c r="P233" s="44"/>
      <c r="Q233" s="44"/>
      <c r="R233" s="44"/>
      <c r="S233" s="44"/>
      <c r="T233" s="44"/>
      <c r="U233" s="44"/>
      <c r="V233" s="44"/>
      <c r="W233" s="44"/>
      <c r="X233" s="44" t="s">
        <v>1218</v>
      </c>
      <c r="Y233" s="44" t="s">
        <v>1219</v>
      </c>
      <c r="Z233" s="44"/>
    </row>
    <row r="234" spans="1:26" ht="15.75" customHeight="1">
      <c r="A234" s="66" t="str">
        <f>IF(C234="","",VLOOKUP('Opći dio'!$C$3,'Opći dio'!$L$6:$U$137,10,FALSE))</f>
        <v/>
      </c>
      <c r="B234" s="66" t="str">
        <f>IF(C234="","",VLOOKUP('Opći dio'!$C$3,'Opći dio'!$L$6:$U$137,9,FALSE))</f>
        <v/>
      </c>
      <c r="C234" s="71"/>
      <c r="D234" s="66" t="str">
        <f t="shared" si="0"/>
        <v/>
      </c>
      <c r="E234" s="71"/>
      <c r="F234" s="66" t="str">
        <f t="shared" si="51"/>
        <v/>
      </c>
      <c r="G234" s="71"/>
      <c r="H234" s="66" t="str">
        <f t="shared" si="50"/>
        <v/>
      </c>
      <c r="I234" s="59"/>
      <c r="J234" s="59"/>
      <c r="K234" s="59"/>
      <c r="L234" s="44"/>
      <c r="M234" s="44" t="str">
        <f t="shared" si="3"/>
        <v/>
      </c>
      <c r="N234" s="44" t="str">
        <f t="shared" si="4"/>
        <v/>
      </c>
      <c r="O234" s="44"/>
      <c r="P234" s="44"/>
      <c r="Q234" s="44"/>
      <c r="R234" s="44"/>
      <c r="S234" s="44"/>
      <c r="T234" s="44"/>
      <c r="U234" s="44"/>
      <c r="V234" s="44"/>
      <c r="W234" s="44"/>
      <c r="X234" s="44" t="s">
        <v>1220</v>
      </c>
      <c r="Y234" s="44" t="s">
        <v>1221</v>
      </c>
      <c r="Z234" s="44"/>
    </row>
    <row r="235" spans="1:26" ht="15.75" customHeight="1">
      <c r="A235" s="66" t="str">
        <f>IF(C235="","",VLOOKUP('Opći dio'!$C$3,'Opći dio'!$L$6:$U$137,10,FALSE))</f>
        <v/>
      </c>
      <c r="B235" s="66" t="str">
        <f>IF(C235="","",VLOOKUP('Opći dio'!$C$3,'Opći dio'!$L$6:$U$137,9,FALSE))</f>
        <v/>
      </c>
      <c r="C235" s="71"/>
      <c r="D235" s="66" t="str">
        <f t="shared" si="0"/>
        <v/>
      </c>
      <c r="E235" s="71"/>
      <c r="F235" s="66" t="str">
        <f t="shared" si="51"/>
        <v/>
      </c>
      <c r="G235" s="71"/>
      <c r="H235" s="66" t="str">
        <f t="shared" si="50"/>
        <v/>
      </c>
      <c r="I235" s="59"/>
      <c r="J235" s="59"/>
      <c r="K235" s="59"/>
      <c r="L235" s="44"/>
      <c r="M235" s="44" t="str">
        <f t="shared" si="3"/>
        <v/>
      </c>
      <c r="N235" s="44" t="str">
        <f t="shared" si="4"/>
        <v/>
      </c>
      <c r="O235" s="44"/>
      <c r="P235" s="44"/>
      <c r="Q235" s="44"/>
      <c r="R235" s="44"/>
      <c r="S235" s="44"/>
      <c r="T235" s="44"/>
      <c r="U235" s="44"/>
      <c r="V235" s="44"/>
      <c r="W235" s="44"/>
      <c r="X235" s="44" t="s">
        <v>1222</v>
      </c>
      <c r="Y235" s="44" t="s">
        <v>1223</v>
      </c>
      <c r="Z235" s="44"/>
    </row>
    <row r="236" spans="1:26" ht="15.75" customHeight="1">
      <c r="A236" s="66" t="str">
        <f>IF(C236="","",VLOOKUP('Opći dio'!$C$3,'Opći dio'!$L$6:$U$137,10,FALSE))</f>
        <v/>
      </c>
      <c r="B236" s="66" t="str">
        <f>IF(C236="","",VLOOKUP('Opći dio'!$C$3,'Opći dio'!$L$6:$U$137,9,FALSE))</f>
        <v/>
      </c>
      <c r="C236" s="71"/>
      <c r="D236" s="66" t="str">
        <f t="shared" si="0"/>
        <v/>
      </c>
      <c r="E236" s="71"/>
      <c r="F236" s="66" t="str">
        <f t="shared" si="51"/>
        <v/>
      </c>
      <c r="G236" s="71"/>
      <c r="H236" s="66" t="str">
        <f t="shared" si="50"/>
        <v/>
      </c>
      <c r="I236" s="59"/>
      <c r="J236" s="59"/>
      <c r="K236" s="59"/>
      <c r="L236" s="44"/>
      <c r="M236" s="44" t="str">
        <f t="shared" si="3"/>
        <v/>
      </c>
      <c r="N236" s="44" t="str">
        <f t="shared" si="4"/>
        <v/>
      </c>
      <c r="O236" s="44"/>
      <c r="P236" s="44"/>
      <c r="Q236" s="44"/>
      <c r="R236" s="44"/>
      <c r="S236" s="44"/>
      <c r="T236" s="44"/>
      <c r="U236" s="44"/>
      <c r="V236" s="44"/>
      <c r="W236" s="44"/>
      <c r="X236" s="44" t="s">
        <v>1224</v>
      </c>
      <c r="Y236" s="44" t="s">
        <v>1225</v>
      </c>
      <c r="Z236" s="44"/>
    </row>
    <row r="237" spans="1:26" ht="15.75" customHeight="1">
      <c r="A237" s="66" t="str">
        <f>IF(C237="","",VLOOKUP('Opći dio'!$C$3,'Opći dio'!$L$6:$U$137,10,FALSE))</f>
        <v/>
      </c>
      <c r="B237" s="66" t="str">
        <f>IF(C237="","",VLOOKUP('Opći dio'!$C$3,'Opći dio'!$L$6:$U$137,9,FALSE))</f>
        <v/>
      </c>
      <c r="C237" s="71"/>
      <c r="D237" s="66" t="str">
        <f t="shared" si="0"/>
        <v/>
      </c>
      <c r="E237" s="71"/>
      <c r="F237" s="66" t="str">
        <f t="shared" si="51"/>
        <v/>
      </c>
      <c r="G237" s="71"/>
      <c r="H237" s="66" t="str">
        <f t="shared" si="50"/>
        <v/>
      </c>
      <c r="I237" s="59"/>
      <c r="J237" s="59"/>
      <c r="K237" s="59"/>
      <c r="L237" s="44"/>
      <c r="M237" s="44" t="str">
        <f t="shared" si="3"/>
        <v/>
      </c>
      <c r="N237" s="44" t="str">
        <f t="shared" si="4"/>
        <v/>
      </c>
      <c r="O237" s="44"/>
      <c r="P237" s="44"/>
      <c r="Q237" s="44"/>
      <c r="R237" s="44"/>
      <c r="S237" s="44"/>
      <c r="T237" s="44"/>
      <c r="U237" s="44"/>
      <c r="V237" s="44"/>
      <c r="W237" s="44"/>
      <c r="X237" s="44" t="s">
        <v>1226</v>
      </c>
      <c r="Y237" s="44" t="s">
        <v>1227</v>
      </c>
      <c r="Z237" s="44"/>
    </row>
    <row r="238" spans="1:26" ht="15.75" customHeight="1">
      <c r="A238" s="66" t="str">
        <f>IF(C238="","",VLOOKUP('Opći dio'!$C$3,'Opći dio'!$L$6:$U$137,10,FALSE))</f>
        <v/>
      </c>
      <c r="B238" s="66" t="str">
        <f>IF(C238="","",VLOOKUP('Opći dio'!$C$3,'Opći dio'!$L$6:$U$137,9,FALSE))</f>
        <v/>
      </c>
      <c r="C238" s="71"/>
      <c r="D238" s="66" t="str">
        <f t="shared" si="0"/>
        <v/>
      </c>
      <c r="E238" s="71"/>
      <c r="F238" s="66" t="str">
        <f t="shared" si="51"/>
        <v/>
      </c>
      <c r="G238" s="71"/>
      <c r="H238" s="66" t="str">
        <f t="shared" si="50"/>
        <v/>
      </c>
      <c r="I238" s="59"/>
      <c r="J238" s="59"/>
      <c r="K238" s="59"/>
      <c r="L238" s="44"/>
      <c r="M238" s="44" t="str">
        <f t="shared" si="3"/>
        <v/>
      </c>
      <c r="N238" s="44" t="str">
        <f t="shared" si="4"/>
        <v/>
      </c>
      <c r="O238" s="44"/>
      <c r="P238" s="44"/>
      <c r="Q238" s="44"/>
      <c r="R238" s="44"/>
      <c r="S238" s="44"/>
      <c r="T238" s="44"/>
      <c r="U238" s="44"/>
      <c r="V238" s="44"/>
      <c r="W238" s="44"/>
      <c r="X238" s="44" t="s">
        <v>1228</v>
      </c>
      <c r="Y238" s="44" t="s">
        <v>1229</v>
      </c>
      <c r="Z238" s="44"/>
    </row>
    <row r="239" spans="1:26" ht="15.75" customHeight="1">
      <c r="A239" s="66" t="str">
        <f>IF(C239="","",VLOOKUP('Opći dio'!$C$3,'Opći dio'!$L$6:$U$137,10,FALSE))</f>
        <v/>
      </c>
      <c r="B239" s="66" t="str">
        <f>IF(C239="","",VLOOKUP('Opći dio'!$C$3,'Opći dio'!$L$6:$U$137,9,FALSE))</f>
        <v/>
      </c>
      <c r="C239" s="71"/>
      <c r="D239" s="66" t="str">
        <f t="shared" si="0"/>
        <v/>
      </c>
      <c r="E239" s="71"/>
      <c r="F239" s="66" t="str">
        <f t="shared" si="51"/>
        <v/>
      </c>
      <c r="G239" s="71"/>
      <c r="H239" s="66" t="str">
        <f t="shared" si="50"/>
        <v/>
      </c>
      <c r="I239" s="59"/>
      <c r="J239" s="59"/>
      <c r="K239" s="59"/>
      <c r="L239" s="44"/>
      <c r="M239" s="44" t="str">
        <f t="shared" si="3"/>
        <v/>
      </c>
      <c r="N239" s="44" t="str">
        <f t="shared" si="4"/>
        <v/>
      </c>
      <c r="O239" s="44"/>
      <c r="P239" s="44"/>
      <c r="Q239" s="44"/>
      <c r="R239" s="44"/>
      <c r="S239" s="44"/>
      <c r="T239" s="44"/>
      <c r="U239" s="44"/>
      <c r="V239" s="44"/>
      <c r="W239" s="44"/>
      <c r="X239" s="44" t="s">
        <v>1230</v>
      </c>
      <c r="Y239" s="44" t="s">
        <v>1231</v>
      </c>
      <c r="Z239" s="44"/>
    </row>
    <row r="240" spans="1:26" ht="15.75" customHeight="1">
      <c r="A240" s="66" t="str">
        <f>IF(C240="","",VLOOKUP('Opći dio'!$C$3,'Opći dio'!$L$6:$U$137,10,FALSE))</f>
        <v/>
      </c>
      <c r="B240" s="66" t="str">
        <f>IF(C240="","",VLOOKUP('Opći dio'!$C$3,'Opći dio'!$L$6:$U$137,9,FALSE))</f>
        <v/>
      </c>
      <c r="C240" s="71"/>
      <c r="D240" s="66" t="str">
        <f t="shared" si="0"/>
        <v/>
      </c>
      <c r="E240" s="71"/>
      <c r="F240" s="66" t="str">
        <f t="shared" si="51"/>
        <v/>
      </c>
      <c r="G240" s="71"/>
      <c r="H240" s="66" t="str">
        <f t="shared" si="50"/>
        <v/>
      </c>
      <c r="I240" s="59"/>
      <c r="J240" s="59"/>
      <c r="K240" s="59"/>
      <c r="L240" s="44"/>
      <c r="M240" s="44" t="str">
        <f t="shared" si="3"/>
        <v/>
      </c>
      <c r="N240" s="44" t="str">
        <f t="shared" si="4"/>
        <v/>
      </c>
      <c r="O240" s="44"/>
      <c r="P240" s="44"/>
      <c r="Q240" s="44"/>
      <c r="R240" s="44"/>
      <c r="S240" s="44"/>
      <c r="T240" s="44"/>
      <c r="U240" s="44"/>
      <c r="V240" s="44"/>
      <c r="W240" s="44"/>
      <c r="X240" s="44" t="s">
        <v>1232</v>
      </c>
      <c r="Y240" s="44" t="s">
        <v>1233</v>
      </c>
      <c r="Z240" s="44"/>
    </row>
    <row r="241" spans="1:26" ht="15.75" customHeight="1">
      <c r="A241" s="66" t="str">
        <f>IF(C241="","",VLOOKUP('Opći dio'!$C$3,'Opći dio'!$L$6:$U$137,10,FALSE))</f>
        <v/>
      </c>
      <c r="B241" s="66" t="str">
        <f>IF(C241="","",VLOOKUP('Opći dio'!$C$3,'Opći dio'!$L$6:$U$137,9,FALSE))</f>
        <v/>
      </c>
      <c r="C241" s="71"/>
      <c r="D241" s="66" t="str">
        <f t="shared" si="0"/>
        <v/>
      </c>
      <c r="E241" s="71"/>
      <c r="F241" s="66" t="str">
        <f t="shared" si="51"/>
        <v/>
      </c>
      <c r="G241" s="71"/>
      <c r="H241" s="66" t="str">
        <f t="shared" si="50"/>
        <v/>
      </c>
      <c r="I241" s="59"/>
      <c r="J241" s="59"/>
      <c r="K241" s="59"/>
      <c r="L241" s="44"/>
      <c r="M241" s="44" t="str">
        <f t="shared" si="3"/>
        <v/>
      </c>
      <c r="N241" s="44" t="str">
        <f t="shared" si="4"/>
        <v/>
      </c>
      <c r="O241" s="44"/>
      <c r="P241" s="44"/>
      <c r="Q241" s="44"/>
      <c r="R241" s="44"/>
      <c r="S241" s="44"/>
      <c r="T241" s="44"/>
      <c r="U241" s="44"/>
      <c r="V241" s="44"/>
      <c r="W241" s="44"/>
      <c r="X241" s="44" t="s">
        <v>1234</v>
      </c>
      <c r="Y241" s="44" t="s">
        <v>1235</v>
      </c>
      <c r="Z241" s="44"/>
    </row>
    <row r="242" spans="1:26" ht="15.75" customHeight="1">
      <c r="A242" s="66" t="str">
        <f>IF(C242="","",VLOOKUP('Opći dio'!$C$3,'Opći dio'!$L$6:$U$137,10,FALSE))</f>
        <v/>
      </c>
      <c r="B242" s="66" t="str">
        <f>IF(C242="","",VLOOKUP('Opći dio'!$C$3,'Opći dio'!$L$6:$U$137,9,FALSE))</f>
        <v/>
      </c>
      <c r="C242" s="71"/>
      <c r="D242" s="66" t="str">
        <f t="shared" si="0"/>
        <v/>
      </c>
      <c r="E242" s="71"/>
      <c r="F242" s="66" t="str">
        <f t="shared" si="51"/>
        <v/>
      </c>
      <c r="G242" s="71"/>
      <c r="H242" s="66" t="str">
        <f t="shared" si="50"/>
        <v/>
      </c>
      <c r="I242" s="59"/>
      <c r="J242" s="59"/>
      <c r="K242" s="59"/>
      <c r="L242" s="44"/>
      <c r="M242" s="44" t="str">
        <f t="shared" si="3"/>
        <v/>
      </c>
      <c r="N242" s="44" t="str">
        <f t="shared" si="4"/>
        <v/>
      </c>
      <c r="O242" s="44"/>
      <c r="P242" s="44"/>
      <c r="Q242" s="44"/>
      <c r="R242" s="44"/>
      <c r="S242" s="44"/>
      <c r="T242" s="44"/>
      <c r="U242" s="44"/>
      <c r="V242" s="44"/>
      <c r="W242" s="44"/>
      <c r="X242" s="44" t="s">
        <v>1236</v>
      </c>
      <c r="Y242" s="44" t="s">
        <v>1237</v>
      </c>
      <c r="Z242" s="44"/>
    </row>
    <row r="243" spans="1:26" ht="15.75" customHeight="1">
      <c r="A243" s="66" t="str">
        <f>IF(C243="","",VLOOKUP('Opći dio'!$C$3,'Opći dio'!$L$6:$U$137,10,FALSE))</f>
        <v/>
      </c>
      <c r="B243" s="66" t="str">
        <f>IF(C243="","",VLOOKUP('Opći dio'!$C$3,'Opći dio'!$L$6:$U$137,9,FALSE))</f>
        <v/>
      </c>
      <c r="C243" s="71"/>
      <c r="D243" s="66" t="str">
        <f t="shared" si="0"/>
        <v/>
      </c>
      <c r="E243" s="71"/>
      <c r="F243" s="66" t="str">
        <f t="shared" si="51"/>
        <v/>
      </c>
      <c r="G243" s="71"/>
      <c r="H243" s="66" t="str">
        <f t="shared" si="50"/>
        <v/>
      </c>
      <c r="I243" s="59"/>
      <c r="J243" s="59"/>
      <c r="K243" s="59"/>
      <c r="L243" s="44"/>
      <c r="M243" s="44" t="str">
        <f t="shared" si="3"/>
        <v/>
      </c>
      <c r="N243" s="44" t="str">
        <f t="shared" si="4"/>
        <v/>
      </c>
      <c r="O243" s="44"/>
      <c r="P243" s="44"/>
      <c r="Q243" s="44"/>
      <c r="R243" s="44"/>
      <c r="S243" s="44"/>
      <c r="T243" s="44"/>
      <c r="U243" s="44"/>
      <c r="V243" s="44"/>
      <c r="W243" s="44"/>
      <c r="X243" s="44" t="s">
        <v>1238</v>
      </c>
      <c r="Y243" s="44" t="s">
        <v>1239</v>
      </c>
      <c r="Z243" s="44"/>
    </row>
    <row r="244" spans="1:26" ht="15.75" customHeight="1">
      <c r="A244" s="66" t="str">
        <f>IF(C244="","",VLOOKUP('Opći dio'!$C$3,'Opći dio'!$L$6:$U$137,10,FALSE))</f>
        <v/>
      </c>
      <c r="B244" s="66" t="str">
        <f>IF(C244="","",VLOOKUP('Opći dio'!$C$3,'Opći dio'!$L$6:$U$137,9,FALSE))</f>
        <v/>
      </c>
      <c r="C244" s="71"/>
      <c r="D244" s="66" t="str">
        <f t="shared" si="0"/>
        <v/>
      </c>
      <c r="E244" s="71"/>
      <c r="F244" s="66" t="str">
        <f t="shared" si="51"/>
        <v/>
      </c>
      <c r="G244" s="71"/>
      <c r="H244" s="66" t="str">
        <f t="shared" si="50"/>
        <v/>
      </c>
      <c r="I244" s="59"/>
      <c r="J244" s="59"/>
      <c r="K244" s="59"/>
      <c r="L244" s="44"/>
      <c r="M244" s="44" t="str">
        <f t="shared" si="3"/>
        <v/>
      </c>
      <c r="N244" s="44" t="str">
        <f t="shared" si="4"/>
        <v/>
      </c>
      <c r="O244" s="44"/>
      <c r="P244" s="44"/>
      <c r="Q244" s="44"/>
      <c r="R244" s="44"/>
      <c r="S244" s="44"/>
      <c r="T244" s="44"/>
      <c r="U244" s="44"/>
      <c r="V244" s="44"/>
      <c r="W244" s="44"/>
      <c r="X244" s="44" t="s">
        <v>1240</v>
      </c>
      <c r="Y244" s="44" t="s">
        <v>1241</v>
      </c>
      <c r="Z244" s="44"/>
    </row>
    <row r="245" spans="1:26" ht="15.75" customHeight="1">
      <c r="A245" s="66" t="str">
        <f>IF(C245="","",VLOOKUP('Opći dio'!$C$3,'Opći dio'!$L$6:$U$137,10,FALSE))</f>
        <v/>
      </c>
      <c r="B245" s="66" t="str">
        <f>IF(C245="","",VLOOKUP('Opći dio'!$C$3,'Opći dio'!$L$6:$U$137,9,FALSE))</f>
        <v/>
      </c>
      <c r="C245" s="71"/>
      <c r="D245" s="66" t="str">
        <f t="shared" si="0"/>
        <v/>
      </c>
      <c r="E245" s="71"/>
      <c r="F245" s="66" t="str">
        <f t="shared" si="51"/>
        <v/>
      </c>
      <c r="G245" s="71"/>
      <c r="H245" s="66" t="str">
        <f t="shared" si="50"/>
        <v/>
      </c>
      <c r="I245" s="59"/>
      <c r="J245" s="59"/>
      <c r="K245" s="59"/>
      <c r="L245" s="44"/>
      <c r="M245" s="44" t="str">
        <f t="shared" si="3"/>
        <v/>
      </c>
      <c r="N245" s="44" t="str">
        <f t="shared" si="4"/>
        <v/>
      </c>
      <c r="O245" s="44"/>
      <c r="P245" s="44"/>
      <c r="Q245" s="44"/>
      <c r="R245" s="44"/>
      <c r="S245" s="44"/>
      <c r="T245" s="44"/>
      <c r="U245" s="44"/>
      <c r="V245" s="44"/>
      <c r="W245" s="44"/>
      <c r="X245" s="44" t="s">
        <v>1242</v>
      </c>
      <c r="Y245" s="44" t="s">
        <v>1243</v>
      </c>
      <c r="Z245" s="44"/>
    </row>
    <row r="246" spans="1:26" ht="15.75" customHeight="1">
      <c r="A246" s="66" t="str">
        <f>IF(C246="","",VLOOKUP('Opći dio'!$C$3,'Opći dio'!$L$6:$U$137,10,FALSE))</f>
        <v/>
      </c>
      <c r="B246" s="66" t="str">
        <f>IF(C246="","",VLOOKUP('Opći dio'!$C$3,'Opći dio'!$L$6:$U$137,9,FALSE))</f>
        <v/>
      </c>
      <c r="C246" s="71"/>
      <c r="D246" s="66" t="str">
        <f t="shared" si="0"/>
        <v/>
      </c>
      <c r="E246" s="71"/>
      <c r="F246" s="66" t="str">
        <f t="shared" si="51"/>
        <v/>
      </c>
      <c r="G246" s="71"/>
      <c r="H246" s="66" t="str">
        <f t="shared" si="50"/>
        <v/>
      </c>
      <c r="I246" s="59"/>
      <c r="J246" s="59"/>
      <c r="K246" s="59"/>
      <c r="L246" s="44"/>
      <c r="M246" s="44" t="str">
        <f t="shared" si="3"/>
        <v/>
      </c>
      <c r="N246" s="44" t="str">
        <f t="shared" si="4"/>
        <v/>
      </c>
      <c r="O246" s="44"/>
      <c r="P246" s="44"/>
      <c r="Q246" s="44"/>
      <c r="R246" s="44"/>
      <c r="S246" s="44"/>
      <c r="T246" s="44"/>
      <c r="U246" s="44"/>
      <c r="V246" s="44"/>
      <c r="W246" s="44"/>
      <c r="X246" s="44" t="s">
        <v>1244</v>
      </c>
      <c r="Y246" s="44" t="s">
        <v>1245</v>
      </c>
      <c r="Z246" s="44"/>
    </row>
    <row r="247" spans="1:26" ht="15.75" customHeight="1">
      <c r="A247" s="66" t="str">
        <f>IF(C247="","",VLOOKUP('Opći dio'!$C$3,'Opći dio'!$L$6:$U$137,10,FALSE))</f>
        <v/>
      </c>
      <c r="B247" s="66" t="str">
        <f>IF(C247="","",VLOOKUP('Opći dio'!$C$3,'Opći dio'!$L$6:$U$137,9,FALSE))</f>
        <v/>
      </c>
      <c r="C247" s="71"/>
      <c r="D247" s="66" t="str">
        <f t="shared" si="0"/>
        <v/>
      </c>
      <c r="E247" s="71"/>
      <c r="F247" s="66" t="str">
        <f t="shared" si="51"/>
        <v/>
      </c>
      <c r="G247" s="71"/>
      <c r="H247" s="66" t="str">
        <f t="shared" si="50"/>
        <v/>
      </c>
      <c r="I247" s="59"/>
      <c r="J247" s="59"/>
      <c r="K247" s="59"/>
      <c r="L247" s="44"/>
      <c r="M247" s="44" t="str">
        <f t="shared" si="3"/>
        <v/>
      </c>
      <c r="N247" s="44" t="str">
        <f t="shared" si="4"/>
        <v/>
      </c>
      <c r="O247" s="44"/>
      <c r="P247" s="44"/>
      <c r="Q247" s="44"/>
      <c r="R247" s="44"/>
      <c r="S247" s="44"/>
      <c r="T247" s="44"/>
      <c r="U247" s="44"/>
      <c r="V247" s="44"/>
      <c r="W247" s="44"/>
      <c r="X247" s="44" t="s">
        <v>1246</v>
      </c>
      <c r="Y247" s="44" t="s">
        <v>1247</v>
      </c>
      <c r="Z247" s="44"/>
    </row>
    <row r="248" spans="1:26" ht="15.75" customHeight="1">
      <c r="A248" s="66" t="str">
        <f>IF(C248="","",VLOOKUP('Opći dio'!$C$3,'Opći dio'!$L$6:$U$137,10,FALSE))</f>
        <v/>
      </c>
      <c r="B248" s="66" t="str">
        <f>IF(C248="","",VLOOKUP('Opći dio'!$C$3,'Opći dio'!$L$6:$U$137,9,FALSE))</f>
        <v/>
      </c>
      <c r="C248" s="71"/>
      <c r="D248" s="66" t="str">
        <f t="shared" si="0"/>
        <v/>
      </c>
      <c r="E248" s="71"/>
      <c r="F248" s="66" t="str">
        <f t="shared" si="51"/>
        <v/>
      </c>
      <c r="G248" s="71"/>
      <c r="H248" s="66" t="str">
        <f t="shared" si="50"/>
        <v/>
      </c>
      <c r="I248" s="59"/>
      <c r="J248" s="59"/>
      <c r="K248" s="59"/>
      <c r="L248" s="44"/>
      <c r="M248" s="44" t="str">
        <f t="shared" si="3"/>
        <v/>
      </c>
      <c r="N248" s="44" t="str">
        <f t="shared" si="4"/>
        <v/>
      </c>
      <c r="O248" s="44"/>
      <c r="P248" s="44"/>
      <c r="Q248" s="44"/>
      <c r="R248" s="44"/>
      <c r="S248" s="44"/>
      <c r="T248" s="44"/>
      <c r="U248" s="44"/>
      <c r="V248" s="44"/>
      <c r="W248" s="44"/>
      <c r="X248" s="44" t="s">
        <v>1248</v>
      </c>
      <c r="Y248" s="44" t="s">
        <v>731</v>
      </c>
      <c r="Z248" s="44"/>
    </row>
    <row r="249" spans="1:26" ht="15.75" customHeight="1">
      <c r="A249" s="66" t="str">
        <f>IF(C249="","",VLOOKUP('Opći dio'!$C$3,'Opći dio'!$L$6:$U$137,10,FALSE))</f>
        <v/>
      </c>
      <c r="B249" s="66" t="str">
        <f>IF(C249="","",VLOOKUP('Opći dio'!$C$3,'Opći dio'!$L$6:$U$137,9,FALSE))</f>
        <v/>
      </c>
      <c r="C249" s="71"/>
      <c r="D249" s="66" t="str">
        <f t="shared" si="0"/>
        <v/>
      </c>
      <c r="E249" s="71"/>
      <c r="F249" s="66" t="str">
        <f t="shared" si="51"/>
        <v/>
      </c>
      <c r="G249" s="71"/>
      <c r="H249" s="66" t="str">
        <f t="shared" si="50"/>
        <v/>
      </c>
      <c r="I249" s="59"/>
      <c r="J249" s="59"/>
      <c r="K249" s="59"/>
      <c r="L249" s="44"/>
      <c r="M249" s="44" t="str">
        <f t="shared" si="3"/>
        <v/>
      </c>
      <c r="N249" s="44" t="str">
        <f t="shared" si="4"/>
        <v/>
      </c>
      <c r="O249" s="44"/>
      <c r="P249" s="44"/>
      <c r="Q249" s="44"/>
      <c r="R249" s="44"/>
      <c r="S249" s="44"/>
      <c r="T249" s="44"/>
      <c r="U249" s="44"/>
      <c r="V249" s="44"/>
      <c r="W249" s="44"/>
      <c r="X249" s="44" t="s">
        <v>1249</v>
      </c>
      <c r="Y249" s="44" t="s">
        <v>1250</v>
      </c>
      <c r="Z249" s="44"/>
    </row>
    <row r="250" spans="1:26" ht="15.75" customHeight="1">
      <c r="A250" s="66" t="str">
        <f>IF(C250="","",VLOOKUP('Opći dio'!$C$3,'Opći dio'!$L$6:$U$137,10,FALSE))</f>
        <v/>
      </c>
      <c r="B250" s="66" t="str">
        <f>IF(C250="","",VLOOKUP('Opći dio'!$C$3,'Opći dio'!$L$6:$U$137,9,FALSE))</f>
        <v/>
      </c>
      <c r="C250" s="71"/>
      <c r="D250" s="66" t="str">
        <f t="shared" si="0"/>
        <v/>
      </c>
      <c r="E250" s="71"/>
      <c r="F250" s="66" t="str">
        <f t="shared" si="51"/>
        <v/>
      </c>
      <c r="G250" s="71"/>
      <c r="H250" s="66" t="str">
        <f t="shared" si="50"/>
        <v/>
      </c>
      <c r="I250" s="59"/>
      <c r="J250" s="59"/>
      <c r="K250" s="59"/>
      <c r="L250" s="44"/>
      <c r="M250" s="44" t="str">
        <f t="shared" si="3"/>
        <v/>
      </c>
      <c r="N250" s="44" t="str">
        <f t="shared" si="4"/>
        <v/>
      </c>
      <c r="O250" s="44"/>
      <c r="P250" s="44"/>
      <c r="Q250" s="44"/>
      <c r="R250" s="44"/>
      <c r="S250" s="44"/>
      <c r="T250" s="44"/>
      <c r="U250" s="44"/>
      <c r="V250" s="44"/>
      <c r="W250" s="44"/>
      <c r="X250" s="44" t="s">
        <v>1251</v>
      </c>
      <c r="Y250" s="44" t="s">
        <v>1252</v>
      </c>
      <c r="Z250" s="44"/>
    </row>
    <row r="251" spans="1:26" ht="15.75" customHeight="1">
      <c r="A251" s="66" t="str">
        <f>IF(C251="","",VLOOKUP('Opći dio'!$C$3,'Opći dio'!$L$6:$U$137,10,FALSE))</f>
        <v/>
      </c>
      <c r="B251" s="66" t="str">
        <f>IF(C251="","",VLOOKUP('Opći dio'!$C$3,'Opći dio'!$L$6:$U$137,9,FALSE))</f>
        <v/>
      </c>
      <c r="C251" s="71"/>
      <c r="D251" s="66" t="str">
        <f t="shared" si="0"/>
        <v/>
      </c>
      <c r="E251" s="71"/>
      <c r="F251" s="66" t="str">
        <f t="shared" si="51"/>
        <v/>
      </c>
      <c r="G251" s="71"/>
      <c r="H251" s="66" t="str">
        <f t="shared" si="50"/>
        <v/>
      </c>
      <c r="I251" s="59"/>
      <c r="J251" s="59"/>
      <c r="K251" s="59"/>
      <c r="L251" s="44"/>
      <c r="M251" s="44" t="str">
        <f t="shared" si="3"/>
        <v/>
      </c>
      <c r="N251" s="44" t="str">
        <f t="shared" si="4"/>
        <v/>
      </c>
      <c r="O251" s="44"/>
      <c r="P251" s="44"/>
      <c r="Q251" s="44"/>
      <c r="R251" s="44"/>
      <c r="S251" s="44"/>
      <c r="T251" s="44"/>
      <c r="U251" s="44"/>
      <c r="V251" s="44"/>
      <c r="W251" s="44"/>
      <c r="X251" s="44" t="s">
        <v>1253</v>
      </c>
      <c r="Y251" s="44" t="s">
        <v>1254</v>
      </c>
      <c r="Z251" s="44"/>
    </row>
    <row r="252" spans="1:26" ht="15.75" customHeight="1">
      <c r="A252" s="66" t="str">
        <f>IF(C252="","",VLOOKUP('Opći dio'!$C$3,'Opći dio'!$L$6:$U$137,10,FALSE))</f>
        <v/>
      </c>
      <c r="B252" s="66" t="str">
        <f>IF(C252="","",VLOOKUP('Opći dio'!$C$3,'Opći dio'!$L$6:$U$137,9,FALSE))</f>
        <v/>
      </c>
      <c r="C252" s="71"/>
      <c r="D252" s="66" t="str">
        <f t="shared" si="0"/>
        <v/>
      </c>
      <c r="E252" s="71"/>
      <c r="F252" s="66" t="str">
        <f t="shared" si="51"/>
        <v/>
      </c>
      <c r="G252" s="71"/>
      <c r="H252" s="66" t="str">
        <f t="shared" si="50"/>
        <v/>
      </c>
      <c r="I252" s="59"/>
      <c r="J252" s="59"/>
      <c r="K252" s="59"/>
      <c r="L252" s="44"/>
      <c r="M252" s="44" t="str">
        <f t="shared" si="3"/>
        <v/>
      </c>
      <c r="N252" s="44" t="str">
        <f t="shared" si="4"/>
        <v/>
      </c>
      <c r="O252" s="44"/>
      <c r="P252" s="44"/>
      <c r="Q252" s="44"/>
      <c r="R252" s="44"/>
      <c r="S252" s="44"/>
      <c r="T252" s="44"/>
      <c r="U252" s="44"/>
      <c r="V252" s="44"/>
      <c r="W252" s="44"/>
      <c r="X252" s="44" t="s">
        <v>1255</v>
      </c>
      <c r="Y252" s="44" t="s">
        <v>1256</v>
      </c>
      <c r="Z252" s="44"/>
    </row>
    <row r="253" spans="1:26" ht="15.75" customHeight="1">
      <c r="A253" s="66" t="str">
        <f>IF(C253="","",VLOOKUP('Opći dio'!$C$3,'Opći dio'!$L$6:$U$137,10,FALSE))</f>
        <v/>
      </c>
      <c r="B253" s="66" t="str">
        <f>IF(C253="","",VLOOKUP('Opći dio'!$C$3,'Opći dio'!$L$6:$U$137,9,FALSE))</f>
        <v/>
      </c>
      <c r="C253" s="71"/>
      <c r="D253" s="66" t="str">
        <f t="shared" si="0"/>
        <v/>
      </c>
      <c r="E253" s="71"/>
      <c r="F253" s="66" t="str">
        <f t="shared" si="51"/>
        <v/>
      </c>
      <c r="G253" s="71"/>
      <c r="H253" s="66" t="str">
        <f t="shared" si="50"/>
        <v/>
      </c>
      <c r="I253" s="59"/>
      <c r="J253" s="59"/>
      <c r="K253" s="59"/>
      <c r="L253" s="44"/>
      <c r="M253" s="44" t="str">
        <f t="shared" si="3"/>
        <v/>
      </c>
      <c r="N253" s="44" t="str">
        <f t="shared" si="4"/>
        <v/>
      </c>
      <c r="O253" s="44"/>
      <c r="P253" s="44"/>
      <c r="Q253" s="44"/>
      <c r="R253" s="44"/>
      <c r="S253" s="44"/>
      <c r="T253" s="44"/>
      <c r="U253" s="44"/>
      <c r="V253" s="44"/>
      <c r="W253" s="44"/>
      <c r="X253" s="44" t="s">
        <v>1257</v>
      </c>
      <c r="Y253" s="44" t="s">
        <v>1258</v>
      </c>
      <c r="Z253" s="44"/>
    </row>
    <row r="254" spans="1:26" ht="15.75" customHeight="1">
      <c r="A254" s="66" t="str">
        <f>IF(C254="","",VLOOKUP('Opći dio'!$C$3,'Opći dio'!$L$6:$U$137,10,FALSE))</f>
        <v/>
      </c>
      <c r="B254" s="66" t="str">
        <f>IF(C254="","",VLOOKUP('Opći dio'!$C$3,'Opći dio'!$L$6:$U$137,9,FALSE))</f>
        <v/>
      </c>
      <c r="C254" s="71"/>
      <c r="D254" s="66" t="str">
        <f t="shared" si="0"/>
        <v/>
      </c>
      <c r="E254" s="71"/>
      <c r="F254" s="66" t="str">
        <f t="shared" si="51"/>
        <v/>
      </c>
      <c r="G254" s="71"/>
      <c r="H254" s="66" t="str">
        <f t="shared" si="50"/>
        <v/>
      </c>
      <c r="I254" s="59"/>
      <c r="J254" s="59"/>
      <c r="K254" s="59"/>
      <c r="L254" s="44"/>
      <c r="M254" s="44" t="str">
        <f t="shared" si="3"/>
        <v/>
      </c>
      <c r="N254" s="44" t="str">
        <f t="shared" si="4"/>
        <v/>
      </c>
      <c r="O254" s="44"/>
      <c r="P254" s="44"/>
      <c r="Q254" s="44"/>
      <c r="R254" s="44"/>
      <c r="S254" s="44"/>
      <c r="T254" s="44"/>
      <c r="U254" s="44"/>
      <c r="V254" s="44"/>
      <c r="W254" s="44"/>
      <c r="X254" s="44" t="s">
        <v>1259</v>
      </c>
      <c r="Y254" s="44" t="s">
        <v>1260</v>
      </c>
      <c r="Z254" s="44"/>
    </row>
    <row r="255" spans="1:26" ht="15.75" customHeight="1">
      <c r="A255" s="66" t="str">
        <f>IF(C255="","",VLOOKUP('Opći dio'!$C$3,'Opći dio'!$L$6:$U$137,10,FALSE))</f>
        <v/>
      </c>
      <c r="B255" s="66" t="str">
        <f>IF(C255="","",VLOOKUP('Opći dio'!$C$3,'Opći dio'!$L$6:$U$137,9,FALSE))</f>
        <v/>
      </c>
      <c r="C255" s="71"/>
      <c r="D255" s="66" t="str">
        <f t="shared" si="0"/>
        <v/>
      </c>
      <c r="E255" s="71"/>
      <c r="F255" s="66" t="str">
        <f t="shared" si="51"/>
        <v/>
      </c>
      <c r="G255" s="71"/>
      <c r="H255" s="66" t="str">
        <f t="shared" si="50"/>
        <v/>
      </c>
      <c r="I255" s="59"/>
      <c r="J255" s="59"/>
      <c r="K255" s="59"/>
      <c r="L255" s="44"/>
      <c r="M255" s="44" t="str">
        <f t="shared" si="3"/>
        <v/>
      </c>
      <c r="N255" s="44" t="str">
        <f t="shared" si="4"/>
        <v/>
      </c>
      <c r="O255" s="44"/>
      <c r="P255" s="44"/>
      <c r="Q255" s="44"/>
      <c r="R255" s="44"/>
      <c r="S255" s="44"/>
      <c r="T255" s="44"/>
      <c r="U255" s="44"/>
      <c r="V255" s="44"/>
      <c r="W255" s="44"/>
      <c r="X255" s="44" t="s">
        <v>1261</v>
      </c>
      <c r="Y255" s="44" t="s">
        <v>1262</v>
      </c>
      <c r="Z255" s="44"/>
    </row>
    <row r="256" spans="1:26" ht="15.75" customHeight="1">
      <c r="A256" s="66" t="str">
        <f>IF(C256="","",VLOOKUP('Opći dio'!$C$3,'Opći dio'!$L$6:$U$137,10,FALSE))</f>
        <v/>
      </c>
      <c r="B256" s="66" t="str">
        <f>IF(C256="","",VLOOKUP('Opći dio'!$C$3,'Opći dio'!$L$6:$U$137,9,FALSE))</f>
        <v/>
      </c>
      <c r="C256" s="71"/>
      <c r="D256" s="66" t="str">
        <f t="shared" si="0"/>
        <v/>
      </c>
      <c r="E256" s="71"/>
      <c r="F256" s="66" t="str">
        <f t="shared" si="51"/>
        <v/>
      </c>
      <c r="G256" s="71"/>
      <c r="H256" s="66" t="str">
        <f t="shared" si="50"/>
        <v/>
      </c>
      <c r="I256" s="59"/>
      <c r="J256" s="59"/>
      <c r="K256" s="59"/>
      <c r="L256" s="44"/>
      <c r="M256" s="44" t="str">
        <f t="shared" si="3"/>
        <v/>
      </c>
      <c r="N256" s="44" t="str">
        <f t="shared" si="4"/>
        <v/>
      </c>
      <c r="O256" s="44"/>
      <c r="P256" s="44"/>
      <c r="Q256" s="44"/>
      <c r="R256" s="44"/>
      <c r="S256" s="44"/>
      <c r="T256" s="44"/>
      <c r="U256" s="44"/>
      <c r="V256" s="44"/>
      <c r="W256" s="44"/>
      <c r="X256" s="44" t="s">
        <v>1263</v>
      </c>
      <c r="Y256" s="44" t="s">
        <v>1264</v>
      </c>
      <c r="Z256" s="44"/>
    </row>
    <row r="257" spans="1:26" ht="15.75" customHeight="1">
      <c r="A257" s="66" t="str">
        <f>IF(C257="","",VLOOKUP('Opći dio'!$C$3,'Opći dio'!$L$6:$U$137,10,FALSE))</f>
        <v/>
      </c>
      <c r="B257" s="66" t="str">
        <f>IF(C257="","",VLOOKUP('Opći dio'!$C$3,'Opći dio'!$L$6:$U$137,9,FALSE))</f>
        <v/>
      </c>
      <c r="C257" s="71"/>
      <c r="D257" s="66" t="str">
        <f t="shared" si="0"/>
        <v/>
      </c>
      <c r="E257" s="71"/>
      <c r="F257" s="66" t="str">
        <f t="shared" si="51"/>
        <v/>
      </c>
      <c r="G257" s="71"/>
      <c r="H257" s="66" t="str">
        <f t="shared" si="50"/>
        <v/>
      </c>
      <c r="I257" s="59"/>
      <c r="J257" s="59"/>
      <c r="K257" s="59"/>
      <c r="L257" s="44"/>
      <c r="M257" s="44" t="str">
        <f t="shared" si="3"/>
        <v/>
      </c>
      <c r="N257" s="44" t="str">
        <f t="shared" si="4"/>
        <v/>
      </c>
      <c r="O257" s="44"/>
      <c r="P257" s="44"/>
      <c r="Q257" s="44"/>
      <c r="R257" s="44"/>
      <c r="S257" s="44"/>
      <c r="T257" s="44"/>
      <c r="U257" s="44"/>
      <c r="V257" s="44"/>
      <c r="W257" s="44"/>
      <c r="X257" s="44" t="s">
        <v>1265</v>
      </c>
      <c r="Y257" s="44" t="s">
        <v>1266</v>
      </c>
      <c r="Z257" s="44"/>
    </row>
    <row r="258" spans="1:26" ht="15.75" customHeight="1">
      <c r="A258" s="66" t="str">
        <f>IF(C258="","",VLOOKUP('Opći dio'!$C$3,'Opći dio'!$L$6:$U$137,10,FALSE))</f>
        <v/>
      </c>
      <c r="B258" s="66" t="str">
        <f>IF(C258="","",VLOOKUP('Opći dio'!$C$3,'Opći dio'!$L$6:$U$137,9,FALSE))</f>
        <v/>
      </c>
      <c r="C258" s="71"/>
      <c r="D258" s="66" t="str">
        <f t="shared" si="0"/>
        <v/>
      </c>
      <c r="E258" s="71"/>
      <c r="F258" s="66" t="str">
        <f t="shared" si="51"/>
        <v/>
      </c>
      <c r="G258" s="71"/>
      <c r="H258" s="66" t="str">
        <f t="shared" si="50"/>
        <v/>
      </c>
      <c r="I258" s="59"/>
      <c r="J258" s="59"/>
      <c r="K258" s="59"/>
      <c r="L258" s="44"/>
      <c r="M258" s="44" t="str">
        <f t="shared" si="3"/>
        <v/>
      </c>
      <c r="N258" s="44" t="str">
        <f t="shared" si="4"/>
        <v/>
      </c>
      <c r="O258" s="44"/>
      <c r="P258" s="44"/>
      <c r="Q258" s="44"/>
      <c r="R258" s="44"/>
      <c r="S258" s="44"/>
      <c r="T258" s="44"/>
      <c r="U258" s="44"/>
      <c r="V258" s="44"/>
      <c r="W258" s="44"/>
      <c r="X258" s="44" t="s">
        <v>1267</v>
      </c>
      <c r="Y258" s="44" t="s">
        <v>1268</v>
      </c>
      <c r="Z258" s="44"/>
    </row>
    <row r="259" spans="1:26" ht="15.75" customHeight="1">
      <c r="A259" s="66" t="str">
        <f>IF(C259="","",VLOOKUP('Opći dio'!$C$3,'Opći dio'!$L$6:$U$137,10,FALSE))</f>
        <v/>
      </c>
      <c r="B259" s="66" t="str">
        <f>IF(C259="","",VLOOKUP('Opći dio'!$C$3,'Opći dio'!$L$6:$U$137,9,FALSE))</f>
        <v/>
      </c>
      <c r="C259" s="71"/>
      <c r="D259" s="66" t="str">
        <f t="shared" si="0"/>
        <v/>
      </c>
      <c r="E259" s="71"/>
      <c r="F259" s="66" t="str">
        <f t="shared" si="51"/>
        <v/>
      </c>
      <c r="G259" s="71"/>
      <c r="H259" s="66" t="str">
        <f t="shared" ref="H259:H322" si="52">IFERROR(VLOOKUP(G259,$X$6:$Y$276,2,FALSE),"")</f>
        <v/>
      </c>
      <c r="I259" s="59"/>
      <c r="J259" s="59"/>
      <c r="K259" s="59"/>
      <c r="L259" s="44"/>
      <c r="M259" s="44" t="str">
        <f t="shared" si="3"/>
        <v/>
      </c>
      <c r="N259" s="44" t="str">
        <f t="shared" si="4"/>
        <v/>
      </c>
      <c r="O259" s="44"/>
      <c r="P259" s="44"/>
      <c r="Q259" s="44"/>
      <c r="R259" s="44"/>
      <c r="S259" s="44"/>
      <c r="T259" s="44"/>
      <c r="U259" s="44"/>
      <c r="V259" s="44"/>
      <c r="W259" s="44"/>
      <c r="X259" s="44"/>
      <c r="Y259" s="44"/>
      <c r="Z259" s="44"/>
    </row>
    <row r="260" spans="1:26" ht="15.75" customHeight="1">
      <c r="A260" s="66" t="str">
        <f>IF(C260="","",VLOOKUP('Opći dio'!$C$3,'Opći dio'!$L$6:$U$137,10,FALSE))</f>
        <v/>
      </c>
      <c r="B260" s="66" t="str">
        <f>IF(C260="","",VLOOKUP('Opći dio'!$C$3,'Opći dio'!$L$6:$U$137,9,FALSE))</f>
        <v/>
      </c>
      <c r="C260" s="71"/>
      <c r="D260" s="66" t="str">
        <f t="shared" si="0"/>
        <v/>
      </c>
      <c r="E260" s="71"/>
      <c r="F260" s="66" t="str">
        <f t="shared" si="51"/>
        <v/>
      </c>
      <c r="G260" s="71"/>
      <c r="H260" s="66" t="str">
        <f t="shared" si="52"/>
        <v/>
      </c>
      <c r="I260" s="59"/>
      <c r="J260" s="59"/>
      <c r="K260" s="59"/>
      <c r="L260" s="44"/>
      <c r="M260" s="44" t="str">
        <f t="shared" si="3"/>
        <v/>
      </c>
      <c r="N260" s="44" t="str">
        <f t="shared" si="4"/>
        <v/>
      </c>
      <c r="O260" s="44"/>
      <c r="P260" s="44"/>
      <c r="Q260" s="44"/>
      <c r="R260" s="44"/>
      <c r="S260" s="44"/>
      <c r="T260" s="44"/>
      <c r="U260" s="44"/>
      <c r="V260" s="44"/>
      <c r="W260" s="44"/>
      <c r="X260" s="44"/>
      <c r="Y260" s="44"/>
      <c r="Z260" s="44"/>
    </row>
    <row r="261" spans="1:26" ht="15.75" customHeight="1">
      <c r="A261" s="66" t="str">
        <f>IF(C261="","",VLOOKUP('Opći dio'!$C$3,'Opći dio'!$L$6:$U$137,10,FALSE))</f>
        <v/>
      </c>
      <c r="B261" s="66" t="str">
        <f>IF(C261="","",VLOOKUP('Opći dio'!$C$3,'Opći dio'!$L$6:$U$137,9,FALSE))</f>
        <v/>
      </c>
      <c r="C261" s="71"/>
      <c r="D261" s="66" t="str">
        <f t="shared" si="0"/>
        <v/>
      </c>
      <c r="E261" s="71"/>
      <c r="F261" s="66" t="str">
        <f t="shared" si="51"/>
        <v/>
      </c>
      <c r="G261" s="71"/>
      <c r="H261" s="66" t="str">
        <f t="shared" si="52"/>
        <v/>
      </c>
      <c r="I261" s="59"/>
      <c r="J261" s="59"/>
      <c r="K261" s="59"/>
      <c r="L261" s="44"/>
      <c r="M261" s="44" t="str">
        <f t="shared" si="3"/>
        <v/>
      </c>
      <c r="N261" s="44" t="str">
        <f t="shared" si="4"/>
        <v/>
      </c>
      <c r="O261" s="44"/>
      <c r="P261" s="44"/>
      <c r="Q261" s="44"/>
      <c r="R261" s="44"/>
      <c r="S261" s="44"/>
      <c r="T261" s="44"/>
      <c r="U261" s="44"/>
      <c r="V261" s="44"/>
      <c r="W261" s="44"/>
      <c r="X261" s="44"/>
      <c r="Y261" s="44"/>
      <c r="Z261" s="44"/>
    </row>
    <row r="262" spans="1:26" ht="15.75" customHeight="1">
      <c r="A262" s="66" t="str">
        <f>IF(C262="","",VLOOKUP('Opći dio'!$C$3,'Opći dio'!$L$6:$U$137,10,FALSE))</f>
        <v/>
      </c>
      <c r="B262" s="66" t="str">
        <f>IF(C262="","",VLOOKUP('Opći dio'!$C$3,'Opći dio'!$L$6:$U$137,9,FALSE))</f>
        <v/>
      </c>
      <c r="C262" s="71"/>
      <c r="D262" s="66" t="str">
        <f t="shared" si="0"/>
        <v/>
      </c>
      <c r="E262" s="71"/>
      <c r="F262" s="66" t="str">
        <f t="shared" si="51"/>
        <v/>
      </c>
      <c r="G262" s="71"/>
      <c r="H262" s="66" t="str">
        <f t="shared" si="52"/>
        <v/>
      </c>
      <c r="I262" s="59"/>
      <c r="J262" s="59"/>
      <c r="K262" s="59"/>
      <c r="L262" s="44"/>
      <c r="M262" s="44" t="str">
        <f t="shared" si="3"/>
        <v/>
      </c>
      <c r="N262" s="44" t="str">
        <f t="shared" si="4"/>
        <v/>
      </c>
      <c r="O262" s="44"/>
      <c r="P262" s="44"/>
      <c r="Q262" s="44"/>
      <c r="R262" s="44"/>
      <c r="S262" s="44"/>
      <c r="T262" s="44"/>
      <c r="U262" s="44"/>
      <c r="V262" s="44"/>
      <c r="W262" s="44"/>
      <c r="X262" s="44"/>
      <c r="Y262" s="44"/>
      <c r="Z262" s="44"/>
    </row>
    <row r="263" spans="1:26" ht="15.75" customHeight="1">
      <c r="A263" s="66" t="str">
        <f>IF(C263="","",VLOOKUP('Opći dio'!$C$3,'Opći dio'!$L$6:$U$137,10,FALSE))</f>
        <v/>
      </c>
      <c r="B263" s="66" t="str">
        <f>IF(C263="","",VLOOKUP('Opći dio'!$C$3,'Opći dio'!$L$6:$U$137,9,FALSE))</f>
        <v/>
      </c>
      <c r="C263" s="71"/>
      <c r="D263" s="66" t="str">
        <f t="shared" si="0"/>
        <v/>
      </c>
      <c r="E263" s="71"/>
      <c r="F263" s="66" t="str">
        <f t="shared" si="51"/>
        <v/>
      </c>
      <c r="G263" s="71"/>
      <c r="H263" s="66" t="str">
        <f t="shared" si="52"/>
        <v/>
      </c>
      <c r="I263" s="59"/>
      <c r="J263" s="59"/>
      <c r="K263" s="59"/>
      <c r="L263" s="44"/>
      <c r="M263" s="44" t="str">
        <f t="shared" si="3"/>
        <v/>
      </c>
      <c r="N263" s="44" t="str">
        <f t="shared" si="4"/>
        <v/>
      </c>
      <c r="O263" s="44"/>
      <c r="P263" s="44"/>
      <c r="Q263" s="44"/>
      <c r="R263" s="44"/>
      <c r="S263" s="44"/>
      <c r="T263" s="44"/>
      <c r="U263" s="44"/>
      <c r="V263" s="44"/>
      <c r="W263" s="44"/>
      <c r="X263" s="44"/>
      <c r="Y263" s="44"/>
      <c r="Z263" s="44"/>
    </row>
    <row r="264" spans="1:26" ht="15.75" customHeight="1">
      <c r="A264" s="66" t="str">
        <f>IF(C264="","",VLOOKUP('Opći dio'!$C$3,'Opći dio'!$L$6:$U$137,10,FALSE))</f>
        <v/>
      </c>
      <c r="B264" s="66" t="str">
        <f>IF(C264="","",VLOOKUP('Opći dio'!$C$3,'Opći dio'!$L$6:$U$137,9,FALSE))</f>
        <v/>
      </c>
      <c r="C264" s="71"/>
      <c r="D264" s="66" t="str">
        <f t="shared" si="0"/>
        <v/>
      </c>
      <c r="E264" s="71"/>
      <c r="F264" s="66" t="str">
        <f t="shared" si="51"/>
        <v/>
      </c>
      <c r="G264" s="71"/>
      <c r="H264" s="66" t="str">
        <f t="shared" si="52"/>
        <v/>
      </c>
      <c r="I264" s="59"/>
      <c r="J264" s="59"/>
      <c r="K264" s="59"/>
      <c r="L264" s="44"/>
      <c r="M264" s="44" t="str">
        <f t="shared" si="3"/>
        <v/>
      </c>
      <c r="N264" s="44" t="str">
        <f t="shared" si="4"/>
        <v/>
      </c>
      <c r="O264" s="44"/>
      <c r="P264" s="44"/>
      <c r="Q264" s="44"/>
      <c r="R264" s="44"/>
      <c r="S264" s="44"/>
      <c r="T264" s="44"/>
      <c r="U264" s="44"/>
      <c r="V264" s="44"/>
      <c r="W264" s="44"/>
      <c r="X264" s="44"/>
      <c r="Y264" s="44"/>
      <c r="Z264" s="44"/>
    </row>
    <row r="265" spans="1:26" ht="15.75" customHeight="1">
      <c r="A265" s="66" t="str">
        <f>IF(C265="","",VLOOKUP('Opći dio'!$C$3,'Opći dio'!$L$6:$U$137,10,FALSE))</f>
        <v/>
      </c>
      <c r="B265" s="66" t="str">
        <f>IF(C265="","",VLOOKUP('Opći dio'!$C$3,'Opći dio'!$L$6:$U$137,9,FALSE))</f>
        <v/>
      </c>
      <c r="C265" s="71"/>
      <c r="D265" s="66" t="str">
        <f t="shared" si="0"/>
        <v/>
      </c>
      <c r="E265" s="71"/>
      <c r="F265" s="66" t="str">
        <f t="shared" si="51"/>
        <v/>
      </c>
      <c r="G265" s="71"/>
      <c r="H265" s="66" t="str">
        <f t="shared" si="52"/>
        <v/>
      </c>
      <c r="I265" s="59"/>
      <c r="J265" s="59"/>
      <c r="K265" s="59"/>
      <c r="L265" s="44"/>
      <c r="M265" s="44" t="str">
        <f t="shared" si="3"/>
        <v/>
      </c>
      <c r="N265" s="44" t="str">
        <f t="shared" si="4"/>
        <v/>
      </c>
      <c r="O265" s="44"/>
      <c r="P265" s="44"/>
      <c r="Q265" s="44"/>
      <c r="R265" s="44"/>
      <c r="S265" s="44"/>
      <c r="T265" s="44"/>
      <c r="U265" s="44"/>
      <c r="V265" s="44"/>
      <c r="W265" s="44"/>
      <c r="X265" s="44"/>
      <c r="Y265" s="44"/>
      <c r="Z265" s="44"/>
    </row>
    <row r="266" spans="1:26" ht="15.75" customHeight="1">
      <c r="A266" s="66" t="str">
        <f>IF(C266="","",VLOOKUP('Opći dio'!$C$3,'Opći dio'!$L$6:$U$137,10,FALSE))</f>
        <v/>
      </c>
      <c r="B266" s="66" t="str">
        <f>IF(C266="","",VLOOKUP('Opći dio'!$C$3,'Opći dio'!$L$6:$U$137,9,FALSE))</f>
        <v/>
      </c>
      <c r="C266" s="71"/>
      <c r="D266" s="66" t="str">
        <f t="shared" si="0"/>
        <v/>
      </c>
      <c r="E266" s="71"/>
      <c r="F266" s="66" t="str">
        <f t="shared" si="51"/>
        <v/>
      </c>
      <c r="G266" s="71"/>
      <c r="H266" s="66" t="str">
        <f t="shared" si="52"/>
        <v/>
      </c>
      <c r="I266" s="59"/>
      <c r="J266" s="59"/>
      <c r="K266" s="59"/>
      <c r="L266" s="44"/>
      <c r="M266" s="44" t="str">
        <f t="shared" si="3"/>
        <v/>
      </c>
      <c r="N266" s="44" t="str">
        <f t="shared" si="4"/>
        <v/>
      </c>
      <c r="O266" s="44"/>
      <c r="P266" s="44"/>
      <c r="Q266" s="44"/>
      <c r="R266" s="44"/>
      <c r="S266" s="44"/>
      <c r="T266" s="44"/>
      <c r="U266" s="44"/>
      <c r="V266" s="44"/>
      <c r="W266" s="44"/>
      <c r="X266" s="44"/>
      <c r="Y266" s="44"/>
      <c r="Z266" s="44"/>
    </row>
    <row r="267" spans="1:26" ht="15.75" customHeight="1">
      <c r="A267" s="66" t="str">
        <f>IF(C267="","",VLOOKUP('Opći dio'!$C$3,'Opći dio'!$L$6:$U$137,10,FALSE))</f>
        <v/>
      </c>
      <c r="B267" s="66" t="str">
        <f>IF(C267="","",VLOOKUP('Opći dio'!$C$3,'Opći dio'!$L$6:$U$137,9,FALSE))</f>
        <v/>
      </c>
      <c r="C267" s="71"/>
      <c r="D267" s="66" t="str">
        <f t="shared" si="0"/>
        <v/>
      </c>
      <c r="E267" s="71"/>
      <c r="F267" s="66" t="str">
        <f t="shared" si="51"/>
        <v/>
      </c>
      <c r="G267" s="71"/>
      <c r="H267" s="66" t="str">
        <f t="shared" si="52"/>
        <v/>
      </c>
      <c r="I267" s="59"/>
      <c r="J267" s="59"/>
      <c r="K267" s="59"/>
      <c r="L267" s="44"/>
      <c r="M267" s="44" t="str">
        <f t="shared" si="3"/>
        <v/>
      </c>
      <c r="N267" s="44" t="str">
        <f t="shared" si="4"/>
        <v/>
      </c>
      <c r="O267" s="44"/>
      <c r="P267" s="44"/>
      <c r="Q267" s="44"/>
      <c r="R267" s="44"/>
      <c r="S267" s="44"/>
      <c r="T267" s="44"/>
      <c r="U267" s="44"/>
      <c r="V267" s="44"/>
      <c r="W267" s="44"/>
      <c r="X267" s="44"/>
      <c r="Y267" s="44"/>
      <c r="Z267" s="44"/>
    </row>
    <row r="268" spans="1:26" ht="15.75" customHeight="1">
      <c r="A268" s="66" t="str">
        <f>IF(C268="","",VLOOKUP('Opći dio'!$C$3,'Opći dio'!$L$6:$U$137,10,FALSE))</f>
        <v/>
      </c>
      <c r="B268" s="66" t="str">
        <f>IF(C268="","",VLOOKUP('Opći dio'!$C$3,'Opći dio'!$L$6:$U$137,9,FALSE))</f>
        <v/>
      </c>
      <c r="C268" s="71"/>
      <c r="D268" s="66" t="str">
        <f t="shared" si="0"/>
        <v/>
      </c>
      <c r="E268" s="71"/>
      <c r="F268" s="66" t="str">
        <f t="shared" si="51"/>
        <v/>
      </c>
      <c r="G268" s="71"/>
      <c r="H268" s="66" t="str">
        <f t="shared" si="52"/>
        <v/>
      </c>
      <c r="I268" s="59"/>
      <c r="J268" s="59"/>
      <c r="K268" s="59"/>
      <c r="L268" s="44"/>
      <c r="M268" s="44" t="str">
        <f t="shared" si="3"/>
        <v/>
      </c>
      <c r="N268" s="44" t="str">
        <f t="shared" si="4"/>
        <v/>
      </c>
      <c r="O268" s="44"/>
      <c r="P268" s="44"/>
      <c r="Q268" s="44"/>
      <c r="R268" s="44"/>
      <c r="S268" s="44"/>
      <c r="T268" s="44"/>
      <c r="U268" s="44"/>
      <c r="V268" s="44"/>
      <c r="W268" s="44"/>
      <c r="X268" s="44"/>
      <c r="Y268" s="44"/>
      <c r="Z268" s="44"/>
    </row>
    <row r="269" spans="1:26" ht="15.75" customHeight="1">
      <c r="A269" s="66" t="str">
        <f>IF(C269="","",VLOOKUP('Opći dio'!$C$3,'Opći dio'!$L$6:$U$137,10,FALSE))</f>
        <v/>
      </c>
      <c r="B269" s="66" t="str">
        <f>IF(C269="","",VLOOKUP('Opći dio'!$C$3,'Opći dio'!$L$6:$U$137,9,FALSE))</f>
        <v/>
      </c>
      <c r="C269" s="71"/>
      <c r="D269" s="66" t="str">
        <f t="shared" si="0"/>
        <v/>
      </c>
      <c r="E269" s="71"/>
      <c r="F269" s="66" t="str">
        <f t="shared" ref="F269:F332" si="53">IFERROR(VLOOKUP(E269,$R$5:$T$109,2,FALSE),"")</f>
        <v/>
      </c>
      <c r="G269" s="71"/>
      <c r="H269" s="66" t="str">
        <f t="shared" si="52"/>
        <v/>
      </c>
      <c r="I269" s="59"/>
      <c r="J269" s="59"/>
      <c r="K269" s="59"/>
      <c r="L269" s="44"/>
      <c r="M269" s="44" t="str">
        <f t="shared" si="3"/>
        <v/>
      </c>
      <c r="N269" s="44" t="str">
        <f t="shared" si="4"/>
        <v/>
      </c>
      <c r="O269" s="44"/>
      <c r="P269" s="44"/>
      <c r="Q269" s="44"/>
      <c r="R269" s="44"/>
      <c r="S269" s="44"/>
      <c r="T269" s="44"/>
      <c r="U269" s="44"/>
      <c r="V269" s="44"/>
      <c r="W269" s="44"/>
      <c r="X269" s="44"/>
      <c r="Y269" s="44"/>
      <c r="Z269" s="44"/>
    </row>
    <row r="270" spans="1:26" ht="15.75" customHeight="1">
      <c r="A270" s="66" t="str">
        <f>IF(C270="","",VLOOKUP('Opći dio'!$C$3,'Opći dio'!$L$6:$U$137,10,FALSE))</f>
        <v/>
      </c>
      <c r="B270" s="66" t="str">
        <f>IF(C270="","",VLOOKUP('Opći dio'!$C$3,'Opći dio'!$L$6:$U$137,9,FALSE))</f>
        <v/>
      </c>
      <c r="C270" s="71"/>
      <c r="D270" s="66" t="str">
        <f t="shared" si="0"/>
        <v/>
      </c>
      <c r="E270" s="71"/>
      <c r="F270" s="66" t="str">
        <f t="shared" si="53"/>
        <v/>
      </c>
      <c r="G270" s="71"/>
      <c r="H270" s="66" t="str">
        <f t="shared" si="52"/>
        <v/>
      </c>
      <c r="I270" s="59"/>
      <c r="J270" s="59"/>
      <c r="K270" s="59"/>
      <c r="L270" s="44"/>
      <c r="M270" s="44" t="str">
        <f t="shared" si="3"/>
        <v/>
      </c>
      <c r="N270" s="44" t="str">
        <f t="shared" si="4"/>
        <v/>
      </c>
      <c r="O270" s="44"/>
      <c r="P270" s="44"/>
      <c r="Q270" s="44"/>
      <c r="R270" s="44"/>
      <c r="S270" s="44"/>
      <c r="T270" s="44"/>
      <c r="U270" s="44"/>
      <c r="V270" s="44"/>
      <c r="W270" s="44"/>
      <c r="X270" s="44"/>
      <c r="Y270" s="44"/>
      <c r="Z270" s="44"/>
    </row>
    <row r="271" spans="1:26" ht="15.75" customHeight="1">
      <c r="A271" s="66" t="str">
        <f>IF(C271="","",VLOOKUP('Opći dio'!$C$3,'Opći dio'!$L$6:$U$137,10,FALSE))</f>
        <v/>
      </c>
      <c r="B271" s="66" t="str">
        <f>IF(C271="","",VLOOKUP('Opći dio'!$C$3,'Opći dio'!$L$6:$U$137,9,FALSE))</f>
        <v/>
      </c>
      <c r="C271" s="71"/>
      <c r="D271" s="66" t="str">
        <f t="shared" si="0"/>
        <v/>
      </c>
      <c r="E271" s="71"/>
      <c r="F271" s="66" t="str">
        <f t="shared" si="53"/>
        <v/>
      </c>
      <c r="G271" s="71"/>
      <c r="H271" s="66" t="str">
        <f t="shared" si="52"/>
        <v/>
      </c>
      <c r="I271" s="59"/>
      <c r="J271" s="59"/>
      <c r="K271" s="59"/>
      <c r="L271" s="44"/>
      <c r="M271" s="44" t="str">
        <f t="shared" si="3"/>
        <v/>
      </c>
      <c r="N271" s="44" t="str">
        <f t="shared" si="4"/>
        <v/>
      </c>
      <c r="O271" s="44"/>
      <c r="P271" s="44"/>
      <c r="Q271" s="44"/>
      <c r="R271" s="44"/>
      <c r="S271" s="44"/>
      <c r="T271" s="44"/>
      <c r="U271" s="44"/>
      <c r="V271" s="44"/>
      <c r="W271" s="44"/>
      <c r="X271" s="44"/>
      <c r="Y271" s="44"/>
      <c r="Z271" s="44"/>
    </row>
    <row r="272" spans="1:26" ht="15.75" customHeight="1">
      <c r="A272" s="66" t="str">
        <f>IF(C272="","",VLOOKUP('Opći dio'!$C$3,'Opći dio'!$L$6:$U$137,10,FALSE))</f>
        <v/>
      </c>
      <c r="B272" s="66" t="str">
        <f>IF(C272="","",VLOOKUP('Opći dio'!$C$3,'Opći dio'!$L$6:$U$137,9,FALSE))</f>
        <v/>
      </c>
      <c r="C272" s="71"/>
      <c r="D272" s="66" t="str">
        <f t="shared" si="0"/>
        <v/>
      </c>
      <c r="E272" s="71"/>
      <c r="F272" s="66" t="str">
        <f t="shared" si="53"/>
        <v/>
      </c>
      <c r="G272" s="71"/>
      <c r="H272" s="66" t="str">
        <f t="shared" si="52"/>
        <v/>
      </c>
      <c r="I272" s="59"/>
      <c r="J272" s="59"/>
      <c r="K272" s="59"/>
      <c r="L272" s="44"/>
      <c r="M272" s="44" t="str">
        <f t="shared" si="3"/>
        <v/>
      </c>
      <c r="N272" s="44" t="str">
        <f t="shared" si="4"/>
        <v/>
      </c>
      <c r="O272" s="44"/>
      <c r="P272" s="44"/>
      <c r="Q272" s="44"/>
      <c r="R272" s="44"/>
      <c r="S272" s="44"/>
      <c r="T272" s="44"/>
      <c r="U272" s="44"/>
      <c r="V272" s="44"/>
      <c r="W272" s="44"/>
      <c r="X272" s="44"/>
      <c r="Y272" s="44"/>
      <c r="Z272" s="44"/>
    </row>
    <row r="273" spans="1:26" ht="15.75" customHeight="1">
      <c r="A273" s="66" t="str">
        <f>IF(C273="","",VLOOKUP('Opći dio'!$C$3,'Opći dio'!$L$6:$U$137,10,FALSE))</f>
        <v/>
      </c>
      <c r="B273" s="66" t="str">
        <f>IF(C273="","",VLOOKUP('Opći dio'!$C$3,'Opći dio'!$L$6:$U$137,9,FALSE))</f>
        <v/>
      </c>
      <c r="C273" s="71"/>
      <c r="D273" s="66" t="str">
        <f t="shared" si="0"/>
        <v/>
      </c>
      <c r="E273" s="71"/>
      <c r="F273" s="66" t="str">
        <f t="shared" si="53"/>
        <v/>
      </c>
      <c r="G273" s="71"/>
      <c r="H273" s="66" t="str">
        <f t="shared" si="52"/>
        <v/>
      </c>
      <c r="I273" s="59"/>
      <c r="J273" s="59"/>
      <c r="K273" s="59"/>
      <c r="L273" s="44"/>
      <c r="M273" s="44" t="str">
        <f t="shared" si="3"/>
        <v/>
      </c>
      <c r="N273" s="44" t="str">
        <f t="shared" si="4"/>
        <v/>
      </c>
      <c r="O273" s="44"/>
      <c r="P273" s="44"/>
      <c r="Q273" s="44"/>
      <c r="R273" s="44"/>
      <c r="S273" s="44"/>
      <c r="T273" s="44"/>
      <c r="U273" s="44"/>
      <c r="V273" s="44"/>
      <c r="W273" s="44"/>
      <c r="X273" s="44"/>
      <c r="Y273" s="44"/>
      <c r="Z273" s="44"/>
    </row>
    <row r="274" spans="1:26" ht="15.75" customHeight="1">
      <c r="A274" s="66" t="str">
        <f>IF(C274="","",VLOOKUP('Opći dio'!$C$3,'Opći dio'!$L$6:$U$137,10,FALSE))</f>
        <v/>
      </c>
      <c r="B274" s="66" t="str">
        <f>IF(C274="","",VLOOKUP('Opći dio'!$C$3,'Opći dio'!$L$6:$U$137,9,FALSE))</f>
        <v/>
      </c>
      <c r="C274" s="71"/>
      <c r="D274" s="66" t="str">
        <f t="shared" si="0"/>
        <v/>
      </c>
      <c r="E274" s="71"/>
      <c r="F274" s="66" t="str">
        <f t="shared" si="53"/>
        <v/>
      </c>
      <c r="G274" s="71"/>
      <c r="H274" s="66" t="str">
        <f t="shared" si="52"/>
        <v/>
      </c>
      <c r="I274" s="59"/>
      <c r="J274" s="59"/>
      <c r="K274" s="59"/>
      <c r="L274" s="44"/>
      <c r="M274" s="44" t="str">
        <f t="shared" si="3"/>
        <v/>
      </c>
      <c r="N274" s="44" t="str">
        <f t="shared" si="4"/>
        <v/>
      </c>
      <c r="O274" s="44"/>
      <c r="P274" s="44"/>
      <c r="Q274" s="44"/>
      <c r="R274" s="44"/>
      <c r="S274" s="44"/>
      <c r="T274" s="44"/>
      <c r="U274" s="44"/>
      <c r="V274" s="44"/>
      <c r="W274" s="44"/>
      <c r="X274" s="44"/>
      <c r="Y274" s="44"/>
      <c r="Z274" s="44"/>
    </row>
    <row r="275" spans="1:26" ht="15.75" customHeight="1">
      <c r="A275" s="66" t="str">
        <f>IF(C275="","",VLOOKUP('Opći dio'!$C$3,'Opći dio'!$L$6:$U$137,10,FALSE))</f>
        <v/>
      </c>
      <c r="B275" s="66" t="str">
        <f>IF(C275="","",VLOOKUP('Opći dio'!$C$3,'Opći dio'!$L$6:$U$137,9,FALSE))</f>
        <v/>
      </c>
      <c r="C275" s="71"/>
      <c r="D275" s="66" t="str">
        <f t="shared" si="0"/>
        <v/>
      </c>
      <c r="E275" s="71"/>
      <c r="F275" s="66" t="str">
        <f t="shared" si="53"/>
        <v/>
      </c>
      <c r="G275" s="71"/>
      <c r="H275" s="66" t="str">
        <f t="shared" si="52"/>
        <v/>
      </c>
      <c r="I275" s="59"/>
      <c r="J275" s="59"/>
      <c r="K275" s="59"/>
      <c r="L275" s="44"/>
      <c r="M275" s="44" t="str">
        <f t="shared" si="3"/>
        <v/>
      </c>
      <c r="N275" s="44" t="str">
        <f t="shared" si="4"/>
        <v/>
      </c>
      <c r="O275" s="44"/>
      <c r="P275" s="44"/>
      <c r="Q275" s="44"/>
      <c r="R275" s="44"/>
      <c r="S275" s="44"/>
      <c r="T275" s="44"/>
      <c r="U275" s="44"/>
      <c r="V275" s="44"/>
      <c r="W275" s="44"/>
      <c r="X275" s="44"/>
      <c r="Y275" s="44"/>
      <c r="Z275" s="44"/>
    </row>
    <row r="276" spans="1:26" ht="15.75" customHeight="1">
      <c r="A276" s="66" t="str">
        <f>IF(C276="","",VLOOKUP('Opći dio'!$C$3,'Opći dio'!$L$6:$U$137,10,FALSE))</f>
        <v/>
      </c>
      <c r="B276" s="66" t="str">
        <f>IF(C276="","",VLOOKUP('Opći dio'!$C$3,'Opći dio'!$L$6:$U$137,9,FALSE))</f>
        <v/>
      </c>
      <c r="C276" s="71"/>
      <c r="D276" s="66" t="str">
        <f t="shared" si="0"/>
        <v/>
      </c>
      <c r="E276" s="71"/>
      <c r="F276" s="66" t="str">
        <f t="shared" si="53"/>
        <v/>
      </c>
      <c r="G276" s="71"/>
      <c r="H276" s="66" t="str">
        <f t="shared" si="52"/>
        <v/>
      </c>
      <c r="I276" s="59"/>
      <c r="J276" s="59"/>
      <c r="K276" s="59"/>
      <c r="L276" s="44"/>
      <c r="M276" s="44" t="str">
        <f t="shared" si="3"/>
        <v/>
      </c>
      <c r="N276" s="44" t="str">
        <f t="shared" si="4"/>
        <v/>
      </c>
      <c r="O276" s="44"/>
      <c r="P276" s="44"/>
      <c r="Q276" s="44"/>
      <c r="R276" s="44"/>
      <c r="S276" s="44"/>
      <c r="T276" s="44"/>
      <c r="U276" s="44"/>
      <c r="V276" s="44"/>
      <c r="W276" s="44"/>
      <c r="X276" s="44"/>
      <c r="Y276" s="44"/>
      <c r="Z276" s="44"/>
    </row>
    <row r="277" spans="1:26" ht="15.75" customHeight="1">
      <c r="A277" s="66" t="str">
        <f>IF(C277="","",VLOOKUP('Opći dio'!$C$3,'Opći dio'!$L$6:$U$137,10,FALSE))</f>
        <v/>
      </c>
      <c r="B277" s="66" t="str">
        <f>IF(C277="","",VLOOKUP('Opći dio'!$C$3,'Opći dio'!$L$6:$U$137,9,FALSE))</f>
        <v/>
      </c>
      <c r="C277" s="71"/>
      <c r="D277" s="66" t="str">
        <f t="shared" si="0"/>
        <v/>
      </c>
      <c r="E277" s="71"/>
      <c r="F277" s="66" t="str">
        <f t="shared" si="53"/>
        <v/>
      </c>
      <c r="G277" s="71"/>
      <c r="H277" s="66" t="str">
        <f t="shared" si="52"/>
        <v/>
      </c>
      <c r="I277" s="59"/>
      <c r="J277" s="59"/>
      <c r="K277" s="59"/>
      <c r="L277" s="44"/>
      <c r="M277" s="44" t="str">
        <f t="shared" si="3"/>
        <v/>
      </c>
      <c r="N277" s="44" t="str">
        <f t="shared" si="4"/>
        <v/>
      </c>
      <c r="O277" s="44"/>
      <c r="P277" s="44"/>
      <c r="Q277" s="44"/>
      <c r="R277" s="44"/>
      <c r="S277" s="44"/>
      <c r="T277" s="44"/>
      <c r="U277" s="44"/>
      <c r="V277" s="44"/>
      <c r="W277" s="44"/>
      <c r="X277" s="44"/>
      <c r="Y277" s="44"/>
      <c r="Z277" s="44"/>
    </row>
    <row r="278" spans="1:26" ht="15.75" customHeight="1">
      <c r="A278" s="66" t="str">
        <f>IF(C278="","",VLOOKUP('Opći dio'!$C$3,'Opći dio'!$L$6:$U$137,10,FALSE))</f>
        <v/>
      </c>
      <c r="B278" s="66" t="str">
        <f>IF(C278="","",VLOOKUP('Opći dio'!$C$3,'Opći dio'!$L$6:$U$137,9,FALSE))</f>
        <v/>
      </c>
      <c r="C278" s="71"/>
      <c r="D278" s="66" t="str">
        <f t="shared" si="0"/>
        <v/>
      </c>
      <c r="E278" s="71"/>
      <c r="F278" s="66" t="str">
        <f t="shared" si="53"/>
        <v/>
      </c>
      <c r="G278" s="71"/>
      <c r="H278" s="66" t="str">
        <f t="shared" si="52"/>
        <v/>
      </c>
      <c r="I278" s="59"/>
      <c r="J278" s="59"/>
      <c r="K278" s="59"/>
      <c r="L278" s="44"/>
      <c r="M278" s="44" t="str">
        <f t="shared" si="3"/>
        <v/>
      </c>
      <c r="N278" s="44" t="str">
        <f t="shared" si="4"/>
        <v/>
      </c>
      <c r="O278" s="44"/>
      <c r="P278" s="44"/>
      <c r="Q278" s="44"/>
      <c r="R278" s="44"/>
      <c r="S278" s="44"/>
      <c r="T278" s="44"/>
      <c r="U278" s="44"/>
      <c r="V278" s="44"/>
      <c r="W278" s="44"/>
      <c r="X278" s="44"/>
      <c r="Y278" s="44"/>
      <c r="Z278" s="44"/>
    </row>
    <row r="279" spans="1:26" ht="15.75" customHeight="1">
      <c r="A279" s="66" t="str">
        <f>IF(C279="","",VLOOKUP('Opći dio'!$C$3,'Opći dio'!$L$6:$U$137,10,FALSE))</f>
        <v/>
      </c>
      <c r="B279" s="66" t="str">
        <f>IF(C279="","",VLOOKUP('Opći dio'!$C$3,'Opći dio'!$L$6:$U$137,9,FALSE))</f>
        <v/>
      </c>
      <c r="C279" s="71"/>
      <c r="D279" s="66" t="str">
        <f t="shared" si="0"/>
        <v/>
      </c>
      <c r="E279" s="71"/>
      <c r="F279" s="66" t="str">
        <f t="shared" si="53"/>
        <v/>
      </c>
      <c r="G279" s="71"/>
      <c r="H279" s="66" t="str">
        <f t="shared" si="52"/>
        <v/>
      </c>
      <c r="I279" s="59"/>
      <c r="J279" s="59"/>
      <c r="K279" s="59"/>
      <c r="L279" s="44"/>
      <c r="M279" s="44" t="str">
        <f t="shared" si="3"/>
        <v/>
      </c>
      <c r="N279" s="44" t="str">
        <f t="shared" si="4"/>
        <v/>
      </c>
      <c r="O279" s="44"/>
      <c r="P279" s="44"/>
      <c r="Q279" s="44"/>
      <c r="R279" s="44"/>
      <c r="S279" s="44"/>
      <c r="T279" s="44"/>
      <c r="U279" s="44"/>
      <c r="V279" s="44"/>
      <c r="W279" s="44"/>
      <c r="X279" s="44"/>
      <c r="Y279" s="44"/>
      <c r="Z279" s="44"/>
    </row>
    <row r="280" spans="1:26" ht="15.75" customHeight="1">
      <c r="A280" s="66" t="str">
        <f>IF(C280="","",VLOOKUP('Opći dio'!$C$3,'Opći dio'!$L$6:$U$137,10,FALSE))</f>
        <v/>
      </c>
      <c r="B280" s="66" t="str">
        <f>IF(C280="","",VLOOKUP('Opći dio'!$C$3,'Opći dio'!$L$6:$U$137,9,FALSE))</f>
        <v/>
      </c>
      <c r="C280" s="71"/>
      <c r="D280" s="66" t="str">
        <f t="shared" si="0"/>
        <v/>
      </c>
      <c r="E280" s="71"/>
      <c r="F280" s="66" t="str">
        <f t="shared" si="53"/>
        <v/>
      </c>
      <c r="G280" s="71"/>
      <c r="H280" s="66" t="str">
        <f t="shared" si="52"/>
        <v/>
      </c>
      <c r="I280" s="59"/>
      <c r="J280" s="59"/>
      <c r="K280" s="59"/>
      <c r="L280" s="44"/>
      <c r="M280" s="44" t="str">
        <f t="shared" si="3"/>
        <v/>
      </c>
      <c r="N280" s="44" t="str">
        <f t="shared" si="4"/>
        <v/>
      </c>
      <c r="O280" s="44"/>
      <c r="P280" s="44"/>
      <c r="Q280" s="44"/>
      <c r="R280" s="44"/>
      <c r="S280" s="44"/>
      <c r="T280" s="44"/>
      <c r="U280" s="44"/>
      <c r="V280" s="44"/>
      <c r="W280" s="44"/>
      <c r="X280" s="44"/>
      <c r="Y280" s="44"/>
      <c r="Z280" s="44"/>
    </row>
    <row r="281" spans="1:26" ht="15.75" customHeight="1">
      <c r="A281" s="66" t="str">
        <f>IF(C281="","",VLOOKUP('Opći dio'!$C$3,'Opći dio'!$L$6:$U$137,10,FALSE))</f>
        <v/>
      </c>
      <c r="B281" s="66" t="str">
        <f>IF(C281="","",VLOOKUP('Opći dio'!$C$3,'Opći dio'!$L$6:$U$137,9,FALSE))</f>
        <v/>
      </c>
      <c r="C281" s="71"/>
      <c r="D281" s="66" t="str">
        <f t="shared" si="0"/>
        <v/>
      </c>
      <c r="E281" s="71"/>
      <c r="F281" s="66" t="str">
        <f t="shared" si="53"/>
        <v/>
      </c>
      <c r="G281" s="71"/>
      <c r="H281" s="66" t="str">
        <f t="shared" si="52"/>
        <v/>
      </c>
      <c r="I281" s="59"/>
      <c r="J281" s="59"/>
      <c r="K281" s="59"/>
      <c r="L281" s="44"/>
      <c r="M281" s="44" t="str">
        <f t="shared" si="3"/>
        <v/>
      </c>
      <c r="N281" s="44" t="str">
        <f t="shared" si="4"/>
        <v/>
      </c>
      <c r="O281" s="44"/>
      <c r="P281" s="44"/>
      <c r="Q281" s="44"/>
      <c r="R281" s="44"/>
      <c r="S281" s="44"/>
      <c r="T281" s="44"/>
      <c r="U281" s="44"/>
      <c r="V281" s="44"/>
      <c r="W281" s="44"/>
      <c r="X281" s="44"/>
      <c r="Y281" s="44"/>
      <c r="Z281" s="44"/>
    </row>
    <row r="282" spans="1:26" ht="15.75" customHeight="1">
      <c r="A282" s="66" t="str">
        <f>IF(C282="","",VLOOKUP('Opći dio'!$C$3,'Opći dio'!$L$6:$U$137,10,FALSE))</f>
        <v/>
      </c>
      <c r="B282" s="66" t="str">
        <f>IF(C282="","",VLOOKUP('Opći dio'!$C$3,'Opći dio'!$L$6:$U$137,9,FALSE))</f>
        <v/>
      </c>
      <c r="C282" s="71"/>
      <c r="D282" s="66" t="str">
        <f t="shared" si="0"/>
        <v/>
      </c>
      <c r="E282" s="71"/>
      <c r="F282" s="66" t="str">
        <f t="shared" si="53"/>
        <v/>
      </c>
      <c r="G282" s="71"/>
      <c r="H282" s="66" t="str">
        <f t="shared" si="52"/>
        <v/>
      </c>
      <c r="I282" s="59"/>
      <c r="J282" s="59"/>
      <c r="K282" s="59"/>
      <c r="L282" s="44"/>
      <c r="M282" s="44" t="str">
        <f t="shared" si="3"/>
        <v/>
      </c>
      <c r="N282" s="44" t="str">
        <f t="shared" si="4"/>
        <v/>
      </c>
      <c r="O282" s="44"/>
      <c r="P282" s="44"/>
      <c r="Q282" s="44"/>
      <c r="R282" s="44"/>
      <c r="S282" s="44"/>
      <c r="T282" s="44"/>
      <c r="U282" s="44"/>
      <c r="V282" s="44"/>
      <c r="W282" s="44"/>
      <c r="X282" s="44"/>
      <c r="Y282" s="44"/>
      <c r="Z282" s="44"/>
    </row>
    <row r="283" spans="1:26" ht="15.75" customHeight="1">
      <c r="A283" s="66" t="str">
        <f>IF(C283="","",VLOOKUP('Opći dio'!$C$3,'Opći dio'!$L$6:$U$137,10,FALSE))</f>
        <v/>
      </c>
      <c r="B283" s="66" t="str">
        <f>IF(C283="","",VLOOKUP('Opći dio'!$C$3,'Opći dio'!$L$6:$U$137,9,FALSE))</f>
        <v/>
      </c>
      <c r="C283" s="71"/>
      <c r="D283" s="66" t="str">
        <f t="shared" si="0"/>
        <v/>
      </c>
      <c r="E283" s="71"/>
      <c r="F283" s="66" t="str">
        <f t="shared" si="53"/>
        <v/>
      </c>
      <c r="G283" s="71"/>
      <c r="H283" s="66" t="str">
        <f t="shared" si="52"/>
        <v/>
      </c>
      <c r="I283" s="59"/>
      <c r="J283" s="59"/>
      <c r="K283" s="59"/>
      <c r="L283" s="44"/>
      <c r="M283" s="44" t="str">
        <f t="shared" si="3"/>
        <v/>
      </c>
      <c r="N283" s="44" t="str">
        <f t="shared" si="4"/>
        <v/>
      </c>
      <c r="O283" s="44"/>
      <c r="P283" s="44"/>
      <c r="Q283" s="44"/>
      <c r="R283" s="44"/>
      <c r="S283" s="44"/>
      <c r="T283" s="44"/>
      <c r="U283" s="44"/>
      <c r="V283" s="44"/>
      <c r="W283" s="44"/>
      <c r="X283" s="44"/>
      <c r="Y283" s="44"/>
      <c r="Z283" s="44"/>
    </row>
    <row r="284" spans="1:26" ht="15.75" customHeight="1">
      <c r="A284" s="66" t="str">
        <f>IF(C284="","",VLOOKUP('Opći dio'!$C$3,'Opći dio'!$L$6:$U$137,10,FALSE))</f>
        <v/>
      </c>
      <c r="B284" s="66" t="str">
        <f>IF(C284="","",VLOOKUP('Opći dio'!$C$3,'Opći dio'!$L$6:$U$137,9,FALSE))</f>
        <v/>
      </c>
      <c r="C284" s="71"/>
      <c r="D284" s="66" t="str">
        <f t="shared" si="0"/>
        <v/>
      </c>
      <c r="E284" s="71"/>
      <c r="F284" s="66" t="str">
        <f t="shared" si="53"/>
        <v/>
      </c>
      <c r="G284" s="71"/>
      <c r="H284" s="66" t="str">
        <f t="shared" si="52"/>
        <v/>
      </c>
      <c r="I284" s="59"/>
      <c r="J284" s="59"/>
      <c r="K284" s="59"/>
      <c r="L284" s="44"/>
      <c r="M284" s="44" t="str">
        <f t="shared" si="3"/>
        <v/>
      </c>
      <c r="N284" s="44" t="str">
        <f t="shared" si="4"/>
        <v/>
      </c>
      <c r="O284" s="44"/>
      <c r="P284" s="44"/>
      <c r="Q284" s="44"/>
      <c r="R284" s="44"/>
      <c r="S284" s="44"/>
      <c r="T284" s="44"/>
      <c r="U284" s="44"/>
      <c r="V284" s="44"/>
      <c r="W284" s="44"/>
      <c r="X284" s="44"/>
      <c r="Y284" s="44"/>
      <c r="Z284" s="44"/>
    </row>
    <row r="285" spans="1:26" ht="15.75" customHeight="1">
      <c r="A285" s="66" t="str">
        <f>IF(C285="","",VLOOKUP('Opći dio'!$C$3,'Opći dio'!$L$6:$U$137,10,FALSE))</f>
        <v/>
      </c>
      <c r="B285" s="66" t="str">
        <f>IF(C285="","",VLOOKUP('Opći dio'!$C$3,'Opći dio'!$L$6:$U$137,9,FALSE))</f>
        <v/>
      </c>
      <c r="C285" s="71"/>
      <c r="D285" s="66" t="str">
        <f t="shared" si="0"/>
        <v/>
      </c>
      <c r="E285" s="71"/>
      <c r="F285" s="66" t="str">
        <f t="shared" si="53"/>
        <v/>
      </c>
      <c r="G285" s="71"/>
      <c r="H285" s="66" t="str">
        <f t="shared" si="52"/>
        <v/>
      </c>
      <c r="I285" s="59"/>
      <c r="J285" s="59"/>
      <c r="K285" s="59"/>
      <c r="L285" s="44"/>
      <c r="M285" s="44" t="str">
        <f t="shared" si="3"/>
        <v/>
      </c>
      <c r="N285" s="44" t="str">
        <f t="shared" si="4"/>
        <v/>
      </c>
      <c r="O285" s="44"/>
      <c r="P285" s="44"/>
      <c r="Q285" s="44"/>
      <c r="R285" s="44"/>
      <c r="S285" s="44"/>
      <c r="T285" s="44"/>
      <c r="U285" s="44"/>
      <c r="V285" s="44"/>
      <c r="W285" s="44"/>
      <c r="X285" s="44"/>
      <c r="Y285" s="44"/>
      <c r="Z285" s="44"/>
    </row>
    <row r="286" spans="1:26" ht="15.75" customHeight="1">
      <c r="A286" s="66" t="str">
        <f>IF(C286="","",VLOOKUP('Opći dio'!$C$3,'Opći dio'!$L$6:$U$137,10,FALSE))</f>
        <v/>
      </c>
      <c r="B286" s="66" t="str">
        <f>IF(C286="","",VLOOKUP('Opći dio'!$C$3,'Opći dio'!$L$6:$U$137,9,FALSE))</f>
        <v/>
      </c>
      <c r="C286" s="71"/>
      <c r="D286" s="66" t="str">
        <f t="shared" si="0"/>
        <v/>
      </c>
      <c r="E286" s="71"/>
      <c r="F286" s="66" t="str">
        <f t="shared" si="53"/>
        <v/>
      </c>
      <c r="G286" s="71"/>
      <c r="H286" s="66" t="str">
        <f t="shared" si="52"/>
        <v/>
      </c>
      <c r="I286" s="59"/>
      <c r="J286" s="59"/>
      <c r="K286" s="59"/>
      <c r="L286" s="44"/>
      <c r="M286" s="44" t="str">
        <f t="shared" si="3"/>
        <v/>
      </c>
      <c r="N286" s="44" t="str">
        <f t="shared" si="4"/>
        <v/>
      </c>
      <c r="O286" s="44"/>
      <c r="P286" s="44"/>
      <c r="Q286" s="44"/>
      <c r="R286" s="44"/>
      <c r="S286" s="44"/>
      <c r="T286" s="44"/>
      <c r="U286" s="44"/>
      <c r="V286" s="44"/>
      <c r="W286" s="44"/>
      <c r="X286" s="44"/>
      <c r="Y286" s="44"/>
      <c r="Z286" s="44"/>
    </row>
    <row r="287" spans="1:26" ht="15.75" customHeight="1">
      <c r="A287" s="66" t="str">
        <f>IF(C287="","",VLOOKUP('Opći dio'!$C$3,'Opći dio'!$L$6:$U$137,10,FALSE))</f>
        <v/>
      </c>
      <c r="B287" s="66" t="str">
        <f>IF(C287="","",VLOOKUP('Opći dio'!$C$3,'Opći dio'!$L$6:$U$137,9,FALSE))</f>
        <v/>
      </c>
      <c r="C287" s="71"/>
      <c r="D287" s="66" t="str">
        <f t="shared" si="0"/>
        <v/>
      </c>
      <c r="E287" s="71"/>
      <c r="F287" s="66" t="str">
        <f t="shared" si="53"/>
        <v/>
      </c>
      <c r="G287" s="71"/>
      <c r="H287" s="66" t="str">
        <f t="shared" si="52"/>
        <v/>
      </c>
      <c r="I287" s="59"/>
      <c r="J287" s="59"/>
      <c r="K287" s="59"/>
      <c r="L287" s="44"/>
      <c r="M287" s="44" t="str">
        <f t="shared" si="3"/>
        <v/>
      </c>
      <c r="N287" s="44" t="str">
        <f t="shared" si="4"/>
        <v/>
      </c>
      <c r="O287" s="44"/>
      <c r="P287" s="44"/>
      <c r="Q287" s="44"/>
      <c r="R287" s="44"/>
      <c r="S287" s="44"/>
      <c r="T287" s="44"/>
      <c r="U287" s="44"/>
      <c r="V287" s="44"/>
      <c r="W287" s="44"/>
      <c r="X287" s="44"/>
      <c r="Y287" s="44"/>
      <c r="Z287" s="44"/>
    </row>
    <row r="288" spans="1:26" ht="15.75" customHeight="1">
      <c r="A288" s="66" t="str">
        <f>IF(C288="","",VLOOKUP('Opći dio'!$C$3,'Opći dio'!$L$6:$U$137,10,FALSE))</f>
        <v/>
      </c>
      <c r="B288" s="66" t="str">
        <f>IF(C288="","",VLOOKUP('Opći dio'!$C$3,'Opći dio'!$L$6:$U$137,9,FALSE))</f>
        <v/>
      </c>
      <c r="C288" s="71"/>
      <c r="D288" s="66" t="str">
        <f t="shared" si="0"/>
        <v/>
      </c>
      <c r="E288" s="71"/>
      <c r="F288" s="66" t="str">
        <f t="shared" si="53"/>
        <v/>
      </c>
      <c r="G288" s="71"/>
      <c r="H288" s="66" t="str">
        <f t="shared" si="52"/>
        <v/>
      </c>
      <c r="I288" s="59"/>
      <c r="J288" s="59"/>
      <c r="K288" s="59"/>
      <c r="L288" s="44"/>
      <c r="M288" s="44" t="str">
        <f t="shared" si="3"/>
        <v/>
      </c>
      <c r="N288" s="44" t="str">
        <f t="shared" si="4"/>
        <v/>
      </c>
      <c r="O288" s="44"/>
      <c r="P288" s="44"/>
      <c r="Q288" s="44"/>
      <c r="R288" s="44"/>
      <c r="S288" s="44"/>
      <c r="T288" s="44"/>
      <c r="U288" s="44"/>
      <c r="V288" s="44"/>
      <c r="W288" s="44"/>
      <c r="X288" s="44"/>
      <c r="Y288" s="44"/>
      <c r="Z288" s="44"/>
    </row>
    <row r="289" spans="1:26" ht="15.75" customHeight="1">
      <c r="A289" s="66" t="str">
        <f>IF(C289="","",VLOOKUP('Opći dio'!$C$3,'Opći dio'!$L$6:$U$137,10,FALSE))</f>
        <v/>
      </c>
      <c r="B289" s="66" t="str">
        <f>IF(C289="","",VLOOKUP('Opći dio'!$C$3,'Opći dio'!$L$6:$U$137,9,FALSE))</f>
        <v/>
      </c>
      <c r="C289" s="71"/>
      <c r="D289" s="66" t="str">
        <f t="shared" si="0"/>
        <v/>
      </c>
      <c r="E289" s="71"/>
      <c r="F289" s="66" t="str">
        <f t="shared" si="53"/>
        <v/>
      </c>
      <c r="G289" s="71"/>
      <c r="H289" s="66" t="str">
        <f t="shared" si="52"/>
        <v/>
      </c>
      <c r="I289" s="59"/>
      <c r="J289" s="59"/>
      <c r="K289" s="59"/>
      <c r="L289" s="44"/>
      <c r="M289" s="44" t="str">
        <f t="shared" si="3"/>
        <v/>
      </c>
      <c r="N289" s="44" t="str">
        <f t="shared" si="4"/>
        <v/>
      </c>
      <c r="O289" s="44"/>
      <c r="P289" s="44"/>
      <c r="Q289" s="44"/>
      <c r="R289" s="44"/>
      <c r="S289" s="44"/>
      <c r="T289" s="44"/>
      <c r="U289" s="44"/>
      <c r="V289" s="44"/>
      <c r="W289" s="44"/>
      <c r="X289" s="44"/>
      <c r="Y289" s="44"/>
      <c r="Z289" s="44"/>
    </row>
    <row r="290" spans="1:26" ht="15.75" customHeight="1">
      <c r="A290" s="66" t="str">
        <f>IF(C290="","",VLOOKUP('Opći dio'!$C$3,'Opći dio'!$L$6:$U$137,10,FALSE))</f>
        <v/>
      </c>
      <c r="B290" s="66" t="str">
        <f>IF(C290="","",VLOOKUP('Opći dio'!$C$3,'Opći dio'!$L$6:$U$137,9,FALSE))</f>
        <v/>
      </c>
      <c r="C290" s="71"/>
      <c r="D290" s="66" t="str">
        <f t="shared" si="0"/>
        <v/>
      </c>
      <c r="E290" s="71"/>
      <c r="F290" s="66" t="str">
        <f t="shared" si="53"/>
        <v/>
      </c>
      <c r="G290" s="71"/>
      <c r="H290" s="66" t="str">
        <f t="shared" si="52"/>
        <v/>
      </c>
      <c r="I290" s="59"/>
      <c r="J290" s="59"/>
      <c r="K290" s="59"/>
      <c r="L290" s="44"/>
      <c r="M290" s="44" t="str">
        <f t="shared" si="3"/>
        <v/>
      </c>
      <c r="N290" s="44" t="str">
        <f t="shared" si="4"/>
        <v/>
      </c>
      <c r="O290" s="44"/>
      <c r="P290" s="44"/>
      <c r="Q290" s="44"/>
      <c r="R290" s="44"/>
      <c r="S290" s="44"/>
      <c r="T290" s="44"/>
      <c r="U290" s="44"/>
      <c r="V290" s="44"/>
      <c r="W290" s="44"/>
      <c r="X290" s="44"/>
      <c r="Y290" s="44"/>
      <c r="Z290" s="44"/>
    </row>
    <row r="291" spans="1:26" ht="15.75" customHeight="1">
      <c r="A291" s="66" t="str">
        <f>IF(C291="","",VLOOKUP('Opći dio'!$C$3,'Opći dio'!$L$6:$U$137,10,FALSE))</f>
        <v/>
      </c>
      <c r="B291" s="66" t="str">
        <f>IF(C291="","",VLOOKUP('Opći dio'!$C$3,'Opći dio'!$L$6:$U$137,9,FALSE))</f>
        <v/>
      </c>
      <c r="C291" s="71"/>
      <c r="D291" s="66" t="str">
        <f t="shared" si="0"/>
        <v/>
      </c>
      <c r="E291" s="71"/>
      <c r="F291" s="66" t="str">
        <f t="shared" si="53"/>
        <v/>
      </c>
      <c r="G291" s="71"/>
      <c r="H291" s="66" t="str">
        <f t="shared" si="52"/>
        <v/>
      </c>
      <c r="I291" s="59"/>
      <c r="J291" s="59"/>
      <c r="K291" s="59"/>
      <c r="L291" s="44"/>
      <c r="M291" s="44" t="str">
        <f t="shared" si="3"/>
        <v/>
      </c>
      <c r="N291" s="44" t="str">
        <f t="shared" si="4"/>
        <v/>
      </c>
      <c r="O291" s="44"/>
      <c r="P291" s="44"/>
      <c r="Q291" s="44"/>
      <c r="R291" s="44"/>
      <c r="S291" s="44"/>
      <c r="T291" s="44"/>
      <c r="U291" s="44"/>
      <c r="V291" s="44"/>
      <c r="W291" s="44"/>
      <c r="X291" s="44"/>
      <c r="Y291" s="44"/>
      <c r="Z291" s="44"/>
    </row>
    <row r="292" spans="1:26" ht="15.75" customHeight="1">
      <c r="A292" s="66" t="str">
        <f>IF(C292="","",VLOOKUP('Opći dio'!$C$3,'Opći dio'!$L$6:$U$137,10,FALSE))</f>
        <v/>
      </c>
      <c r="B292" s="66" t="str">
        <f>IF(C292="","",VLOOKUP('Opći dio'!$C$3,'Opći dio'!$L$6:$U$137,9,FALSE))</f>
        <v/>
      </c>
      <c r="C292" s="71"/>
      <c r="D292" s="66" t="str">
        <f t="shared" si="0"/>
        <v/>
      </c>
      <c r="E292" s="71"/>
      <c r="F292" s="66" t="str">
        <f t="shared" si="53"/>
        <v/>
      </c>
      <c r="G292" s="71"/>
      <c r="H292" s="66" t="str">
        <f t="shared" si="52"/>
        <v/>
      </c>
      <c r="I292" s="59"/>
      <c r="J292" s="59"/>
      <c r="K292" s="59"/>
      <c r="L292" s="44"/>
      <c r="M292" s="44" t="str">
        <f t="shared" si="3"/>
        <v/>
      </c>
      <c r="N292" s="44" t="str">
        <f t="shared" si="4"/>
        <v/>
      </c>
      <c r="O292" s="44"/>
      <c r="P292" s="44"/>
      <c r="Q292" s="44"/>
      <c r="R292" s="44"/>
      <c r="S292" s="44"/>
      <c r="T292" s="44"/>
      <c r="U292" s="44"/>
      <c r="V292" s="44"/>
      <c r="W292" s="44"/>
      <c r="X292" s="44"/>
      <c r="Y292" s="44"/>
      <c r="Z292" s="44"/>
    </row>
    <row r="293" spans="1:26" ht="15.75" customHeight="1">
      <c r="A293" s="66" t="str">
        <f>IF(C293="","",VLOOKUP('Opći dio'!$C$3,'Opći dio'!$L$6:$U$137,10,FALSE))</f>
        <v/>
      </c>
      <c r="B293" s="66" t="str">
        <f>IF(C293="","",VLOOKUP('Opći dio'!$C$3,'Opći dio'!$L$6:$U$137,9,FALSE))</f>
        <v/>
      </c>
      <c r="C293" s="71"/>
      <c r="D293" s="66" t="str">
        <f t="shared" si="0"/>
        <v/>
      </c>
      <c r="E293" s="71"/>
      <c r="F293" s="66" t="str">
        <f t="shared" si="53"/>
        <v/>
      </c>
      <c r="G293" s="71"/>
      <c r="H293" s="66" t="str">
        <f t="shared" si="52"/>
        <v/>
      </c>
      <c r="I293" s="59"/>
      <c r="J293" s="59"/>
      <c r="K293" s="59"/>
      <c r="L293" s="44"/>
      <c r="M293" s="44" t="str">
        <f t="shared" si="3"/>
        <v/>
      </c>
      <c r="N293" s="44" t="str">
        <f t="shared" si="4"/>
        <v/>
      </c>
      <c r="O293" s="44"/>
      <c r="P293" s="44"/>
      <c r="Q293" s="44"/>
      <c r="R293" s="44"/>
      <c r="S293" s="44"/>
      <c r="T293" s="44"/>
      <c r="U293" s="44"/>
      <c r="V293" s="44"/>
      <c r="W293" s="44"/>
      <c r="X293" s="44"/>
      <c r="Y293" s="44"/>
      <c r="Z293" s="44"/>
    </row>
    <row r="294" spans="1:26" ht="15.75" customHeight="1">
      <c r="A294" s="66" t="str">
        <f>IF(C294="","",VLOOKUP('Opći dio'!$C$3,'Opći dio'!$L$6:$U$137,10,FALSE))</f>
        <v/>
      </c>
      <c r="B294" s="66" t="str">
        <f>IF(C294="","",VLOOKUP('Opći dio'!$C$3,'Opći dio'!$L$6:$U$137,9,FALSE))</f>
        <v/>
      </c>
      <c r="C294" s="71"/>
      <c r="D294" s="66" t="str">
        <f t="shared" si="0"/>
        <v/>
      </c>
      <c r="E294" s="71"/>
      <c r="F294" s="66" t="str">
        <f t="shared" si="53"/>
        <v/>
      </c>
      <c r="G294" s="71"/>
      <c r="H294" s="66" t="str">
        <f t="shared" si="52"/>
        <v/>
      </c>
      <c r="I294" s="59"/>
      <c r="J294" s="59"/>
      <c r="K294" s="59"/>
      <c r="L294" s="44"/>
      <c r="M294" s="44" t="str">
        <f t="shared" si="3"/>
        <v/>
      </c>
      <c r="N294" s="44" t="str">
        <f t="shared" si="4"/>
        <v/>
      </c>
      <c r="O294" s="44"/>
      <c r="P294" s="44"/>
      <c r="Q294" s="44"/>
      <c r="R294" s="44"/>
      <c r="S294" s="44"/>
      <c r="T294" s="44"/>
      <c r="U294" s="44"/>
      <c r="V294" s="44"/>
      <c r="W294" s="44"/>
      <c r="X294" s="44"/>
      <c r="Y294" s="44"/>
      <c r="Z294" s="44"/>
    </row>
    <row r="295" spans="1:26" ht="15.75" customHeight="1">
      <c r="A295" s="66" t="str">
        <f>IF(C295="","",VLOOKUP('Opći dio'!$C$3,'Opći dio'!$L$6:$U$137,10,FALSE))</f>
        <v/>
      </c>
      <c r="B295" s="66" t="str">
        <f>IF(C295="","",VLOOKUP('Opći dio'!$C$3,'Opći dio'!$L$6:$U$137,9,FALSE))</f>
        <v/>
      </c>
      <c r="C295" s="71"/>
      <c r="D295" s="66" t="str">
        <f t="shared" si="0"/>
        <v/>
      </c>
      <c r="E295" s="71"/>
      <c r="F295" s="66" t="str">
        <f t="shared" si="53"/>
        <v/>
      </c>
      <c r="G295" s="71"/>
      <c r="H295" s="66" t="str">
        <f t="shared" si="52"/>
        <v/>
      </c>
      <c r="I295" s="59"/>
      <c r="J295" s="59"/>
      <c r="K295" s="59"/>
      <c r="L295" s="44"/>
      <c r="M295" s="44" t="str">
        <f t="shared" si="3"/>
        <v/>
      </c>
      <c r="N295" s="44" t="str">
        <f t="shared" si="4"/>
        <v/>
      </c>
      <c r="O295" s="44"/>
      <c r="P295" s="44"/>
      <c r="Q295" s="44"/>
      <c r="R295" s="44"/>
      <c r="S295" s="44"/>
      <c r="T295" s="44"/>
      <c r="U295" s="44"/>
      <c r="V295" s="44"/>
      <c r="W295" s="44"/>
      <c r="X295" s="44"/>
      <c r="Y295" s="44"/>
      <c r="Z295" s="44"/>
    </row>
    <row r="296" spans="1:26" ht="15.75" customHeight="1">
      <c r="A296" s="66" t="str">
        <f>IF(C296="","",VLOOKUP('Opći dio'!$C$3,'Opći dio'!$L$6:$U$137,10,FALSE))</f>
        <v/>
      </c>
      <c r="B296" s="66" t="str">
        <f>IF(C296="","",VLOOKUP('Opći dio'!$C$3,'Opći dio'!$L$6:$U$137,9,FALSE))</f>
        <v/>
      </c>
      <c r="C296" s="71"/>
      <c r="D296" s="66" t="str">
        <f t="shared" si="0"/>
        <v/>
      </c>
      <c r="E296" s="71"/>
      <c r="F296" s="66" t="str">
        <f t="shared" si="53"/>
        <v/>
      </c>
      <c r="G296" s="71"/>
      <c r="H296" s="66" t="str">
        <f t="shared" si="52"/>
        <v/>
      </c>
      <c r="I296" s="59"/>
      <c r="J296" s="59"/>
      <c r="K296" s="59"/>
      <c r="L296" s="44"/>
      <c r="M296" s="44" t="str">
        <f t="shared" si="3"/>
        <v/>
      </c>
      <c r="N296" s="44" t="str">
        <f t="shared" si="4"/>
        <v/>
      </c>
      <c r="O296" s="44"/>
      <c r="P296" s="44"/>
      <c r="Q296" s="44"/>
      <c r="R296" s="44"/>
      <c r="S296" s="44"/>
      <c r="T296" s="44"/>
      <c r="U296" s="44"/>
      <c r="V296" s="44"/>
      <c r="W296" s="44"/>
      <c r="X296" s="44"/>
      <c r="Y296" s="44"/>
      <c r="Z296" s="44"/>
    </row>
    <row r="297" spans="1:26" ht="15.75" customHeight="1">
      <c r="A297" s="66" t="str">
        <f>IF(C297="","",VLOOKUP('Opći dio'!$C$3,'Opći dio'!$L$6:$U$137,10,FALSE))</f>
        <v/>
      </c>
      <c r="B297" s="66" t="str">
        <f>IF(C297="","",VLOOKUP('Opći dio'!$C$3,'Opći dio'!$L$6:$U$137,9,FALSE))</f>
        <v/>
      </c>
      <c r="C297" s="71"/>
      <c r="D297" s="66" t="str">
        <f t="shared" si="0"/>
        <v/>
      </c>
      <c r="E297" s="71"/>
      <c r="F297" s="66" t="str">
        <f t="shared" si="53"/>
        <v/>
      </c>
      <c r="G297" s="71"/>
      <c r="H297" s="66" t="str">
        <f t="shared" si="52"/>
        <v/>
      </c>
      <c r="I297" s="59"/>
      <c r="J297" s="59"/>
      <c r="K297" s="59"/>
      <c r="L297" s="44"/>
      <c r="M297" s="44" t="str">
        <f t="shared" si="3"/>
        <v/>
      </c>
      <c r="N297" s="44" t="str">
        <f t="shared" si="4"/>
        <v/>
      </c>
      <c r="O297" s="44"/>
      <c r="P297" s="44"/>
      <c r="Q297" s="44"/>
      <c r="R297" s="44"/>
      <c r="S297" s="44"/>
      <c r="T297" s="44"/>
      <c r="U297" s="44"/>
      <c r="V297" s="44"/>
      <c r="W297" s="44"/>
      <c r="X297" s="44"/>
      <c r="Y297" s="44"/>
      <c r="Z297" s="44"/>
    </row>
    <row r="298" spans="1:26" ht="15.75" customHeight="1">
      <c r="A298" s="66" t="str">
        <f>IF(C298="","",VLOOKUP('Opći dio'!$C$3,'Opći dio'!$L$6:$U$137,10,FALSE))</f>
        <v/>
      </c>
      <c r="B298" s="66" t="str">
        <f>IF(C298="","",VLOOKUP('Opći dio'!$C$3,'Opći dio'!$L$6:$U$137,9,FALSE))</f>
        <v/>
      </c>
      <c r="C298" s="71"/>
      <c r="D298" s="66" t="str">
        <f t="shared" si="0"/>
        <v/>
      </c>
      <c r="E298" s="71"/>
      <c r="F298" s="66" t="str">
        <f t="shared" si="53"/>
        <v/>
      </c>
      <c r="G298" s="71"/>
      <c r="H298" s="66" t="str">
        <f t="shared" si="52"/>
        <v/>
      </c>
      <c r="I298" s="59"/>
      <c r="J298" s="59"/>
      <c r="K298" s="59"/>
      <c r="L298" s="44"/>
      <c r="M298" s="44" t="str">
        <f t="shared" si="3"/>
        <v/>
      </c>
      <c r="N298" s="44" t="str">
        <f t="shared" si="4"/>
        <v/>
      </c>
      <c r="O298" s="44"/>
      <c r="P298" s="44"/>
      <c r="Q298" s="44"/>
      <c r="R298" s="44"/>
      <c r="S298" s="44"/>
      <c r="T298" s="44"/>
      <c r="U298" s="44"/>
      <c r="V298" s="44"/>
      <c r="W298" s="44"/>
      <c r="X298" s="44"/>
      <c r="Y298" s="44"/>
      <c r="Z298" s="44"/>
    </row>
    <row r="299" spans="1:26" ht="15.75" customHeight="1">
      <c r="A299" s="66" t="str">
        <f>IF(C299="","",VLOOKUP('Opći dio'!$C$3,'Opći dio'!$L$6:$U$137,10,FALSE))</f>
        <v/>
      </c>
      <c r="B299" s="66" t="str">
        <f>IF(C299="","",VLOOKUP('Opći dio'!$C$3,'Opći dio'!$L$6:$U$137,9,FALSE))</f>
        <v/>
      </c>
      <c r="C299" s="71"/>
      <c r="D299" s="66" t="str">
        <f t="shared" si="0"/>
        <v/>
      </c>
      <c r="E299" s="71"/>
      <c r="F299" s="66" t="str">
        <f t="shared" si="53"/>
        <v/>
      </c>
      <c r="G299" s="71"/>
      <c r="H299" s="66" t="str">
        <f t="shared" si="52"/>
        <v/>
      </c>
      <c r="I299" s="59"/>
      <c r="J299" s="59"/>
      <c r="K299" s="59"/>
      <c r="L299" s="44"/>
      <c r="M299" s="44" t="str">
        <f t="shared" si="3"/>
        <v/>
      </c>
      <c r="N299" s="44" t="str">
        <f t="shared" si="4"/>
        <v/>
      </c>
      <c r="O299" s="44"/>
      <c r="P299" s="44"/>
      <c r="Q299" s="44"/>
      <c r="R299" s="44"/>
      <c r="S299" s="44"/>
      <c r="T299" s="44"/>
      <c r="U299" s="44"/>
      <c r="V299" s="44"/>
      <c r="W299" s="44"/>
      <c r="X299" s="44"/>
      <c r="Y299" s="44"/>
      <c r="Z299" s="44"/>
    </row>
    <row r="300" spans="1:26" ht="15.75" customHeight="1">
      <c r="A300" s="66" t="str">
        <f>IF(C300="","",VLOOKUP('Opći dio'!$C$3,'Opći dio'!$L$6:$U$137,10,FALSE))</f>
        <v/>
      </c>
      <c r="B300" s="66" t="str">
        <f>IF(C300="","",VLOOKUP('Opći dio'!$C$3,'Opći dio'!$L$6:$U$137,9,FALSE))</f>
        <v/>
      </c>
      <c r="C300" s="71"/>
      <c r="D300" s="66" t="str">
        <f t="shared" si="0"/>
        <v/>
      </c>
      <c r="E300" s="71"/>
      <c r="F300" s="66" t="str">
        <f t="shared" si="53"/>
        <v/>
      </c>
      <c r="G300" s="71"/>
      <c r="H300" s="66" t="str">
        <f t="shared" si="52"/>
        <v/>
      </c>
      <c r="I300" s="59"/>
      <c r="J300" s="59"/>
      <c r="K300" s="59"/>
      <c r="L300" s="44"/>
      <c r="M300" s="44" t="str">
        <f t="shared" si="3"/>
        <v/>
      </c>
      <c r="N300" s="44" t="str">
        <f t="shared" si="4"/>
        <v/>
      </c>
      <c r="O300" s="44"/>
      <c r="P300" s="44"/>
      <c r="Q300" s="44"/>
      <c r="R300" s="44"/>
      <c r="S300" s="44"/>
      <c r="T300" s="44"/>
      <c r="U300" s="44"/>
      <c r="V300" s="44"/>
      <c r="W300" s="44"/>
      <c r="X300" s="44"/>
      <c r="Y300" s="44"/>
      <c r="Z300" s="44"/>
    </row>
    <row r="301" spans="1:26" ht="15.75" customHeight="1">
      <c r="A301" s="66" t="str">
        <f>IF(C301="","",VLOOKUP('Opći dio'!$C$3,'Opći dio'!$L$6:$U$137,10,FALSE))</f>
        <v/>
      </c>
      <c r="B301" s="66" t="str">
        <f>IF(C301="","",VLOOKUP('Opći dio'!$C$3,'Opći dio'!$L$6:$U$137,9,FALSE))</f>
        <v/>
      </c>
      <c r="C301" s="71"/>
      <c r="D301" s="66" t="str">
        <f t="shared" si="0"/>
        <v/>
      </c>
      <c r="E301" s="71"/>
      <c r="F301" s="66" t="str">
        <f t="shared" si="53"/>
        <v/>
      </c>
      <c r="G301" s="71"/>
      <c r="H301" s="66" t="str">
        <f t="shared" si="52"/>
        <v/>
      </c>
      <c r="I301" s="59"/>
      <c r="J301" s="59"/>
      <c r="K301" s="59"/>
      <c r="L301" s="44"/>
      <c r="M301" s="44" t="str">
        <f t="shared" si="3"/>
        <v/>
      </c>
      <c r="N301" s="44" t="str">
        <f t="shared" si="4"/>
        <v/>
      </c>
      <c r="O301" s="44"/>
      <c r="P301" s="44"/>
      <c r="Q301" s="44"/>
      <c r="R301" s="44"/>
      <c r="S301" s="44"/>
      <c r="T301" s="44"/>
      <c r="U301" s="44"/>
      <c r="V301" s="44"/>
      <c r="W301" s="44"/>
      <c r="X301" s="44"/>
      <c r="Y301" s="44"/>
      <c r="Z301" s="44"/>
    </row>
    <row r="302" spans="1:26" ht="15.75" customHeight="1">
      <c r="A302" s="66" t="str">
        <f>IF(C302="","",VLOOKUP('Opći dio'!$C$3,'Opći dio'!$L$6:$U$137,10,FALSE))</f>
        <v/>
      </c>
      <c r="B302" s="66" t="str">
        <f>IF(C302="","",VLOOKUP('Opći dio'!$C$3,'Opći dio'!$L$6:$U$137,9,FALSE))</f>
        <v/>
      </c>
      <c r="C302" s="71"/>
      <c r="D302" s="66" t="str">
        <f t="shared" si="0"/>
        <v/>
      </c>
      <c r="E302" s="71"/>
      <c r="F302" s="66" t="str">
        <f t="shared" si="53"/>
        <v/>
      </c>
      <c r="G302" s="71"/>
      <c r="H302" s="66" t="str">
        <f t="shared" si="52"/>
        <v/>
      </c>
      <c r="I302" s="59"/>
      <c r="J302" s="59"/>
      <c r="K302" s="59"/>
      <c r="L302" s="44"/>
      <c r="M302" s="44" t="str">
        <f t="shared" si="3"/>
        <v/>
      </c>
      <c r="N302" s="44" t="str">
        <f t="shared" si="4"/>
        <v/>
      </c>
      <c r="O302" s="44"/>
      <c r="P302" s="44"/>
      <c r="Q302" s="44"/>
      <c r="R302" s="44"/>
      <c r="S302" s="44"/>
      <c r="T302" s="44"/>
      <c r="U302" s="44"/>
      <c r="V302" s="44"/>
      <c r="W302" s="44"/>
      <c r="X302" s="44"/>
      <c r="Y302" s="44"/>
      <c r="Z302" s="44"/>
    </row>
    <row r="303" spans="1:26" ht="15.75" customHeight="1">
      <c r="A303" s="66" t="str">
        <f>IF(C303="","",VLOOKUP('Opći dio'!$C$3,'Opći dio'!$L$6:$U$137,10,FALSE))</f>
        <v/>
      </c>
      <c r="B303" s="66" t="str">
        <f>IF(C303="","",VLOOKUP('Opći dio'!$C$3,'Opći dio'!$L$6:$U$137,9,FALSE))</f>
        <v/>
      </c>
      <c r="C303" s="71"/>
      <c r="D303" s="66" t="str">
        <f t="shared" si="0"/>
        <v/>
      </c>
      <c r="E303" s="71"/>
      <c r="F303" s="66" t="str">
        <f t="shared" si="53"/>
        <v/>
      </c>
      <c r="G303" s="71"/>
      <c r="H303" s="66" t="str">
        <f t="shared" si="52"/>
        <v/>
      </c>
      <c r="I303" s="59"/>
      <c r="J303" s="59"/>
      <c r="K303" s="59"/>
      <c r="L303" s="44"/>
      <c r="M303" s="44" t="str">
        <f t="shared" si="3"/>
        <v/>
      </c>
      <c r="N303" s="44" t="str">
        <f t="shared" si="4"/>
        <v/>
      </c>
      <c r="O303" s="44"/>
      <c r="P303" s="44"/>
      <c r="Q303" s="44"/>
      <c r="R303" s="44"/>
      <c r="S303" s="44"/>
      <c r="T303" s="44"/>
      <c r="U303" s="44"/>
      <c r="V303" s="44"/>
      <c r="W303" s="44"/>
      <c r="X303" s="44"/>
      <c r="Y303" s="44"/>
      <c r="Z303" s="44"/>
    </row>
    <row r="304" spans="1:26" ht="15.75" customHeight="1">
      <c r="A304" s="66" t="str">
        <f>IF(C304="","",VLOOKUP('Opći dio'!$C$3,'Opći dio'!$L$6:$U$137,10,FALSE))</f>
        <v/>
      </c>
      <c r="B304" s="66" t="str">
        <f>IF(C304="","",VLOOKUP('Opći dio'!$C$3,'Opći dio'!$L$6:$U$137,9,FALSE))</f>
        <v/>
      </c>
      <c r="C304" s="71"/>
      <c r="D304" s="66" t="str">
        <f t="shared" si="0"/>
        <v/>
      </c>
      <c r="E304" s="71"/>
      <c r="F304" s="66" t="str">
        <f t="shared" si="53"/>
        <v/>
      </c>
      <c r="G304" s="71"/>
      <c r="H304" s="66" t="str">
        <f t="shared" si="52"/>
        <v/>
      </c>
      <c r="I304" s="59"/>
      <c r="J304" s="59"/>
      <c r="K304" s="59"/>
      <c r="L304" s="44"/>
      <c r="M304" s="44" t="str">
        <f t="shared" si="3"/>
        <v/>
      </c>
      <c r="N304" s="44" t="str">
        <f t="shared" si="4"/>
        <v/>
      </c>
      <c r="O304" s="44"/>
      <c r="P304" s="44"/>
      <c r="Q304" s="44"/>
      <c r="R304" s="44"/>
      <c r="S304" s="44"/>
      <c r="T304" s="44"/>
      <c r="U304" s="44"/>
      <c r="V304" s="44"/>
      <c r="W304" s="44"/>
      <c r="X304" s="44"/>
      <c r="Y304" s="44"/>
      <c r="Z304" s="44"/>
    </row>
    <row r="305" spans="1:26" ht="15.75" customHeight="1">
      <c r="A305" s="66" t="str">
        <f>IF(C305="","",VLOOKUP('Opći dio'!$C$3,'Opći dio'!$L$6:$U$137,10,FALSE))</f>
        <v/>
      </c>
      <c r="B305" s="66" t="str">
        <f>IF(C305="","",VLOOKUP('Opći dio'!$C$3,'Opći dio'!$L$6:$U$137,9,FALSE))</f>
        <v/>
      </c>
      <c r="C305" s="71"/>
      <c r="D305" s="66" t="str">
        <f t="shared" si="0"/>
        <v/>
      </c>
      <c r="E305" s="71"/>
      <c r="F305" s="66" t="str">
        <f t="shared" si="53"/>
        <v/>
      </c>
      <c r="G305" s="71"/>
      <c r="H305" s="66" t="str">
        <f t="shared" si="52"/>
        <v/>
      </c>
      <c r="I305" s="59"/>
      <c r="J305" s="59"/>
      <c r="K305" s="59"/>
      <c r="L305" s="44"/>
      <c r="M305" s="44" t="str">
        <f t="shared" si="3"/>
        <v/>
      </c>
      <c r="N305" s="44" t="str">
        <f t="shared" si="4"/>
        <v/>
      </c>
      <c r="O305" s="44"/>
      <c r="P305" s="44"/>
      <c r="Q305" s="44"/>
      <c r="R305" s="44"/>
      <c r="S305" s="44"/>
      <c r="T305" s="44"/>
      <c r="U305" s="44"/>
      <c r="V305" s="44"/>
      <c r="W305" s="44"/>
      <c r="X305" s="44"/>
      <c r="Y305" s="44"/>
      <c r="Z305" s="44"/>
    </row>
    <row r="306" spans="1:26" ht="15.75" customHeight="1">
      <c r="A306" s="66" t="str">
        <f>IF(C306="","",VLOOKUP('Opći dio'!$C$3,'Opći dio'!$L$6:$U$137,10,FALSE))</f>
        <v/>
      </c>
      <c r="B306" s="66" t="str">
        <f>IF(C306="","",VLOOKUP('Opći dio'!$C$3,'Opći dio'!$L$6:$U$137,9,FALSE))</f>
        <v/>
      </c>
      <c r="C306" s="71"/>
      <c r="D306" s="66" t="str">
        <f t="shared" si="0"/>
        <v/>
      </c>
      <c r="E306" s="71"/>
      <c r="F306" s="66" t="str">
        <f t="shared" si="53"/>
        <v/>
      </c>
      <c r="G306" s="71"/>
      <c r="H306" s="66" t="str">
        <f t="shared" si="52"/>
        <v/>
      </c>
      <c r="I306" s="59"/>
      <c r="J306" s="59"/>
      <c r="K306" s="59"/>
      <c r="L306" s="44"/>
      <c r="M306" s="44" t="str">
        <f t="shared" si="3"/>
        <v/>
      </c>
      <c r="N306" s="44" t="str">
        <f t="shared" si="4"/>
        <v/>
      </c>
      <c r="O306" s="44"/>
      <c r="P306" s="44"/>
      <c r="Q306" s="44"/>
      <c r="R306" s="44"/>
      <c r="S306" s="44"/>
      <c r="T306" s="44"/>
      <c r="U306" s="44"/>
      <c r="V306" s="44"/>
      <c r="W306" s="44"/>
      <c r="X306" s="44"/>
      <c r="Y306" s="44"/>
      <c r="Z306" s="44"/>
    </row>
    <row r="307" spans="1:26" ht="15.75" customHeight="1">
      <c r="A307" s="66" t="str">
        <f>IF(C307="","",VLOOKUP('Opći dio'!$C$3,'Opći dio'!$L$6:$U$137,10,FALSE))</f>
        <v/>
      </c>
      <c r="B307" s="66" t="str">
        <f>IF(C307="","",VLOOKUP('Opći dio'!$C$3,'Opći dio'!$L$6:$U$137,9,FALSE))</f>
        <v/>
      </c>
      <c r="C307" s="71"/>
      <c r="D307" s="66" t="str">
        <f t="shared" si="0"/>
        <v/>
      </c>
      <c r="E307" s="71"/>
      <c r="F307" s="66" t="str">
        <f t="shared" si="53"/>
        <v/>
      </c>
      <c r="G307" s="71"/>
      <c r="H307" s="66" t="str">
        <f t="shared" si="52"/>
        <v/>
      </c>
      <c r="I307" s="59"/>
      <c r="J307" s="59"/>
      <c r="K307" s="59"/>
      <c r="L307" s="44"/>
      <c r="M307" s="44" t="str">
        <f t="shared" si="3"/>
        <v/>
      </c>
      <c r="N307" s="44" t="str">
        <f t="shared" si="4"/>
        <v/>
      </c>
      <c r="O307" s="44"/>
      <c r="P307" s="44"/>
      <c r="Q307" s="44"/>
      <c r="R307" s="44"/>
      <c r="S307" s="44"/>
      <c r="T307" s="44"/>
      <c r="U307" s="44"/>
      <c r="V307" s="44"/>
      <c r="W307" s="44"/>
      <c r="X307" s="44"/>
      <c r="Y307" s="44"/>
      <c r="Z307" s="44"/>
    </row>
    <row r="308" spans="1:26" ht="15.75" customHeight="1">
      <c r="A308" s="66" t="str">
        <f>IF(C308="","",VLOOKUP('Opći dio'!$C$3,'Opći dio'!$L$6:$U$137,10,FALSE))</f>
        <v/>
      </c>
      <c r="B308" s="66" t="str">
        <f>IF(C308="","",VLOOKUP('Opći dio'!$C$3,'Opći dio'!$L$6:$U$137,9,FALSE))</f>
        <v/>
      </c>
      <c r="C308" s="71"/>
      <c r="D308" s="66" t="str">
        <f t="shared" si="0"/>
        <v/>
      </c>
      <c r="E308" s="71"/>
      <c r="F308" s="66" t="str">
        <f t="shared" si="53"/>
        <v/>
      </c>
      <c r="G308" s="71"/>
      <c r="H308" s="66" t="str">
        <f t="shared" si="52"/>
        <v/>
      </c>
      <c r="I308" s="59"/>
      <c r="J308" s="59"/>
      <c r="K308" s="59"/>
      <c r="L308" s="44"/>
      <c r="M308" s="44" t="str">
        <f t="shared" si="3"/>
        <v/>
      </c>
      <c r="N308" s="44" t="str">
        <f t="shared" si="4"/>
        <v/>
      </c>
      <c r="O308" s="44"/>
      <c r="P308" s="44"/>
      <c r="Q308" s="44"/>
      <c r="R308" s="44"/>
      <c r="S308" s="44"/>
      <c r="T308" s="44"/>
      <c r="U308" s="44"/>
      <c r="V308" s="44"/>
      <c r="W308" s="44"/>
      <c r="X308" s="44"/>
      <c r="Y308" s="44"/>
      <c r="Z308" s="44"/>
    </row>
    <row r="309" spans="1:26" ht="15.75" customHeight="1">
      <c r="A309" s="66" t="str">
        <f>IF(C309="","",VLOOKUP('Opći dio'!$C$3,'Opći dio'!$L$6:$U$137,10,FALSE))</f>
        <v/>
      </c>
      <c r="B309" s="66" t="str">
        <f>IF(C309="","",VLOOKUP('Opći dio'!$C$3,'Opći dio'!$L$6:$U$137,9,FALSE))</f>
        <v/>
      </c>
      <c r="C309" s="71"/>
      <c r="D309" s="66" t="str">
        <f t="shared" si="0"/>
        <v/>
      </c>
      <c r="E309" s="71"/>
      <c r="F309" s="66" t="str">
        <f t="shared" si="53"/>
        <v/>
      </c>
      <c r="G309" s="71"/>
      <c r="H309" s="66" t="str">
        <f t="shared" si="52"/>
        <v/>
      </c>
      <c r="I309" s="59"/>
      <c r="J309" s="59"/>
      <c r="K309" s="59"/>
      <c r="L309" s="44"/>
      <c r="M309" s="44" t="str">
        <f t="shared" si="3"/>
        <v/>
      </c>
      <c r="N309" s="44" t="str">
        <f t="shared" si="4"/>
        <v/>
      </c>
      <c r="O309" s="44"/>
      <c r="P309" s="44"/>
      <c r="Q309" s="44"/>
      <c r="R309" s="44"/>
      <c r="S309" s="44"/>
      <c r="T309" s="44"/>
      <c r="U309" s="44"/>
      <c r="V309" s="44"/>
      <c r="W309" s="44"/>
      <c r="X309" s="44"/>
      <c r="Y309" s="44"/>
      <c r="Z309" s="44"/>
    </row>
    <row r="310" spans="1:26" ht="15.75" customHeight="1">
      <c r="A310" s="66" t="str">
        <f>IF(C310="","",VLOOKUP('Opći dio'!$C$3,'Opći dio'!$L$6:$U$137,10,FALSE))</f>
        <v/>
      </c>
      <c r="B310" s="66" t="str">
        <f>IF(C310="","",VLOOKUP('Opći dio'!$C$3,'Opći dio'!$L$6:$U$137,9,FALSE))</f>
        <v/>
      </c>
      <c r="C310" s="71"/>
      <c r="D310" s="66" t="str">
        <f t="shared" si="0"/>
        <v/>
      </c>
      <c r="E310" s="71"/>
      <c r="F310" s="66" t="str">
        <f t="shared" si="53"/>
        <v/>
      </c>
      <c r="G310" s="71"/>
      <c r="H310" s="66" t="str">
        <f t="shared" si="52"/>
        <v/>
      </c>
      <c r="I310" s="59"/>
      <c r="J310" s="59"/>
      <c r="K310" s="59"/>
      <c r="L310" s="44"/>
      <c r="M310" s="44" t="str">
        <f t="shared" si="3"/>
        <v/>
      </c>
      <c r="N310" s="44" t="str">
        <f t="shared" si="4"/>
        <v/>
      </c>
      <c r="O310" s="44"/>
      <c r="P310" s="44"/>
      <c r="Q310" s="44"/>
      <c r="R310" s="44"/>
      <c r="S310" s="44"/>
      <c r="T310" s="44"/>
      <c r="U310" s="44"/>
      <c r="V310" s="44"/>
      <c r="W310" s="44"/>
      <c r="X310" s="44"/>
      <c r="Y310" s="44"/>
      <c r="Z310" s="44"/>
    </row>
    <row r="311" spans="1:26" ht="15.75" customHeight="1">
      <c r="A311" s="66" t="str">
        <f>IF(C311="","",VLOOKUP('Opći dio'!$C$3,'Opći dio'!$L$6:$U$137,10,FALSE))</f>
        <v/>
      </c>
      <c r="B311" s="66" t="str">
        <f>IF(C311="","",VLOOKUP('Opći dio'!$C$3,'Opći dio'!$L$6:$U$137,9,FALSE))</f>
        <v/>
      </c>
      <c r="C311" s="71"/>
      <c r="D311" s="66" t="str">
        <f t="shared" si="0"/>
        <v/>
      </c>
      <c r="E311" s="71"/>
      <c r="F311" s="66" t="str">
        <f t="shared" si="53"/>
        <v/>
      </c>
      <c r="G311" s="71"/>
      <c r="H311" s="66" t="str">
        <f t="shared" si="52"/>
        <v/>
      </c>
      <c r="I311" s="59"/>
      <c r="J311" s="59"/>
      <c r="K311" s="59"/>
      <c r="L311" s="44"/>
      <c r="M311" s="44" t="str">
        <f t="shared" si="3"/>
        <v/>
      </c>
      <c r="N311" s="44" t="str">
        <f t="shared" si="4"/>
        <v/>
      </c>
      <c r="O311" s="44"/>
      <c r="P311" s="44"/>
      <c r="Q311" s="44"/>
      <c r="R311" s="44"/>
      <c r="S311" s="44"/>
      <c r="T311" s="44"/>
      <c r="U311" s="44"/>
      <c r="V311" s="44"/>
      <c r="W311" s="44"/>
      <c r="X311" s="44"/>
      <c r="Y311" s="44"/>
      <c r="Z311" s="44"/>
    </row>
    <row r="312" spans="1:26" ht="15.75" customHeight="1">
      <c r="A312" s="66" t="str">
        <f>IF(C312="","",VLOOKUP('Opći dio'!$C$3,'Opći dio'!$L$6:$U$137,10,FALSE))</f>
        <v/>
      </c>
      <c r="B312" s="66" t="str">
        <f>IF(C312="","",VLOOKUP('Opći dio'!$C$3,'Opći dio'!$L$6:$U$137,9,FALSE))</f>
        <v/>
      </c>
      <c r="C312" s="71"/>
      <c r="D312" s="66" t="str">
        <f t="shared" si="0"/>
        <v/>
      </c>
      <c r="E312" s="71"/>
      <c r="F312" s="66" t="str">
        <f t="shared" si="53"/>
        <v/>
      </c>
      <c r="G312" s="71"/>
      <c r="H312" s="66" t="str">
        <f t="shared" si="52"/>
        <v/>
      </c>
      <c r="I312" s="59"/>
      <c r="J312" s="59"/>
      <c r="K312" s="59"/>
      <c r="L312" s="44"/>
      <c r="M312" s="44" t="str">
        <f t="shared" si="3"/>
        <v/>
      </c>
      <c r="N312" s="44" t="str">
        <f t="shared" si="4"/>
        <v/>
      </c>
      <c r="O312" s="44"/>
      <c r="P312" s="44"/>
      <c r="Q312" s="44"/>
      <c r="R312" s="44"/>
      <c r="S312" s="44"/>
      <c r="T312" s="44"/>
      <c r="U312" s="44"/>
      <c r="V312" s="44"/>
      <c r="W312" s="44"/>
      <c r="X312" s="44"/>
      <c r="Y312" s="44"/>
      <c r="Z312" s="44"/>
    </row>
    <row r="313" spans="1:26" ht="15.75" customHeight="1">
      <c r="A313" s="66" t="str">
        <f>IF(C313="","",VLOOKUP('Opći dio'!$C$3,'Opći dio'!$L$6:$U$137,10,FALSE))</f>
        <v/>
      </c>
      <c r="B313" s="66" t="str">
        <f>IF(C313="","",VLOOKUP('Opći dio'!$C$3,'Opći dio'!$L$6:$U$137,9,FALSE))</f>
        <v/>
      </c>
      <c r="C313" s="71"/>
      <c r="D313" s="66" t="str">
        <f t="shared" si="0"/>
        <v/>
      </c>
      <c r="E313" s="71"/>
      <c r="F313" s="66" t="str">
        <f t="shared" si="53"/>
        <v/>
      </c>
      <c r="G313" s="71"/>
      <c r="H313" s="66" t="str">
        <f t="shared" si="52"/>
        <v/>
      </c>
      <c r="I313" s="59"/>
      <c r="J313" s="59"/>
      <c r="K313" s="59"/>
      <c r="L313" s="44"/>
      <c r="M313" s="44" t="str">
        <f t="shared" si="3"/>
        <v/>
      </c>
      <c r="N313" s="44" t="str">
        <f t="shared" si="4"/>
        <v/>
      </c>
      <c r="O313" s="44"/>
      <c r="P313" s="44"/>
      <c r="Q313" s="44"/>
      <c r="R313" s="44"/>
      <c r="S313" s="44"/>
      <c r="T313" s="44"/>
      <c r="U313" s="44"/>
      <c r="V313" s="44"/>
      <c r="W313" s="44"/>
      <c r="X313" s="44"/>
      <c r="Y313" s="44"/>
      <c r="Z313" s="44"/>
    </row>
    <row r="314" spans="1:26" ht="15.75" customHeight="1">
      <c r="A314" s="66" t="str">
        <f>IF(C314="","",VLOOKUP('Opći dio'!$C$3,'Opći dio'!$L$6:$U$137,10,FALSE))</f>
        <v/>
      </c>
      <c r="B314" s="66" t="str">
        <f>IF(C314="","",VLOOKUP('Opći dio'!$C$3,'Opći dio'!$L$6:$U$137,9,FALSE))</f>
        <v/>
      </c>
      <c r="C314" s="71"/>
      <c r="D314" s="66" t="str">
        <f t="shared" si="0"/>
        <v/>
      </c>
      <c r="E314" s="71"/>
      <c r="F314" s="66" t="str">
        <f t="shared" si="53"/>
        <v/>
      </c>
      <c r="G314" s="71"/>
      <c r="H314" s="66" t="str">
        <f t="shared" si="52"/>
        <v/>
      </c>
      <c r="I314" s="59"/>
      <c r="J314" s="59"/>
      <c r="K314" s="59"/>
      <c r="L314" s="44"/>
      <c r="M314" s="44" t="str">
        <f t="shared" si="3"/>
        <v/>
      </c>
      <c r="N314" s="44" t="str">
        <f t="shared" si="4"/>
        <v/>
      </c>
      <c r="O314" s="44"/>
      <c r="P314" s="44"/>
      <c r="Q314" s="44"/>
      <c r="R314" s="44"/>
      <c r="S314" s="44"/>
      <c r="T314" s="44"/>
      <c r="U314" s="44"/>
      <c r="V314" s="44"/>
      <c r="W314" s="44"/>
      <c r="X314" s="44"/>
      <c r="Y314" s="44"/>
      <c r="Z314" s="44"/>
    </row>
    <row r="315" spans="1:26" ht="15.75" customHeight="1">
      <c r="A315" s="66" t="str">
        <f>IF(C315="","",VLOOKUP('Opći dio'!$C$3,'Opći dio'!$L$6:$U$137,10,FALSE))</f>
        <v/>
      </c>
      <c r="B315" s="66" t="str">
        <f>IF(C315="","",VLOOKUP('Opći dio'!$C$3,'Opći dio'!$L$6:$U$137,9,FALSE))</f>
        <v/>
      </c>
      <c r="C315" s="71"/>
      <c r="D315" s="66" t="str">
        <f t="shared" si="0"/>
        <v/>
      </c>
      <c r="E315" s="71"/>
      <c r="F315" s="66" t="str">
        <f t="shared" si="53"/>
        <v/>
      </c>
      <c r="G315" s="71"/>
      <c r="H315" s="66" t="str">
        <f t="shared" si="52"/>
        <v/>
      </c>
      <c r="I315" s="59"/>
      <c r="J315" s="59"/>
      <c r="K315" s="59"/>
      <c r="L315" s="44"/>
      <c r="M315" s="44" t="str">
        <f t="shared" si="3"/>
        <v/>
      </c>
      <c r="N315" s="44" t="str">
        <f t="shared" si="4"/>
        <v/>
      </c>
      <c r="O315" s="44"/>
      <c r="P315" s="44"/>
      <c r="Q315" s="44"/>
      <c r="R315" s="44"/>
      <c r="S315" s="44"/>
      <c r="T315" s="44"/>
      <c r="U315" s="44"/>
      <c r="V315" s="44"/>
      <c r="W315" s="44"/>
      <c r="X315" s="44"/>
      <c r="Y315" s="44"/>
      <c r="Z315" s="44"/>
    </row>
    <row r="316" spans="1:26" ht="15.75" customHeight="1">
      <c r="A316" s="66" t="str">
        <f>IF(C316="","",VLOOKUP('Opći dio'!$C$3,'Opći dio'!$L$6:$U$137,10,FALSE))</f>
        <v/>
      </c>
      <c r="B316" s="66" t="str">
        <f>IF(C316="","",VLOOKUP('Opći dio'!$C$3,'Opći dio'!$L$6:$U$137,9,FALSE))</f>
        <v/>
      </c>
      <c r="C316" s="71"/>
      <c r="D316" s="66" t="str">
        <f t="shared" si="0"/>
        <v/>
      </c>
      <c r="E316" s="71"/>
      <c r="F316" s="66" t="str">
        <f t="shared" si="53"/>
        <v/>
      </c>
      <c r="G316" s="71"/>
      <c r="H316" s="66" t="str">
        <f t="shared" si="52"/>
        <v/>
      </c>
      <c r="I316" s="59"/>
      <c r="J316" s="59"/>
      <c r="K316" s="59"/>
      <c r="L316" s="44"/>
      <c r="M316" s="44" t="str">
        <f t="shared" si="3"/>
        <v/>
      </c>
      <c r="N316" s="44" t="str">
        <f t="shared" si="4"/>
        <v/>
      </c>
      <c r="O316" s="44"/>
      <c r="P316" s="44"/>
      <c r="Q316" s="44"/>
      <c r="R316" s="44"/>
      <c r="S316" s="44"/>
      <c r="T316" s="44"/>
      <c r="U316" s="44"/>
      <c r="V316" s="44"/>
      <c r="W316" s="44"/>
      <c r="X316" s="44"/>
      <c r="Y316" s="44"/>
      <c r="Z316" s="44"/>
    </row>
    <row r="317" spans="1:26" ht="15.75" customHeight="1">
      <c r="A317" s="66" t="str">
        <f>IF(C317="","",VLOOKUP('Opći dio'!$C$3,'Opći dio'!$L$6:$U$137,10,FALSE))</f>
        <v/>
      </c>
      <c r="B317" s="66" t="str">
        <f>IF(C317="","",VLOOKUP('Opći dio'!$C$3,'Opći dio'!$L$6:$U$137,9,FALSE))</f>
        <v/>
      </c>
      <c r="C317" s="71"/>
      <c r="D317" s="66" t="str">
        <f t="shared" si="0"/>
        <v/>
      </c>
      <c r="E317" s="71"/>
      <c r="F317" s="66" t="str">
        <f t="shared" si="53"/>
        <v/>
      </c>
      <c r="G317" s="71"/>
      <c r="H317" s="66" t="str">
        <f t="shared" si="52"/>
        <v/>
      </c>
      <c r="I317" s="59"/>
      <c r="J317" s="59"/>
      <c r="K317" s="59"/>
      <c r="L317" s="44"/>
      <c r="M317" s="44" t="str">
        <f t="shared" si="3"/>
        <v/>
      </c>
      <c r="N317" s="44" t="str">
        <f t="shared" si="4"/>
        <v/>
      </c>
      <c r="O317" s="44"/>
      <c r="P317" s="44"/>
      <c r="Q317" s="44"/>
      <c r="R317" s="44"/>
      <c r="S317" s="44"/>
      <c r="T317" s="44"/>
      <c r="U317" s="44"/>
      <c r="V317" s="44"/>
      <c r="W317" s="44"/>
      <c r="X317" s="44"/>
      <c r="Y317" s="44"/>
      <c r="Z317" s="44"/>
    </row>
    <row r="318" spans="1:26" ht="15.75" customHeight="1">
      <c r="A318" s="66" t="str">
        <f>IF(C318="","",VLOOKUP('Opći dio'!$C$3,'Opći dio'!$L$6:$U$137,10,FALSE))</f>
        <v/>
      </c>
      <c r="B318" s="66" t="str">
        <f>IF(C318="","",VLOOKUP('Opći dio'!$C$3,'Opći dio'!$L$6:$U$137,9,FALSE))</f>
        <v/>
      </c>
      <c r="C318" s="71"/>
      <c r="D318" s="66" t="str">
        <f t="shared" si="0"/>
        <v/>
      </c>
      <c r="E318" s="71"/>
      <c r="F318" s="66" t="str">
        <f t="shared" si="53"/>
        <v/>
      </c>
      <c r="G318" s="71"/>
      <c r="H318" s="66" t="str">
        <f t="shared" si="52"/>
        <v/>
      </c>
      <c r="I318" s="59"/>
      <c r="J318" s="59"/>
      <c r="K318" s="59"/>
      <c r="L318" s="44"/>
      <c r="M318" s="44" t="str">
        <f t="shared" si="3"/>
        <v/>
      </c>
      <c r="N318" s="44" t="str">
        <f t="shared" si="4"/>
        <v/>
      </c>
      <c r="O318" s="44"/>
      <c r="P318" s="44"/>
      <c r="Q318" s="44"/>
      <c r="R318" s="44"/>
      <c r="S318" s="44"/>
      <c r="T318" s="44"/>
      <c r="U318" s="44"/>
      <c r="V318" s="44"/>
      <c r="W318" s="44"/>
      <c r="X318" s="44"/>
      <c r="Y318" s="44"/>
      <c r="Z318" s="44"/>
    </row>
    <row r="319" spans="1:26" ht="15.75" customHeight="1">
      <c r="A319" s="66" t="str">
        <f>IF(C319="","",VLOOKUP('Opći dio'!$C$3,'Opći dio'!$L$6:$U$137,10,FALSE))</f>
        <v/>
      </c>
      <c r="B319" s="66" t="str">
        <f>IF(C319="","",VLOOKUP('Opći dio'!$C$3,'Opći dio'!$L$6:$U$137,9,FALSE))</f>
        <v/>
      </c>
      <c r="C319" s="71"/>
      <c r="D319" s="66" t="str">
        <f t="shared" si="0"/>
        <v/>
      </c>
      <c r="E319" s="71"/>
      <c r="F319" s="66" t="str">
        <f t="shared" si="53"/>
        <v/>
      </c>
      <c r="G319" s="71"/>
      <c r="H319" s="66" t="str">
        <f t="shared" si="52"/>
        <v/>
      </c>
      <c r="I319" s="59"/>
      <c r="J319" s="59"/>
      <c r="K319" s="59"/>
      <c r="L319" s="44"/>
      <c r="M319" s="44" t="str">
        <f t="shared" si="3"/>
        <v/>
      </c>
      <c r="N319" s="44" t="str">
        <f t="shared" si="4"/>
        <v/>
      </c>
      <c r="O319" s="44"/>
      <c r="P319" s="44"/>
      <c r="Q319" s="44"/>
      <c r="R319" s="44"/>
      <c r="S319" s="44"/>
      <c r="T319" s="44"/>
      <c r="U319" s="44"/>
      <c r="V319" s="44"/>
      <c r="W319" s="44"/>
      <c r="X319" s="44"/>
      <c r="Y319" s="44"/>
      <c r="Z319" s="44"/>
    </row>
    <row r="320" spans="1:26" ht="15.75" customHeight="1">
      <c r="A320" s="66" t="str">
        <f>IF(C320="","",VLOOKUP('Opći dio'!$C$3,'Opći dio'!$L$6:$U$137,10,FALSE))</f>
        <v/>
      </c>
      <c r="B320" s="66" t="str">
        <f>IF(C320="","",VLOOKUP('Opći dio'!$C$3,'Opći dio'!$L$6:$U$137,9,FALSE))</f>
        <v/>
      </c>
      <c r="C320" s="71"/>
      <c r="D320" s="66" t="str">
        <f t="shared" si="0"/>
        <v/>
      </c>
      <c r="E320" s="71"/>
      <c r="F320" s="66" t="str">
        <f t="shared" si="53"/>
        <v/>
      </c>
      <c r="G320" s="71"/>
      <c r="H320" s="66" t="str">
        <f t="shared" si="52"/>
        <v/>
      </c>
      <c r="I320" s="59"/>
      <c r="J320" s="59"/>
      <c r="K320" s="59"/>
      <c r="L320" s="44"/>
      <c r="M320" s="44" t="str">
        <f t="shared" si="3"/>
        <v/>
      </c>
      <c r="N320" s="44" t="str">
        <f t="shared" si="4"/>
        <v/>
      </c>
      <c r="O320" s="44"/>
      <c r="P320" s="44"/>
      <c r="Q320" s="44"/>
      <c r="R320" s="44"/>
      <c r="S320" s="44"/>
      <c r="T320" s="44"/>
      <c r="U320" s="44"/>
      <c r="V320" s="44"/>
      <c r="W320" s="44"/>
      <c r="X320" s="44"/>
      <c r="Y320" s="44"/>
      <c r="Z320" s="44"/>
    </row>
    <row r="321" spans="1:26" ht="15.75" customHeight="1">
      <c r="A321" s="66" t="str">
        <f>IF(C321="","",VLOOKUP('Opći dio'!$C$3,'Opći dio'!$L$6:$U$137,10,FALSE))</f>
        <v/>
      </c>
      <c r="B321" s="66" t="str">
        <f>IF(C321="","",VLOOKUP('Opći dio'!$C$3,'Opći dio'!$L$6:$U$137,9,FALSE))</f>
        <v/>
      </c>
      <c r="C321" s="71"/>
      <c r="D321" s="66" t="str">
        <f t="shared" si="0"/>
        <v/>
      </c>
      <c r="E321" s="71"/>
      <c r="F321" s="66" t="str">
        <f t="shared" si="53"/>
        <v/>
      </c>
      <c r="G321" s="71"/>
      <c r="H321" s="66" t="str">
        <f t="shared" si="52"/>
        <v/>
      </c>
      <c r="I321" s="59"/>
      <c r="J321" s="59"/>
      <c r="K321" s="59"/>
      <c r="L321" s="44"/>
      <c r="M321" s="44" t="str">
        <f t="shared" si="3"/>
        <v/>
      </c>
      <c r="N321" s="44" t="str">
        <f t="shared" si="4"/>
        <v/>
      </c>
      <c r="O321" s="44"/>
      <c r="P321" s="44"/>
      <c r="Q321" s="44"/>
      <c r="R321" s="44"/>
      <c r="S321" s="44"/>
      <c r="T321" s="44"/>
      <c r="U321" s="44"/>
      <c r="V321" s="44"/>
      <c r="W321" s="44"/>
      <c r="X321" s="44"/>
      <c r="Y321" s="44"/>
      <c r="Z321" s="44"/>
    </row>
    <row r="322" spans="1:26" ht="15.75" customHeight="1">
      <c r="A322" s="66" t="str">
        <f>IF(C322="","",VLOOKUP('Opći dio'!$C$3,'Opći dio'!$L$6:$U$137,10,FALSE))</f>
        <v/>
      </c>
      <c r="B322" s="66" t="str">
        <f>IF(C322="","",VLOOKUP('Opći dio'!$C$3,'Opći dio'!$L$6:$U$137,9,FALSE))</f>
        <v/>
      </c>
      <c r="C322" s="71"/>
      <c r="D322" s="66" t="str">
        <f t="shared" si="0"/>
        <v/>
      </c>
      <c r="E322" s="71"/>
      <c r="F322" s="66" t="str">
        <f t="shared" si="53"/>
        <v/>
      </c>
      <c r="G322" s="71"/>
      <c r="H322" s="66" t="str">
        <f t="shared" si="52"/>
        <v/>
      </c>
      <c r="I322" s="59"/>
      <c r="J322" s="59"/>
      <c r="K322" s="59"/>
      <c r="L322" s="44"/>
      <c r="M322" s="44" t="str">
        <f t="shared" si="3"/>
        <v/>
      </c>
      <c r="N322" s="44" t="str">
        <f t="shared" si="4"/>
        <v/>
      </c>
      <c r="O322" s="44"/>
      <c r="P322" s="44"/>
      <c r="Q322" s="44"/>
      <c r="R322" s="44"/>
      <c r="S322" s="44"/>
      <c r="T322" s="44"/>
      <c r="U322" s="44"/>
      <c r="V322" s="44"/>
      <c r="W322" s="44"/>
      <c r="X322" s="44"/>
      <c r="Y322" s="44"/>
      <c r="Z322" s="44"/>
    </row>
    <row r="323" spans="1:26" ht="15.75" customHeight="1">
      <c r="A323" s="66" t="str">
        <f>IF(C323="","",VLOOKUP('Opći dio'!$C$3,'Opći dio'!$L$6:$U$137,10,FALSE))</f>
        <v/>
      </c>
      <c r="B323" s="66" t="str">
        <f>IF(C323="","",VLOOKUP('Opći dio'!$C$3,'Opći dio'!$L$6:$U$137,9,FALSE))</f>
        <v/>
      </c>
      <c r="C323" s="71"/>
      <c r="D323" s="66" t="str">
        <f t="shared" si="0"/>
        <v/>
      </c>
      <c r="E323" s="71"/>
      <c r="F323" s="66" t="str">
        <f t="shared" si="53"/>
        <v/>
      </c>
      <c r="G323" s="71"/>
      <c r="H323" s="66" t="str">
        <f t="shared" ref="H323:H386" si="54">IFERROR(VLOOKUP(G323,$X$6:$Y$276,2,FALSE),"")</f>
        <v/>
      </c>
      <c r="I323" s="59"/>
      <c r="J323" s="59"/>
      <c r="K323" s="59"/>
      <c r="L323" s="44"/>
      <c r="M323" s="44" t="str">
        <f t="shared" si="3"/>
        <v/>
      </c>
      <c r="N323" s="44" t="str">
        <f t="shared" si="4"/>
        <v/>
      </c>
      <c r="O323" s="44"/>
      <c r="P323" s="44"/>
      <c r="Q323" s="44"/>
      <c r="R323" s="44"/>
      <c r="S323" s="44"/>
      <c r="T323" s="44"/>
      <c r="U323" s="44"/>
      <c r="V323" s="44"/>
      <c r="W323" s="44"/>
      <c r="X323" s="44"/>
      <c r="Y323" s="44"/>
      <c r="Z323" s="44"/>
    </row>
    <row r="324" spans="1:26" ht="15.75" customHeight="1">
      <c r="A324" s="66" t="str">
        <f>IF(C324="","",VLOOKUP('Opći dio'!$C$3,'Opći dio'!$L$6:$U$137,10,FALSE))</f>
        <v/>
      </c>
      <c r="B324" s="66" t="str">
        <f>IF(C324="","",VLOOKUP('Opći dio'!$C$3,'Opći dio'!$L$6:$U$137,9,FALSE))</f>
        <v/>
      </c>
      <c r="C324" s="71"/>
      <c r="D324" s="66" t="str">
        <f t="shared" si="0"/>
        <v/>
      </c>
      <c r="E324" s="71"/>
      <c r="F324" s="66" t="str">
        <f t="shared" si="53"/>
        <v/>
      </c>
      <c r="G324" s="71"/>
      <c r="H324" s="66" t="str">
        <f t="shared" si="54"/>
        <v/>
      </c>
      <c r="I324" s="59"/>
      <c r="J324" s="59"/>
      <c r="K324" s="59"/>
      <c r="L324" s="44"/>
      <c r="M324" s="44" t="str">
        <f t="shared" si="3"/>
        <v/>
      </c>
      <c r="N324" s="44" t="str">
        <f t="shared" si="4"/>
        <v/>
      </c>
      <c r="O324" s="44"/>
      <c r="P324" s="44"/>
      <c r="Q324" s="44"/>
      <c r="R324" s="44"/>
      <c r="S324" s="44"/>
      <c r="T324" s="44"/>
      <c r="U324" s="44"/>
      <c r="V324" s="44"/>
      <c r="W324" s="44"/>
      <c r="X324" s="44"/>
      <c r="Y324" s="44"/>
      <c r="Z324" s="44"/>
    </row>
    <row r="325" spans="1:26" ht="15.75" customHeight="1">
      <c r="A325" s="66" t="str">
        <f>IF(C325="","",VLOOKUP('Opći dio'!$C$3,'Opći dio'!$L$6:$U$137,10,FALSE))</f>
        <v/>
      </c>
      <c r="B325" s="66" t="str">
        <f>IF(C325="","",VLOOKUP('Opći dio'!$C$3,'Opći dio'!$L$6:$U$137,9,FALSE))</f>
        <v/>
      </c>
      <c r="C325" s="71"/>
      <c r="D325" s="66" t="str">
        <f t="shared" si="0"/>
        <v/>
      </c>
      <c r="E325" s="71"/>
      <c r="F325" s="66" t="str">
        <f t="shared" si="53"/>
        <v/>
      </c>
      <c r="G325" s="71"/>
      <c r="H325" s="66" t="str">
        <f t="shared" si="54"/>
        <v/>
      </c>
      <c r="I325" s="59"/>
      <c r="J325" s="59"/>
      <c r="K325" s="59"/>
      <c r="L325" s="44"/>
      <c r="M325" s="44" t="str">
        <f t="shared" si="3"/>
        <v/>
      </c>
      <c r="N325" s="44" t="str">
        <f t="shared" si="4"/>
        <v/>
      </c>
      <c r="O325" s="44"/>
      <c r="P325" s="44"/>
      <c r="Q325" s="44"/>
      <c r="R325" s="44"/>
      <c r="S325" s="44"/>
      <c r="T325" s="44"/>
      <c r="U325" s="44"/>
      <c r="V325" s="44"/>
      <c r="W325" s="44"/>
      <c r="X325" s="44"/>
      <c r="Y325" s="44"/>
      <c r="Z325" s="44"/>
    </row>
    <row r="326" spans="1:26" ht="15.75" customHeight="1">
      <c r="A326" s="66" t="str">
        <f>IF(C326="","",VLOOKUP('Opći dio'!$C$3,'Opći dio'!$L$6:$U$137,10,FALSE))</f>
        <v/>
      </c>
      <c r="B326" s="66" t="str">
        <f>IF(C326="","",VLOOKUP('Opći dio'!$C$3,'Opći dio'!$L$6:$U$137,9,FALSE))</f>
        <v/>
      </c>
      <c r="C326" s="71"/>
      <c r="D326" s="66" t="str">
        <f t="shared" si="0"/>
        <v/>
      </c>
      <c r="E326" s="71"/>
      <c r="F326" s="66" t="str">
        <f t="shared" si="53"/>
        <v/>
      </c>
      <c r="G326" s="71"/>
      <c r="H326" s="66" t="str">
        <f t="shared" si="54"/>
        <v/>
      </c>
      <c r="I326" s="59"/>
      <c r="J326" s="59"/>
      <c r="K326" s="59"/>
      <c r="L326" s="44"/>
      <c r="M326" s="44" t="str">
        <f t="shared" si="3"/>
        <v/>
      </c>
      <c r="N326" s="44" t="str">
        <f t="shared" si="4"/>
        <v/>
      </c>
      <c r="O326" s="44"/>
      <c r="P326" s="44"/>
      <c r="Q326" s="44"/>
      <c r="R326" s="44"/>
      <c r="S326" s="44"/>
      <c r="T326" s="44"/>
      <c r="U326" s="44"/>
      <c r="V326" s="44"/>
      <c r="W326" s="44"/>
      <c r="X326" s="44"/>
      <c r="Y326" s="44"/>
      <c r="Z326" s="44"/>
    </row>
    <row r="327" spans="1:26" ht="15.75" customHeight="1">
      <c r="A327" s="66" t="str">
        <f>IF(C327="","",VLOOKUP('Opći dio'!$C$3,'Opći dio'!$L$6:$U$137,10,FALSE))</f>
        <v/>
      </c>
      <c r="B327" s="66" t="str">
        <f>IF(C327="","",VLOOKUP('Opći dio'!$C$3,'Opći dio'!$L$6:$U$137,9,FALSE))</f>
        <v/>
      </c>
      <c r="C327" s="71"/>
      <c r="D327" s="66" t="str">
        <f t="shared" si="0"/>
        <v/>
      </c>
      <c r="E327" s="71"/>
      <c r="F327" s="66" t="str">
        <f t="shared" si="53"/>
        <v/>
      </c>
      <c r="G327" s="71"/>
      <c r="H327" s="66" t="str">
        <f t="shared" si="54"/>
        <v/>
      </c>
      <c r="I327" s="59"/>
      <c r="J327" s="59"/>
      <c r="K327" s="59"/>
      <c r="L327" s="44"/>
      <c r="M327" s="44" t="str">
        <f t="shared" si="3"/>
        <v/>
      </c>
      <c r="N327" s="44" t="str">
        <f t="shared" si="4"/>
        <v/>
      </c>
      <c r="O327" s="44"/>
      <c r="P327" s="44"/>
      <c r="Q327" s="44"/>
      <c r="R327" s="44"/>
      <c r="S327" s="44"/>
      <c r="T327" s="44"/>
      <c r="U327" s="44"/>
      <c r="V327" s="44"/>
      <c r="W327" s="44"/>
      <c r="X327" s="44"/>
      <c r="Y327" s="44"/>
      <c r="Z327" s="44"/>
    </row>
    <row r="328" spans="1:26" ht="15.75" customHeight="1">
      <c r="A328" s="66" t="str">
        <f>IF(C328="","",VLOOKUP('Opći dio'!$C$3,'Opći dio'!$L$6:$U$137,10,FALSE))</f>
        <v/>
      </c>
      <c r="B328" s="66" t="str">
        <f>IF(C328="","",VLOOKUP('Opći dio'!$C$3,'Opći dio'!$L$6:$U$137,9,FALSE))</f>
        <v/>
      </c>
      <c r="C328" s="71"/>
      <c r="D328" s="66" t="str">
        <f t="shared" si="0"/>
        <v/>
      </c>
      <c r="E328" s="71"/>
      <c r="F328" s="66" t="str">
        <f t="shared" si="53"/>
        <v/>
      </c>
      <c r="G328" s="71"/>
      <c r="H328" s="66" t="str">
        <f t="shared" si="54"/>
        <v/>
      </c>
      <c r="I328" s="59"/>
      <c r="J328" s="59"/>
      <c r="K328" s="59"/>
      <c r="L328" s="44"/>
      <c r="M328" s="44" t="str">
        <f t="shared" si="3"/>
        <v/>
      </c>
      <c r="N328" s="44" t="str">
        <f t="shared" si="4"/>
        <v/>
      </c>
      <c r="O328" s="44"/>
      <c r="P328" s="44"/>
      <c r="Q328" s="44"/>
      <c r="R328" s="44"/>
      <c r="S328" s="44"/>
      <c r="T328" s="44"/>
      <c r="U328" s="44"/>
      <c r="V328" s="44"/>
      <c r="W328" s="44"/>
      <c r="X328" s="44"/>
      <c r="Y328" s="44"/>
      <c r="Z328" s="44"/>
    </row>
    <row r="329" spans="1:26" ht="15.75" customHeight="1">
      <c r="A329" s="66" t="str">
        <f>IF(C329="","",VLOOKUP('Opći dio'!$C$3,'Opći dio'!$L$6:$U$137,10,FALSE))</f>
        <v/>
      </c>
      <c r="B329" s="66" t="str">
        <f>IF(C329="","",VLOOKUP('Opći dio'!$C$3,'Opći dio'!$L$6:$U$137,9,FALSE))</f>
        <v/>
      </c>
      <c r="C329" s="71"/>
      <c r="D329" s="66" t="str">
        <f t="shared" si="0"/>
        <v/>
      </c>
      <c r="E329" s="71"/>
      <c r="F329" s="66" t="str">
        <f t="shared" si="53"/>
        <v/>
      </c>
      <c r="G329" s="71"/>
      <c r="H329" s="66" t="str">
        <f t="shared" si="54"/>
        <v/>
      </c>
      <c r="I329" s="59"/>
      <c r="J329" s="59"/>
      <c r="K329" s="59"/>
      <c r="L329" s="44"/>
      <c r="M329" s="44" t="str">
        <f t="shared" si="3"/>
        <v/>
      </c>
      <c r="N329" s="44" t="str">
        <f t="shared" si="4"/>
        <v/>
      </c>
      <c r="O329" s="44"/>
      <c r="P329" s="44"/>
      <c r="Q329" s="44"/>
      <c r="R329" s="44"/>
      <c r="S329" s="44"/>
      <c r="T329" s="44"/>
      <c r="U329" s="44"/>
      <c r="V329" s="44"/>
      <c r="W329" s="44"/>
      <c r="X329" s="44"/>
      <c r="Y329" s="44"/>
      <c r="Z329" s="44"/>
    </row>
    <row r="330" spans="1:26" ht="15.75" customHeight="1">
      <c r="A330" s="66" t="str">
        <f>IF(C330="","",VLOOKUP('Opći dio'!$C$3,'Opći dio'!$L$6:$U$137,10,FALSE))</f>
        <v/>
      </c>
      <c r="B330" s="66" t="str">
        <f>IF(C330="","",VLOOKUP('Opći dio'!$C$3,'Opći dio'!$L$6:$U$137,9,FALSE))</f>
        <v/>
      </c>
      <c r="C330" s="71"/>
      <c r="D330" s="66" t="str">
        <f t="shared" si="0"/>
        <v/>
      </c>
      <c r="E330" s="71"/>
      <c r="F330" s="66" t="str">
        <f t="shared" si="53"/>
        <v/>
      </c>
      <c r="G330" s="71"/>
      <c r="H330" s="66" t="str">
        <f t="shared" si="54"/>
        <v/>
      </c>
      <c r="I330" s="59"/>
      <c r="J330" s="59"/>
      <c r="K330" s="59"/>
      <c r="L330" s="44"/>
      <c r="M330" s="44" t="str">
        <f t="shared" si="3"/>
        <v/>
      </c>
      <c r="N330" s="44" t="str">
        <f t="shared" si="4"/>
        <v/>
      </c>
      <c r="O330" s="44"/>
      <c r="P330" s="44"/>
      <c r="Q330" s="44"/>
      <c r="R330" s="44"/>
      <c r="S330" s="44"/>
      <c r="T330" s="44"/>
      <c r="U330" s="44"/>
      <c r="V330" s="44"/>
      <c r="W330" s="44"/>
      <c r="X330" s="44"/>
      <c r="Y330" s="44"/>
      <c r="Z330" s="44"/>
    </row>
    <row r="331" spans="1:26" ht="15.75" customHeight="1">
      <c r="A331" s="66" t="str">
        <f>IF(C331="","",VLOOKUP('Opći dio'!$C$3,'Opći dio'!$L$6:$U$137,10,FALSE))</f>
        <v/>
      </c>
      <c r="B331" s="66" t="str">
        <f>IF(C331="","",VLOOKUP('Opći dio'!$C$3,'Opći dio'!$L$6:$U$137,9,FALSE))</f>
        <v/>
      </c>
      <c r="C331" s="71"/>
      <c r="D331" s="66" t="str">
        <f t="shared" si="0"/>
        <v/>
      </c>
      <c r="E331" s="71"/>
      <c r="F331" s="66" t="str">
        <f t="shared" si="53"/>
        <v/>
      </c>
      <c r="G331" s="71"/>
      <c r="H331" s="66" t="str">
        <f t="shared" si="54"/>
        <v/>
      </c>
      <c r="I331" s="59"/>
      <c r="J331" s="59"/>
      <c r="K331" s="59"/>
      <c r="L331" s="44"/>
      <c r="M331" s="44" t="str">
        <f t="shared" si="3"/>
        <v/>
      </c>
      <c r="N331" s="44" t="str">
        <f t="shared" si="4"/>
        <v/>
      </c>
      <c r="O331" s="44"/>
      <c r="P331" s="44"/>
      <c r="Q331" s="44"/>
      <c r="R331" s="44"/>
      <c r="S331" s="44"/>
      <c r="T331" s="44"/>
      <c r="U331" s="44"/>
      <c r="V331" s="44"/>
      <c r="W331" s="44"/>
      <c r="X331" s="44"/>
      <c r="Y331" s="44"/>
      <c r="Z331" s="44"/>
    </row>
    <row r="332" spans="1:26" ht="15.75" customHeight="1">
      <c r="A332" s="66" t="str">
        <f>IF(C332="","",VLOOKUP('Opći dio'!$C$3,'Opći dio'!$L$6:$U$137,10,FALSE))</f>
        <v/>
      </c>
      <c r="B332" s="66" t="str">
        <f>IF(C332="","",VLOOKUP('Opći dio'!$C$3,'Opći dio'!$L$6:$U$137,9,FALSE))</f>
        <v/>
      </c>
      <c r="C332" s="71"/>
      <c r="D332" s="66" t="str">
        <f t="shared" si="0"/>
        <v/>
      </c>
      <c r="E332" s="71"/>
      <c r="F332" s="66" t="str">
        <f t="shared" si="53"/>
        <v/>
      </c>
      <c r="G332" s="71"/>
      <c r="H332" s="66" t="str">
        <f t="shared" si="54"/>
        <v/>
      </c>
      <c r="I332" s="59"/>
      <c r="J332" s="59"/>
      <c r="K332" s="59"/>
      <c r="L332" s="44"/>
      <c r="M332" s="44" t="str">
        <f t="shared" si="3"/>
        <v/>
      </c>
      <c r="N332" s="44" t="str">
        <f t="shared" si="4"/>
        <v/>
      </c>
      <c r="O332" s="44"/>
      <c r="P332" s="44"/>
      <c r="Q332" s="44"/>
      <c r="R332" s="44"/>
      <c r="S332" s="44"/>
      <c r="T332" s="44"/>
      <c r="U332" s="44"/>
      <c r="V332" s="44"/>
      <c r="W332" s="44"/>
      <c r="X332" s="44"/>
      <c r="Y332" s="44"/>
      <c r="Z332" s="44"/>
    </row>
    <row r="333" spans="1:26" ht="15.75" customHeight="1">
      <c r="A333" s="66" t="str">
        <f>IF(C333="","",VLOOKUP('Opći dio'!$C$3,'Opći dio'!$L$6:$U$137,10,FALSE))</f>
        <v/>
      </c>
      <c r="B333" s="66" t="str">
        <f>IF(C333="","",VLOOKUP('Opći dio'!$C$3,'Opći dio'!$L$6:$U$137,9,FALSE))</f>
        <v/>
      </c>
      <c r="C333" s="71"/>
      <c r="D333" s="66" t="str">
        <f t="shared" si="0"/>
        <v/>
      </c>
      <c r="E333" s="71"/>
      <c r="F333" s="66" t="str">
        <f t="shared" ref="F333:F396" si="55">IFERROR(VLOOKUP(E333,$R$5:$T$109,2,FALSE),"")</f>
        <v/>
      </c>
      <c r="G333" s="71"/>
      <c r="H333" s="66" t="str">
        <f t="shared" si="54"/>
        <v/>
      </c>
      <c r="I333" s="59"/>
      <c r="J333" s="59"/>
      <c r="K333" s="59"/>
      <c r="L333" s="44"/>
      <c r="M333" s="44" t="str">
        <f t="shared" si="3"/>
        <v/>
      </c>
      <c r="N333" s="44" t="str">
        <f t="shared" si="4"/>
        <v/>
      </c>
      <c r="O333" s="44"/>
      <c r="P333" s="44"/>
      <c r="Q333" s="44"/>
      <c r="R333" s="44"/>
      <c r="S333" s="44"/>
      <c r="T333" s="44"/>
      <c r="U333" s="44"/>
      <c r="V333" s="44"/>
      <c r="W333" s="44"/>
      <c r="X333" s="44"/>
      <c r="Y333" s="44"/>
      <c r="Z333" s="44"/>
    </row>
    <row r="334" spans="1:26" ht="15.75" customHeight="1">
      <c r="A334" s="66" t="str">
        <f>IF(C334="","",VLOOKUP('Opći dio'!$C$3,'Opći dio'!$L$6:$U$137,10,FALSE))</f>
        <v/>
      </c>
      <c r="B334" s="66" t="str">
        <f>IF(C334="","",VLOOKUP('Opći dio'!$C$3,'Opći dio'!$L$6:$U$137,9,FALSE))</f>
        <v/>
      </c>
      <c r="C334" s="71"/>
      <c r="D334" s="66" t="str">
        <f t="shared" si="0"/>
        <v/>
      </c>
      <c r="E334" s="71"/>
      <c r="F334" s="66" t="str">
        <f t="shared" si="55"/>
        <v/>
      </c>
      <c r="G334" s="71"/>
      <c r="H334" s="66" t="str">
        <f t="shared" si="54"/>
        <v/>
      </c>
      <c r="I334" s="59"/>
      <c r="J334" s="59"/>
      <c r="K334" s="59"/>
      <c r="L334" s="44"/>
      <c r="M334" s="44" t="str">
        <f t="shared" si="3"/>
        <v/>
      </c>
      <c r="N334" s="44" t="str">
        <f t="shared" si="4"/>
        <v/>
      </c>
      <c r="O334" s="44"/>
      <c r="P334" s="44"/>
      <c r="Q334" s="44"/>
      <c r="R334" s="44"/>
      <c r="S334" s="44"/>
      <c r="T334" s="44"/>
      <c r="U334" s="44"/>
      <c r="V334" s="44"/>
      <c r="W334" s="44"/>
      <c r="X334" s="44"/>
      <c r="Y334" s="44"/>
      <c r="Z334" s="44"/>
    </row>
    <row r="335" spans="1:26" ht="15.75" customHeight="1">
      <c r="A335" s="66" t="str">
        <f>IF(C335="","",VLOOKUP('Opći dio'!$C$3,'Opći dio'!$L$6:$U$137,10,FALSE))</f>
        <v/>
      </c>
      <c r="B335" s="66" t="str">
        <f>IF(C335="","",VLOOKUP('Opći dio'!$C$3,'Opći dio'!$L$6:$U$137,9,FALSE))</f>
        <v/>
      </c>
      <c r="C335" s="71"/>
      <c r="D335" s="66" t="str">
        <f t="shared" si="0"/>
        <v/>
      </c>
      <c r="E335" s="71"/>
      <c r="F335" s="66" t="str">
        <f t="shared" si="55"/>
        <v/>
      </c>
      <c r="G335" s="71"/>
      <c r="H335" s="66" t="str">
        <f t="shared" si="54"/>
        <v/>
      </c>
      <c r="I335" s="59"/>
      <c r="J335" s="59"/>
      <c r="K335" s="59"/>
      <c r="L335" s="44"/>
      <c r="M335" s="44" t="str">
        <f t="shared" si="3"/>
        <v/>
      </c>
      <c r="N335" s="44" t="str">
        <f t="shared" si="4"/>
        <v/>
      </c>
      <c r="O335" s="44"/>
      <c r="P335" s="44"/>
      <c r="Q335" s="44"/>
      <c r="R335" s="44"/>
      <c r="S335" s="44"/>
      <c r="T335" s="44"/>
      <c r="U335" s="44"/>
      <c r="V335" s="44"/>
      <c r="W335" s="44"/>
      <c r="X335" s="44"/>
      <c r="Y335" s="44"/>
      <c r="Z335" s="44"/>
    </row>
    <row r="336" spans="1:26" ht="15.75" customHeight="1">
      <c r="A336" s="66" t="str">
        <f>IF(C336="","",VLOOKUP('Opći dio'!$C$3,'Opći dio'!$L$6:$U$137,10,FALSE))</f>
        <v/>
      </c>
      <c r="B336" s="66" t="str">
        <f>IF(C336="","",VLOOKUP('Opći dio'!$C$3,'Opći dio'!$L$6:$U$137,9,FALSE))</f>
        <v/>
      </c>
      <c r="C336" s="71"/>
      <c r="D336" s="66" t="str">
        <f t="shared" si="0"/>
        <v/>
      </c>
      <c r="E336" s="71"/>
      <c r="F336" s="66" t="str">
        <f t="shared" si="55"/>
        <v/>
      </c>
      <c r="G336" s="71"/>
      <c r="H336" s="66" t="str">
        <f t="shared" si="54"/>
        <v/>
      </c>
      <c r="I336" s="59"/>
      <c r="J336" s="59"/>
      <c r="K336" s="59"/>
      <c r="L336" s="44"/>
      <c r="M336" s="44" t="str">
        <f t="shared" si="3"/>
        <v/>
      </c>
      <c r="N336" s="44" t="str">
        <f t="shared" si="4"/>
        <v/>
      </c>
      <c r="O336" s="44"/>
      <c r="P336" s="44"/>
      <c r="Q336" s="44"/>
      <c r="R336" s="44"/>
      <c r="S336" s="44"/>
      <c r="T336" s="44"/>
      <c r="U336" s="44"/>
      <c r="V336" s="44"/>
      <c r="W336" s="44"/>
      <c r="X336" s="44"/>
      <c r="Y336" s="44"/>
      <c r="Z336" s="44"/>
    </row>
    <row r="337" spans="1:26" ht="15.75" customHeight="1">
      <c r="A337" s="66" t="str">
        <f>IF(C337="","",VLOOKUP('Opći dio'!$C$3,'Opći dio'!$L$6:$U$137,10,FALSE))</f>
        <v/>
      </c>
      <c r="B337" s="66" t="str">
        <f>IF(C337="","",VLOOKUP('Opći dio'!$C$3,'Opći dio'!$L$6:$U$137,9,FALSE))</f>
        <v/>
      </c>
      <c r="C337" s="71"/>
      <c r="D337" s="66" t="str">
        <f t="shared" si="0"/>
        <v/>
      </c>
      <c r="E337" s="71"/>
      <c r="F337" s="66" t="str">
        <f t="shared" si="55"/>
        <v/>
      </c>
      <c r="G337" s="71"/>
      <c r="H337" s="66" t="str">
        <f t="shared" si="54"/>
        <v/>
      </c>
      <c r="I337" s="59"/>
      <c r="J337" s="59"/>
      <c r="K337" s="59"/>
      <c r="L337" s="44"/>
      <c r="M337" s="44" t="str">
        <f t="shared" si="3"/>
        <v/>
      </c>
      <c r="N337" s="44" t="str">
        <f t="shared" si="4"/>
        <v/>
      </c>
      <c r="O337" s="44"/>
      <c r="P337" s="44"/>
      <c r="Q337" s="44"/>
      <c r="R337" s="44"/>
      <c r="S337" s="44"/>
      <c r="T337" s="44"/>
      <c r="U337" s="44"/>
      <c r="V337" s="44"/>
      <c r="W337" s="44"/>
      <c r="X337" s="44"/>
      <c r="Y337" s="44"/>
      <c r="Z337" s="44"/>
    </row>
    <row r="338" spans="1:26" ht="15.75" customHeight="1">
      <c r="A338" s="66" t="str">
        <f>IF(C338="","",VLOOKUP('Opći dio'!$C$3,'Opći dio'!$L$6:$U$137,10,FALSE))</f>
        <v/>
      </c>
      <c r="B338" s="66" t="str">
        <f>IF(C338="","",VLOOKUP('Opći dio'!$C$3,'Opći dio'!$L$6:$U$137,9,FALSE))</f>
        <v/>
      </c>
      <c r="C338" s="71"/>
      <c r="D338" s="66" t="str">
        <f t="shared" si="0"/>
        <v/>
      </c>
      <c r="E338" s="71"/>
      <c r="F338" s="66" t="str">
        <f t="shared" si="55"/>
        <v/>
      </c>
      <c r="G338" s="71"/>
      <c r="H338" s="66" t="str">
        <f t="shared" si="54"/>
        <v/>
      </c>
      <c r="I338" s="59"/>
      <c r="J338" s="59"/>
      <c r="K338" s="59"/>
      <c r="L338" s="44"/>
      <c r="M338" s="44" t="str">
        <f t="shared" si="3"/>
        <v/>
      </c>
      <c r="N338" s="44" t="str">
        <f t="shared" si="4"/>
        <v/>
      </c>
      <c r="O338" s="44"/>
      <c r="P338" s="44"/>
      <c r="Q338" s="44"/>
      <c r="R338" s="44"/>
      <c r="S338" s="44"/>
      <c r="T338" s="44"/>
      <c r="U338" s="44"/>
      <c r="V338" s="44"/>
      <c r="W338" s="44"/>
      <c r="X338" s="44"/>
      <c r="Y338" s="44"/>
      <c r="Z338" s="44"/>
    </row>
    <row r="339" spans="1:26" ht="15.75" customHeight="1">
      <c r="A339" s="66" t="str">
        <f>IF(C339="","",VLOOKUP('Opći dio'!$C$3,'Opći dio'!$L$6:$U$137,10,FALSE))</f>
        <v/>
      </c>
      <c r="B339" s="66" t="str">
        <f>IF(C339="","",VLOOKUP('Opći dio'!$C$3,'Opći dio'!$L$6:$U$137,9,FALSE))</f>
        <v/>
      </c>
      <c r="C339" s="71"/>
      <c r="D339" s="66" t="str">
        <f t="shared" si="0"/>
        <v/>
      </c>
      <c r="E339" s="71"/>
      <c r="F339" s="66" t="str">
        <f t="shared" si="55"/>
        <v/>
      </c>
      <c r="G339" s="71"/>
      <c r="H339" s="66" t="str">
        <f t="shared" si="54"/>
        <v/>
      </c>
      <c r="I339" s="59"/>
      <c r="J339" s="59"/>
      <c r="K339" s="59"/>
      <c r="L339" s="44"/>
      <c r="M339" s="44" t="str">
        <f t="shared" si="3"/>
        <v/>
      </c>
      <c r="N339" s="44" t="str">
        <f t="shared" si="4"/>
        <v/>
      </c>
      <c r="O339" s="44"/>
      <c r="P339" s="44"/>
      <c r="Q339" s="44"/>
      <c r="R339" s="44"/>
      <c r="S339" s="44"/>
      <c r="T339" s="44"/>
      <c r="U339" s="44"/>
      <c r="V339" s="44"/>
      <c r="W339" s="44"/>
      <c r="X339" s="44"/>
      <c r="Y339" s="44"/>
      <c r="Z339" s="44"/>
    </row>
    <row r="340" spans="1:26" ht="15.75" customHeight="1">
      <c r="A340" s="66" t="str">
        <f>IF(C340="","",VLOOKUP('Opći dio'!$C$3,'Opći dio'!$L$6:$U$137,10,FALSE))</f>
        <v/>
      </c>
      <c r="B340" s="66" t="str">
        <f>IF(C340="","",VLOOKUP('Opći dio'!$C$3,'Opći dio'!$L$6:$U$137,9,FALSE))</f>
        <v/>
      </c>
      <c r="C340" s="71"/>
      <c r="D340" s="66" t="str">
        <f t="shared" si="0"/>
        <v/>
      </c>
      <c r="E340" s="71"/>
      <c r="F340" s="66" t="str">
        <f t="shared" si="55"/>
        <v/>
      </c>
      <c r="G340" s="71"/>
      <c r="H340" s="66" t="str">
        <f t="shared" si="54"/>
        <v/>
      </c>
      <c r="I340" s="59"/>
      <c r="J340" s="59"/>
      <c r="K340" s="59"/>
      <c r="L340" s="44"/>
      <c r="M340" s="44" t="str">
        <f t="shared" si="3"/>
        <v/>
      </c>
      <c r="N340" s="44" t="str">
        <f t="shared" si="4"/>
        <v/>
      </c>
      <c r="O340" s="44"/>
      <c r="P340" s="44"/>
      <c r="Q340" s="44"/>
      <c r="R340" s="44"/>
      <c r="S340" s="44"/>
      <c r="T340" s="44"/>
      <c r="U340" s="44"/>
      <c r="V340" s="44"/>
      <c r="W340" s="44"/>
      <c r="X340" s="44"/>
      <c r="Y340" s="44"/>
      <c r="Z340" s="44"/>
    </row>
    <row r="341" spans="1:26" ht="15.75" customHeight="1">
      <c r="A341" s="66" t="str">
        <f>IF(C341="","",VLOOKUP('Opći dio'!$C$3,'Opći dio'!$L$6:$U$137,10,FALSE))</f>
        <v/>
      </c>
      <c r="B341" s="66" t="str">
        <f>IF(C341="","",VLOOKUP('Opći dio'!$C$3,'Opći dio'!$L$6:$U$137,9,FALSE))</f>
        <v/>
      </c>
      <c r="C341" s="71"/>
      <c r="D341" s="66" t="str">
        <f t="shared" si="0"/>
        <v/>
      </c>
      <c r="E341" s="71"/>
      <c r="F341" s="66" t="str">
        <f t="shared" si="55"/>
        <v/>
      </c>
      <c r="G341" s="71"/>
      <c r="H341" s="66" t="str">
        <f t="shared" si="54"/>
        <v/>
      </c>
      <c r="I341" s="59"/>
      <c r="J341" s="59"/>
      <c r="K341" s="59"/>
      <c r="L341" s="44"/>
      <c r="M341" s="44" t="str">
        <f t="shared" si="3"/>
        <v/>
      </c>
      <c r="N341" s="44" t="str">
        <f t="shared" si="4"/>
        <v/>
      </c>
      <c r="O341" s="44"/>
      <c r="P341" s="44"/>
      <c r="Q341" s="44"/>
      <c r="R341" s="44"/>
      <c r="S341" s="44"/>
      <c r="T341" s="44"/>
      <c r="U341" s="44"/>
      <c r="V341" s="44"/>
      <c r="W341" s="44"/>
      <c r="X341" s="44"/>
      <c r="Y341" s="44"/>
      <c r="Z341" s="44"/>
    </row>
    <row r="342" spans="1:26" ht="15.75" customHeight="1">
      <c r="A342" s="66" t="str">
        <f>IF(C342="","",VLOOKUP('Opći dio'!$C$3,'Opći dio'!$L$6:$U$137,10,FALSE))</f>
        <v/>
      </c>
      <c r="B342" s="66" t="str">
        <f>IF(C342="","",VLOOKUP('Opći dio'!$C$3,'Opći dio'!$L$6:$U$137,9,FALSE))</f>
        <v/>
      </c>
      <c r="C342" s="71"/>
      <c r="D342" s="66" t="str">
        <f t="shared" si="0"/>
        <v/>
      </c>
      <c r="E342" s="71"/>
      <c r="F342" s="66" t="str">
        <f t="shared" si="55"/>
        <v/>
      </c>
      <c r="G342" s="71"/>
      <c r="H342" s="66" t="str">
        <f t="shared" si="54"/>
        <v/>
      </c>
      <c r="I342" s="59"/>
      <c r="J342" s="59"/>
      <c r="K342" s="59"/>
      <c r="L342" s="44"/>
      <c r="M342" s="44" t="str">
        <f t="shared" si="3"/>
        <v/>
      </c>
      <c r="N342" s="44" t="str">
        <f t="shared" si="4"/>
        <v/>
      </c>
      <c r="O342" s="44"/>
      <c r="P342" s="44"/>
      <c r="Q342" s="44"/>
      <c r="R342" s="44"/>
      <c r="S342" s="44"/>
      <c r="T342" s="44"/>
      <c r="U342" s="44"/>
      <c r="V342" s="44"/>
      <c r="W342" s="44"/>
      <c r="X342" s="44"/>
      <c r="Y342" s="44"/>
      <c r="Z342" s="44"/>
    </row>
    <row r="343" spans="1:26" ht="15.75" customHeight="1">
      <c r="A343" s="66" t="str">
        <f>IF(C343="","",VLOOKUP('Opći dio'!$C$3,'Opći dio'!$L$6:$U$137,10,FALSE))</f>
        <v/>
      </c>
      <c r="B343" s="66" t="str">
        <f>IF(C343="","",VLOOKUP('Opći dio'!$C$3,'Opći dio'!$L$6:$U$137,9,FALSE))</f>
        <v/>
      </c>
      <c r="C343" s="71"/>
      <c r="D343" s="66" t="str">
        <f t="shared" si="0"/>
        <v/>
      </c>
      <c r="E343" s="71"/>
      <c r="F343" s="66" t="str">
        <f t="shared" si="55"/>
        <v/>
      </c>
      <c r="G343" s="71"/>
      <c r="H343" s="66" t="str">
        <f t="shared" si="54"/>
        <v/>
      </c>
      <c r="I343" s="59"/>
      <c r="J343" s="59"/>
      <c r="K343" s="59"/>
      <c r="L343" s="44"/>
      <c r="M343" s="44" t="str">
        <f t="shared" si="3"/>
        <v/>
      </c>
      <c r="N343" s="44" t="str">
        <f t="shared" si="4"/>
        <v/>
      </c>
      <c r="O343" s="44"/>
      <c r="P343" s="44"/>
      <c r="Q343" s="44"/>
      <c r="R343" s="44"/>
      <c r="S343" s="44"/>
      <c r="T343" s="44"/>
      <c r="U343" s="44"/>
      <c r="V343" s="44"/>
      <c r="W343" s="44"/>
      <c r="X343" s="44"/>
      <c r="Y343" s="44"/>
      <c r="Z343" s="44"/>
    </row>
    <row r="344" spans="1:26" ht="15.75" customHeight="1">
      <c r="A344" s="66" t="str">
        <f>IF(C344="","",VLOOKUP('Opći dio'!$C$3,'Opći dio'!$L$6:$U$137,10,FALSE))</f>
        <v/>
      </c>
      <c r="B344" s="66" t="str">
        <f>IF(C344="","",VLOOKUP('Opći dio'!$C$3,'Opći dio'!$L$6:$U$137,9,FALSE))</f>
        <v/>
      </c>
      <c r="C344" s="71"/>
      <c r="D344" s="66" t="str">
        <f t="shared" si="0"/>
        <v/>
      </c>
      <c r="E344" s="71"/>
      <c r="F344" s="66" t="str">
        <f t="shared" si="55"/>
        <v/>
      </c>
      <c r="G344" s="71"/>
      <c r="H344" s="66" t="str">
        <f t="shared" si="54"/>
        <v/>
      </c>
      <c r="I344" s="59"/>
      <c r="J344" s="59"/>
      <c r="K344" s="59"/>
      <c r="L344" s="44"/>
      <c r="M344" s="44" t="str">
        <f t="shared" si="3"/>
        <v/>
      </c>
      <c r="N344" s="44" t="str">
        <f t="shared" si="4"/>
        <v/>
      </c>
      <c r="O344" s="44"/>
      <c r="P344" s="44"/>
      <c r="Q344" s="44"/>
      <c r="R344" s="44"/>
      <c r="S344" s="44"/>
      <c r="T344" s="44"/>
      <c r="U344" s="44"/>
      <c r="V344" s="44"/>
      <c r="W344" s="44"/>
      <c r="X344" s="44"/>
      <c r="Y344" s="44"/>
      <c r="Z344" s="44"/>
    </row>
    <row r="345" spans="1:26" ht="15.75" customHeight="1">
      <c r="A345" s="66" t="str">
        <f>IF(C345="","",VLOOKUP('Opći dio'!$C$3,'Opći dio'!$L$6:$U$137,10,FALSE))</f>
        <v/>
      </c>
      <c r="B345" s="66" t="str">
        <f>IF(C345="","",VLOOKUP('Opći dio'!$C$3,'Opći dio'!$L$6:$U$137,9,FALSE))</f>
        <v/>
      </c>
      <c r="C345" s="71"/>
      <c r="D345" s="66" t="str">
        <f t="shared" si="0"/>
        <v/>
      </c>
      <c r="E345" s="71"/>
      <c r="F345" s="66" t="str">
        <f t="shared" si="55"/>
        <v/>
      </c>
      <c r="G345" s="71"/>
      <c r="H345" s="66" t="str">
        <f t="shared" si="54"/>
        <v/>
      </c>
      <c r="I345" s="59"/>
      <c r="J345" s="59"/>
      <c r="K345" s="59"/>
      <c r="L345" s="44"/>
      <c r="M345" s="44" t="str">
        <f t="shared" si="3"/>
        <v/>
      </c>
      <c r="N345" s="44" t="str">
        <f t="shared" si="4"/>
        <v/>
      </c>
      <c r="O345" s="44"/>
      <c r="P345" s="44"/>
      <c r="Q345" s="44"/>
      <c r="R345" s="44"/>
      <c r="S345" s="44"/>
      <c r="T345" s="44"/>
      <c r="U345" s="44"/>
      <c r="V345" s="44"/>
      <c r="W345" s="44"/>
      <c r="X345" s="44"/>
      <c r="Y345" s="44"/>
      <c r="Z345" s="44"/>
    </row>
    <row r="346" spans="1:26" ht="15.75" customHeight="1">
      <c r="A346" s="66" t="str">
        <f>IF(C346="","",VLOOKUP('Opći dio'!$C$3,'Opći dio'!$L$6:$U$137,10,FALSE))</f>
        <v/>
      </c>
      <c r="B346" s="66" t="str">
        <f>IF(C346="","",VLOOKUP('Opći dio'!$C$3,'Opći dio'!$L$6:$U$137,9,FALSE))</f>
        <v/>
      </c>
      <c r="C346" s="71"/>
      <c r="D346" s="66" t="str">
        <f t="shared" si="0"/>
        <v/>
      </c>
      <c r="E346" s="71"/>
      <c r="F346" s="66" t="str">
        <f t="shared" si="55"/>
        <v/>
      </c>
      <c r="G346" s="71"/>
      <c r="H346" s="66" t="str">
        <f t="shared" si="54"/>
        <v/>
      </c>
      <c r="I346" s="59"/>
      <c r="J346" s="59"/>
      <c r="K346" s="59"/>
      <c r="L346" s="44"/>
      <c r="M346" s="44" t="str">
        <f t="shared" si="3"/>
        <v/>
      </c>
      <c r="N346" s="44" t="str">
        <f t="shared" si="4"/>
        <v/>
      </c>
      <c r="O346" s="44"/>
      <c r="P346" s="44"/>
      <c r="Q346" s="44"/>
      <c r="R346" s="44"/>
      <c r="S346" s="44"/>
      <c r="T346" s="44"/>
      <c r="U346" s="44"/>
      <c r="V346" s="44"/>
      <c r="W346" s="44"/>
      <c r="X346" s="44"/>
      <c r="Y346" s="44"/>
      <c r="Z346" s="44"/>
    </row>
    <row r="347" spans="1:26" ht="15.75" customHeight="1">
      <c r="A347" s="66" t="str">
        <f>IF(C347="","",VLOOKUP('Opći dio'!$C$3,'Opći dio'!$L$6:$U$137,10,FALSE))</f>
        <v/>
      </c>
      <c r="B347" s="66" t="str">
        <f>IF(C347="","",VLOOKUP('Opći dio'!$C$3,'Opći dio'!$L$6:$U$137,9,FALSE))</f>
        <v/>
      </c>
      <c r="C347" s="71"/>
      <c r="D347" s="66" t="str">
        <f t="shared" si="0"/>
        <v/>
      </c>
      <c r="E347" s="71"/>
      <c r="F347" s="66" t="str">
        <f t="shared" si="55"/>
        <v/>
      </c>
      <c r="G347" s="71"/>
      <c r="H347" s="66" t="str">
        <f t="shared" si="54"/>
        <v/>
      </c>
      <c r="I347" s="59"/>
      <c r="J347" s="59"/>
      <c r="K347" s="59"/>
      <c r="L347" s="44"/>
      <c r="M347" s="44" t="str">
        <f t="shared" si="3"/>
        <v/>
      </c>
      <c r="N347" s="44" t="str">
        <f t="shared" si="4"/>
        <v/>
      </c>
      <c r="O347" s="44"/>
      <c r="P347" s="44"/>
      <c r="Q347" s="44"/>
      <c r="R347" s="44"/>
      <c r="S347" s="44"/>
      <c r="T347" s="44"/>
      <c r="U347" s="44"/>
      <c r="V347" s="44"/>
      <c r="W347" s="44"/>
      <c r="X347" s="44"/>
      <c r="Y347" s="44"/>
      <c r="Z347" s="44"/>
    </row>
    <row r="348" spans="1:26" ht="15.75" customHeight="1">
      <c r="A348" s="66" t="str">
        <f>IF(C348="","",VLOOKUP('Opći dio'!$C$3,'Opći dio'!$L$6:$U$137,10,FALSE))</f>
        <v/>
      </c>
      <c r="B348" s="66" t="str">
        <f>IF(C348="","",VLOOKUP('Opći dio'!$C$3,'Opći dio'!$L$6:$U$137,9,FALSE))</f>
        <v/>
      </c>
      <c r="C348" s="71"/>
      <c r="D348" s="66" t="str">
        <f t="shared" si="0"/>
        <v/>
      </c>
      <c r="E348" s="71"/>
      <c r="F348" s="66" t="str">
        <f t="shared" si="55"/>
        <v/>
      </c>
      <c r="G348" s="71"/>
      <c r="H348" s="66" t="str">
        <f t="shared" si="54"/>
        <v/>
      </c>
      <c r="I348" s="59"/>
      <c r="J348" s="59"/>
      <c r="K348" s="59"/>
      <c r="L348" s="44"/>
      <c r="M348" s="44" t="str">
        <f t="shared" si="3"/>
        <v/>
      </c>
      <c r="N348" s="44" t="str">
        <f t="shared" si="4"/>
        <v/>
      </c>
      <c r="O348" s="44"/>
      <c r="P348" s="44"/>
      <c r="Q348" s="44"/>
      <c r="R348" s="44"/>
      <c r="S348" s="44"/>
      <c r="T348" s="44"/>
      <c r="U348" s="44"/>
      <c r="V348" s="44"/>
      <c r="W348" s="44"/>
      <c r="X348" s="44"/>
      <c r="Y348" s="44"/>
      <c r="Z348" s="44"/>
    </row>
    <row r="349" spans="1:26" ht="15.75" customHeight="1">
      <c r="A349" s="66" t="str">
        <f>IF(C349="","",VLOOKUP('Opći dio'!$C$3,'Opći dio'!$L$6:$U$137,10,FALSE))</f>
        <v/>
      </c>
      <c r="B349" s="66" t="str">
        <f>IF(C349="","",VLOOKUP('Opći dio'!$C$3,'Opći dio'!$L$6:$U$137,9,FALSE))</f>
        <v/>
      </c>
      <c r="C349" s="71"/>
      <c r="D349" s="66" t="str">
        <f t="shared" si="0"/>
        <v/>
      </c>
      <c r="E349" s="71"/>
      <c r="F349" s="66" t="str">
        <f t="shared" si="55"/>
        <v/>
      </c>
      <c r="G349" s="71"/>
      <c r="H349" s="66" t="str">
        <f t="shared" si="54"/>
        <v/>
      </c>
      <c r="I349" s="59"/>
      <c r="J349" s="59"/>
      <c r="K349" s="59"/>
      <c r="L349" s="44"/>
      <c r="M349" s="44" t="str">
        <f t="shared" si="3"/>
        <v/>
      </c>
      <c r="N349" s="44" t="str">
        <f t="shared" si="4"/>
        <v/>
      </c>
      <c r="O349" s="44"/>
      <c r="P349" s="44"/>
      <c r="Q349" s="44"/>
      <c r="R349" s="44"/>
      <c r="S349" s="44"/>
      <c r="T349" s="44"/>
      <c r="U349" s="44"/>
      <c r="V349" s="44"/>
      <c r="W349" s="44"/>
      <c r="X349" s="44"/>
      <c r="Y349" s="44"/>
      <c r="Z349" s="44"/>
    </row>
    <row r="350" spans="1:26" ht="15.75" customHeight="1">
      <c r="A350" s="66" t="str">
        <f>IF(C350="","",VLOOKUP('Opći dio'!$C$3,'Opći dio'!$L$6:$U$137,10,FALSE))</f>
        <v/>
      </c>
      <c r="B350" s="66" t="str">
        <f>IF(C350="","",VLOOKUP('Opći dio'!$C$3,'Opći dio'!$L$6:$U$137,9,FALSE))</f>
        <v/>
      </c>
      <c r="C350" s="71"/>
      <c r="D350" s="66" t="str">
        <f t="shared" si="0"/>
        <v/>
      </c>
      <c r="E350" s="71"/>
      <c r="F350" s="66" t="str">
        <f t="shared" si="55"/>
        <v/>
      </c>
      <c r="G350" s="71"/>
      <c r="H350" s="66" t="str">
        <f t="shared" si="54"/>
        <v/>
      </c>
      <c r="I350" s="59"/>
      <c r="J350" s="59"/>
      <c r="K350" s="59"/>
      <c r="L350" s="44"/>
      <c r="M350" s="44" t="str">
        <f t="shared" si="3"/>
        <v/>
      </c>
      <c r="N350" s="44" t="str">
        <f t="shared" si="4"/>
        <v/>
      </c>
      <c r="O350" s="44"/>
      <c r="P350" s="44"/>
      <c r="Q350" s="44"/>
      <c r="R350" s="44"/>
      <c r="S350" s="44"/>
      <c r="T350" s="44"/>
      <c r="U350" s="44"/>
      <c r="V350" s="44"/>
      <c r="W350" s="44"/>
      <c r="X350" s="44"/>
      <c r="Y350" s="44"/>
      <c r="Z350" s="44"/>
    </row>
    <row r="351" spans="1:26" ht="15.75" customHeight="1">
      <c r="A351" s="66" t="str">
        <f>IF(C351="","",VLOOKUP('Opći dio'!$C$3,'Opći dio'!$L$6:$U$137,10,FALSE))</f>
        <v/>
      </c>
      <c r="B351" s="66" t="str">
        <f>IF(C351="","",VLOOKUP('Opći dio'!$C$3,'Opći dio'!$L$6:$U$137,9,FALSE))</f>
        <v/>
      </c>
      <c r="C351" s="71"/>
      <c r="D351" s="66" t="str">
        <f t="shared" si="0"/>
        <v/>
      </c>
      <c r="E351" s="71"/>
      <c r="F351" s="66" t="str">
        <f t="shared" si="55"/>
        <v/>
      </c>
      <c r="G351" s="71"/>
      <c r="H351" s="66" t="str">
        <f t="shared" si="54"/>
        <v/>
      </c>
      <c r="I351" s="59"/>
      <c r="J351" s="59"/>
      <c r="K351" s="59"/>
      <c r="L351" s="44"/>
      <c r="M351" s="44" t="str">
        <f t="shared" si="3"/>
        <v/>
      </c>
      <c r="N351" s="44" t="str">
        <f t="shared" si="4"/>
        <v/>
      </c>
      <c r="O351" s="44"/>
      <c r="P351" s="44"/>
      <c r="Q351" s="44"/>
      <c r="R351" s="44"/>
      <c r="S351" s="44"/>
      <c r="T351" s="44"/>
      <c r="U351" s="44"/>
      <c r="V351" s="44"/>
      <c r="W351" s="44"/>
      <c r="X351" s="44"/>
      <c r="Y351" s="44"/>
      <c r="Z351" s="44"/>
    </row>
    <row r="352" spans="1:26" ht="15.75" customHeight="1">
      <c r="A352" s="66" t="str">
        <f>IF(C352="","",VLOOKUP('Opći dio'!$C$3,'Opći dio'!$L$6:$U$137,10,FALSE))</f>
        <v/>
      </c>
      <c r="B352" s="66" t="str">
        <f>IF(C352="","",VLOOKUP('Opći dio'!$C$3,'Opći dio'!$L$6:$U$137,9,FALSE))</f>
        <v/>
      </c>
      <c r="C352" s="71"/>
      <c r="D352" s="66" t="str">
        <f t="shared" si="0"/>
        <v/>
      </c>
      <c r="E352" s="71"/>
      <c r="F352" s="66" t="str">
        <f t="shared" si="55"/>
        <v/>
      </c>
      <c r="G352" s="71"/>
      <c r="H352" s="66" t="str">
        <f t="shared" si="54"/>
        <v/>
      </c>
      <c r="I352" s="59"/>
      <c r="J352" s="59"/>
      <c r="K352" s="59"/>
      <c r="L352" s="44"/>
      <c r="M352" s="44" t="str">
        <f t="shared" si="3"/>
        <v/>
      </c>
      <c r="N352" s="44" t="str">
        <f t="shared" si="4"/>
        <v/>
      </c>
      <c r="O352" s="44"/>
      <c r="P352" s="44"/>
      <c r="Q352" s="44"/>
      <c r="R352" s="44"/>
      <c r="S352" s="44"/>
      <c r="T352" s="44"/>
      <c r="U352" s="44"/>
      <c r="V352" s="44"/>
      <c r="W352" s="44"/>
      <c r="X352" s="44"/>
      <c r="Y352" s="44"/>
      <c r="Z352" s="44"/>
    </row>
    <row r="353" spans="1:26" ht="15.75" customHeight="1">
      <c r="A353" s="66" t="str">
        <f>IF(C353="","",VLOOKUP('Opći dio'!$C$3,'Opći dio'!$L$6:$U$137,10,FALSE))</f>
        <v/>
      </c>
      <c r="B353" s="66" t="str">
        <f>IF(C353="","",VLOOKUP('Opći dio'!$C$3,'Opći dio'!$L$6:$U$137,9,FALSE))</f>
        <v/>
      </c>
      <c r="C353" s="71"/>
      <c r="D353" s="66" t="str">
        <f t="shared" si="0"/>
        <v/>
      </c>
      <c r="E353" s="71"/>
      <c r="F353" s="66" t="str">
        <f t="shared" si="55"/>
        <v/>
      </c>
      <c r="G353" s="71"/>
      <c r="H353" s="66" t="str">
        <f t="shared" si="54"/>
        <v/>
      </c>
      <c r="I353" s="59"/>
      <c r="J353" s="59"/>
      <c r="K353" s="59"/>
      <c r="L353" s="44"/>
      <c r="M353" s="44" t="str">
        <f t="shared" si="3"/>
        <v/>
      </c>
      <c r="N353" s="44" t="str">
        <f t="shared" si="4"/>
        <v/>
      </c>
      <c r="O353" s="44"/>
      <c r="P353" s="44"/>
      <c r="Q353" s="44"/>
      <c r="R353" s="44"/>
      <c r="S353" s="44"/>
      <c r="T353" s="44"/>
      <c r="U353" s="44"/>
      <c r="V353" s="44"/>
      <c r="W353" s="44"/>
      <c r="X353" s="44"/>
      <c r="Y353" s="44"/>
      <c r="Z353" s="44"/>
    </row>
    <row r="354" spans="1:26" ht="15.75" customHeight="1">
      <c r="A354" s="66" t="str">
        <f>IF(C354="","",VLOOKUP('Opći dio'!$C$3,'Opći dio'!$L$6:$U$137,10,FALSE))</f>
        <v/>
      </c>
      <c r="B354" s="66" t="str">
        <f>IF(C354="","",VLOOKUP('Opći dio'!$C$3,'Opći dio'!$L$6:$U$137,9,FALSE))</f>
        <v/>
      </c>
      <c r="C354" s="71"/>
      <c r="D354" s="66" t="str">
        <f t="shared" si="0"/>
        <v/>
      </c>
      <c r="E354" s="71"/>
      <c r="F354" s="66" t="str">
        <f t="shared" si="55"/>
        <v/>
      </c>
      <c r="G354" s="71"/>
      <c r="H354" s="66" t="str">
        <f t="shared" si="54"/>
        <v/>
      </c>
      <c r="I354" s="59"/>
      <c r="J354" s="59"/>
      <c r="K354" s="59"/>
      <c r="L354" s="44"/>
      <c r="M354" s="44" t="str">
        <f t="shared" si="3"/>
        <v/>
      </c>
      <c r="N354" s="44" t="str">
        <f t="shared" si="4"/>
        <v/>
      </c>
      <c r="O354" s="44"/>
      <c r="P354" s="44"/>
      <c r="Q354" s="44"/>
      <c r="R354" s="44"/>
      <c r="S354" s="44"/>
      <c r="T354" s="44"/>
      <c r="U354" s="44"/>
      <c r="V354" s="44"/>
      <c r="W354" s="44"/>
      <c r="X354" s="44"/>
      <c r="Y354" s="44"/>
      <c r="Z354" s="44"/>
    </row>
    <row r="355" spans="1:26" ht="15.75" customHeight="1">
      <c r="A355" s="66" t="str">
        <f>IF(C355="","",VLOOKUP('Opći dio'!$C$3,'Opći dio'!$L$6:$U$137,10,FALSE))</f>
        <v/>
      </c>
      <c r="B355" s="66" t="str">
        <f>IF(C355="","",VLOOKUP('Opći dio'!$C$3,'Opći dio'!$L$6:$U$137,9,FALSE))</f>
        <v/>
      </c>
      <c r="C355" s="71"/>
      <c r="D355" s="66" t="str">
        <f t="shared" si="0"/>
        <v/>
      </c>
      <c r="E355" s="71"/>
      <c r="F355" s="66" t="str">
        <f t="shared" si="55"/>
        <v/>
      </c>
      <c r="G355" s="71"/>
      <c r="H355" s="66" t="str">
        <f t="shared" si="54"/>
        <v/>
      </c>
      <c r="I355" s="59"/>
      <c r="J355" s="59"/>
      <c r="K355" s="59"/>
      <c r="L355" s="44"/>
      <c r="M355" s="44" t="str">
        <f t="shared" si="3"/>
        <v/>
      </c>
      <c r="N355" s="44" t="str">
        <f t="shared" si="4"/>
        <v/>
      </c>
      <c r="O355" s="44"/>
      <c r="P355" s="44"/>
      <c r="Q355" s="44"/>
      <c r="R355" s="44"/>
      <c r="S355" s="44"/>
      <c r="T355" s="44"/>
      <c r="U355" s="44"/>
      <c r="V355" s="44"/>
      <c r="W355" s="44"/>
      <c r="X355" s="44"/>
      <c r="Y355" s="44"/>
      <c r="Z355" s="44"/>
    </row>
    <row r="356" spans="1:26" ht="15.75" customHeight="1">
      <c r="A356" s="66" t="str">
        <f>IF(C356="","",VLOOKUP('Opći dio'!$C$3,'Opći dio'!$L$6:$U$137,10,FALSE))</f>
        <v/>
      </c>
      <c r="B356" s="66" t="str">
        <f>IF(C356="","",VLOOKUP('Opći dio'!$C$3,'Opći dio'!$L$6:$U$137,9,FALSE))</f>
        <v/>
      </c>
      <c r="C356" s="71"/>
      <c r="D356" s="66" t="str">
        <f t="shared" si="0"/>
        <v/>
      </c>
      <c r="E356" s="71"/>
      <c r="F356" s="66" t="str">
        <f t="shared" si="55"/>
        <v/>
      </c>
      <c r="G356" s="71"/>
      <c r="H356" s="66" t="str">
        <f t="shared" si="54"/>
        <v/>
      </c>
      <c r="I356" s="59"/>
      <c r="J356" s="59"/>
      <c r="K356" s="59"/>
      <c r="L356" s="44"/>
      <c r="M356" s="44" t="str">
        <f t="shared" si="3"/>
        <v/>
      </c>
      <c r="N356" s="44" t="str">
        <f t="shared" si="4"/>
        <v/>
      </c>
      <c r="O356" s="44"/>
      <c r="P356" s="44"/>
      <c r="Q356" s="44"/>
      <c r="R356" s="44"/>
      <c r="S356" s="44"/>
      <c r="T356" s="44"/>
      <c r="U356" s="44"/>
      <c r="V356" s="44"/>
      <c r="W356" s="44"/>
      <c r="X356" s="44"/>
      <c r="Y356" s="44"/>
      <c r="Z356" s="44"/>
    </row>
    <row r="357" spans="1:26" ht="15.75" customHeight="1">
      <c r="A357" s="66" t="str">
        <f>IF(C357="","",VLOOKUP('Opći dio'!$C$3,'Opći dio'!$L$6:$U$137,10,FALSE))</f>
        <v/>
      </c>
      <c r="B357" s="66" t="str">
        <f>IF(C357="","",VLOOKUP('Opći dio'!$C$3,'Opći dio'!$L$6:$U$137,9,FALSE))</f>
        <v/>
      </c>
      <c r="C357" s="71"/>
      <c r="D357" s="66" t="str">
        <f t="shared" si="0"/>
        <v/>
      </c>
      <c r="E357" s="71"/>
      <c r="F357" s="66" t="str">
        <f t="shared" si="55"/>
        <v/>
      </c>
      <c r="G357" s="71"/>
      <c r="H357" s="66" t="str">
        <f t="shared" si="54"/>
        <v/>
      </c>
      <c r="I357" s="59"/>
      <c r="J357" s="59"/>
      <c r="K357" s="59"/>
      <c r="L357" s="44"/>
      <c r="M357" s="44" t="str">
        <f t="shared" si="3"/>
        <v/>
      </c>
      <c r="N357" s="44" t="str">
        <f t="shared" si="4"/>
        <v/>
      </c>
      <c r="O357" s="44"/>
      <c r="P357" s="44"/>
      <c r="Q357" s="44"/>
      <c r="R357" s="44"/>
      <c r="S357" s="44"/>
      <c r="T357" s="44"/>
      <c r="U357" s="44"/>
      <c r="V357" s="44"/>
      <c r="W357" s="44"/>
      <c r="X357" s="44"/>
      <c r="Y357" s="44"/>
      <c r="Z357" s="44"/>
    </row>
    <row r="358" spans="1:26" ht="15.75" customHeight="1">
      <c r="A358" s="66" t="str">
        <f>IF(C358="","",VLOOKUP('Opći dio'!$C$3,'Opći dio'!$L$6:$U$137,10,FALSE))</f>
        <v/>
      </c>
      <c r="B358" s="66" t="str">
        <f>IF(C358="","",VLOOKUP('Opći dio'!$C$3,'Opći dio'!$L$6:$U$137,9,FALSE))</f>
        <v/>
      </c>
      <c r="C358" s="71"/>
      <c r="D358" s="66" t="str">
        <f t="shared" si="0"/>
        <v/>
      </c>
      <c r="E358" s="71"/>
      <c r="F358" s="66" t="str">
        <f t="shared" si="55"/>
        <v/>
      </c>
      <c r="G358" s="71"/>
      <c r="H358" s="66" t="str">
        <f t="shared" si="54"/>
        <v/>
      </c>
      <c r="I358" s="59"/>
      <c r="J358" s="59"/>
      <c r="K358" s="59"/>
      <c r="L358" s="44"/>
      <c r="M358" s="44" t="str">
        <f t="shared" si="3"/>
        <v/>
      </c>
      <c r="N358" s="44" t="str">
        <f t="shared" si="4"/>
        <v/>
      </c>
      <c r="O358" s="44"/>
      <c r="P358" s="44"/>
      <c r="Q358" s="44"/>
      <c r="R358" s="44"/>
      <c r="S358" s="44"/>
      <c r="T358" s="44"/>
      <c r="U358" s="44"/>
      <c r="V358" s="44"/>
      <c r="W358" s="44"/>
      <c r="X358" s="44"/>
      <c r="Y358" s="44"/>
      <c r="Z358" s="44"/>
    </row>
    <row r="359" spans="1:26" ht="15.75" customHeight="1">
      <c r="A359" s="66" t="str">
        <f>IF(C359="","",VLOOKUP('Opći dio'!$C$3,'Opći dio'!$L$6:$U$137,10,FALSE))</f>
        <v/>
      </c>
      <c r="B359" s="66" t="str">
        <f>IF(C359="","",VLOOKUP('Opći dio'!$C$3,'Opći dio'!$L$6:$U$137,9,FALSE))</f>
        <v/>
      </c>
      <c r="C359" s="71"/>
      <c r="D359" s="66" t="str">
        <f t="shared" si="0"/>
        <v/>
      </c>
      <c r="E359" s="71"/>
      <c r="F359" s="66" t="str">
        <f t="shared" si="55"/>
        <v/>
      </c>
      <c r="G359" s="71"/>
      <c r="H359" s="66" t="str">
        <f t="shared" si="54"/>
        <v/>
      </c>
      <c r="I359" s="59"/>
      <c r="J359" s="59"/>
      <c r="K359" s="59"/>
      <c r="L359" s="44"/>
      <c r="M359" s="44" t="str">
        <f t="shared" si="3"/>
        <v/>
      </c>
      <c r="N359" s="44" t="str">
        <f t="shared" si="4"/>
        <v/>
      </c>
      <c r="O359" s="44"/>
      <c r="P359" s="44"/>
      <c r="Q359" s="44"/>
      <c r="R359" s="44"/>
      <c r="S359" s="44"/>
      <c r="T359" s="44"/>
      <c r="U359" s="44"/>
      <c r="V359" s="44"/>
      <c r="W359" s="44"/>
      <c r="X359" s="44"/>
      <c r="Y359" s="44"/>
      <c r="Z359" s="44"/>
    </row>
    <row r="360" spans="1:26" ht="15.75" customHeight="1">
      <c r="A360" s="66" t="str">
        <f>IF(C360="","",VLOOKUP('Opći dio'!$C$3,'Opći dio'!$L$6:$U$137,10,FALSE))</f>
        <v/>
      </c>
      <c r="B360" s="66" t="str">
        <f>IF(C360="","",VLOOKUP('Opći dio'!$C$3,'Opći dio'!$L$6:$U$137,9,FALSE))</f>
        <v/>
      </c>
      <c r="C360" s="71"/>
      <c r="D360" s="66" t="str">
        <f t="shared" si="0"/>
        <v/>
      </c>
      <c r="E360" s="71"/>
      <c r="F360" s="66" t="str">
        <f t="shared" si="55"/>
        <v/>
      </c>
      <c r="G360" s="71"/>
      <c r="H360" s="66" t="str">
        <f t="shared" si="54"/>
        <v/>
      </c>
      <c r="I360" s="59"/>
      <c r="J360" s="59"/>
      <c r="K360" s="59"/>
      <c r="L360" s="44"/>
      <c r="M360" s="44" t="str">
        <f t="shared" si="3"/>
        <v/>
      </c>
      <c r="N360" s="44" t="str">
        <f t="shared" si="4"/>
        <v/>
      </c>
      <c r="O360" s="44"/>
      <c r="P360" s="44"/>
      <c r="Q360" s="44"/>
      <c r="R360" s="44"/>
      <c r="S360" s="44"/>
      <c r="T360" s="44"/>
      <c r="U360" s="44"/>
      <c r="V360" s="44"/>
      <c r="W360" s="44"/>
      <c r="X360" s="44"/>
      <c r="Y360" s="44"/>
      <c r="Z360" s="44"/>
    </row>
    <row r="361" spans="1:26" ht="15.75" customHeight="1">
      <c r="A361" s="66" t="str">
        <f>IF(C361="","",VLOOKUP('Opći dio'!$C$3,'Opći dio'!$L$6:$U$137,10,FALSE))</f>
        <v/>
      </c>
      <c r="B361" s="66" t="str">
        <f>IF(C361="","",VLOOKUP('Opći dio'!$C$3,'Opći dio'!$L$6:$U$137,9,FALSE))</f>
        <v/>
      </c>
      <c r="C361" s="71"/>
      <c r="D361" s="66" t="str">
        <f t="shared" si="0"/>
        <v/>
      </c>
      <c r="E361" s="71"/>
      <c r="F361" s="66" t="str">
        <f t="shared" si="55"/>
        <v/>
      </c>
      <c r="G361" s="71"/>
      <c r="H361" s="66" t="str">
        <f t="shared" si="54"/>
        <v/>
      </c>
      <c r="I361" s="59"/>
      <c r="J361" s="59"/>
      <c r="K361" s="59"/>
      <c r="L361" s="44"/>
      <c r="M361" s="44" t="str">
        <f t="shared" si="3"/>
        <v/>
      </c>
      <c r="N361" s="44" t="str">
        <f t="shared" si="4"/>
        <v/>
      </c>
      <c r="O361" s="44"/>
      <c r="P361" s="44"/>
      <c r="Q361" s="44"/>
      <c r="R361" s="44"/>
      <c r="S361" s="44"/>
      <c r="T361" s="44"/>
      <c r="U361" s="44"/>
      <c r="V361" s="44"/>
      <c r="W361" s="44"/>
      <c r="X361" s="44"/>
      <c r="Y361" s="44"/>
      <c r="Z361" s="44"/>
    </row>
    <row r="362" spans="1:26" ht="15.75" customHeight="1">
      <c r="A362" s="66" t="str">
        <f>IF(C362="","",VLOOKUP('Opći dio'!$C$3,'Opći dio'!$L$6:$U$137,10,FALSE))</f>
        <v/>
      </c>
      <c r="B362" s="66" t="str">
        <f>IF(C362="","",VLOOKUP('Opći dio'!$C$3,'Opći dio'!$L$6:$U$137,9,FALSE))</f>
        <v/>
      </c>
      <c r="C362" s="71"/>
      <c r="D362" s="66" t="str">
        <f t="shared" si="0"/>
        <v/>
      </c>
      <c r="E362" s="71"/>
      <c r="F362" s="66" t="str">
        <f t="shared" si="55"/>
        <v/>
      </c>
      <c r="G362" s="71"/>
      <c r="H362" s="66" t="str">
        <f t="shared" si="54"/>
        <v/>
      </c>
      <c r="I362" s="59"/>
      <c r="J362" s="59"/>
      <c r="K362" s="59"/>
      <c r="L362" s="44"/>
      <c r="M362" s="44" t="str">
        <f t="shared" si="3"/>
        <v/>
      </c>
      <c r="N362" s="44" t="str">
        <f t="shared" si="4"/>
        <v/>
      </c>
      <c r="O362" s="44"/>
      <c r="P362" s="44"/>
      <c r="Q362" s="44"/>
      <c r="R362" s="44"/>
      <c r="S362" s="44"/>
      <c r="T362" s="44"/>
      <c r="U362" s="44"/>
      <c r="V362" s="44"/>
      <c r="W362" s="44"/>
      <c r="X362" s="44"/>
      <c r="Y362" s="44"/>
      <c r="Z362" s="44"/>
    </row>
    <row r="363" spans="1:26" ht="15.75" customHeight="1">
      <c r="A363" s="66" t="str">
        <f>IF(C363="","",VLOOKUP('Opći dio'!$C$3,'Opći dio'!$L$6:$U$137,10,FALSE))</f>
        <v/>
      </c>
      <c r="B363" s="66" t="str">
        <f>IF(C363="","",VLOOKUP('Opći dio'!$C$3,'Opći dio'!$L$6:$U$137,9,FALSE))</f>
        <v/>
      </c>
      <c r="C363" s="71"/>
      <c r="D363" s="66" t="str">
        <f t="shared" si="0"/>
        <v/>
      </c>
      <c r="E363" s="71"/>
      <c r="F363" s="66" t="str">
        <f t="shared" si="55"/>
        <v/>
      </c>
      <c r="G363" s="71"/>
      <c r="H363" s="66" t="str">
        <f t="shared" si="54"/>
        <v/>
      </c>
      <c r="I363" s="59"/>
      <c r="J363" s="59"/>
      <c r="K363" s="59"/>
      <c r="L363" s="44"/>
      <c r="M363" s="44" t="str">
        <f t="shared" si="3"/>
        <v/>
      </c>
      <c r="N363" s="44" t="str">
        <f t="shared" si="4"/>
        <v/>
      </c>
      <c r="O363" s="44"/>
      <c r="P363" s="44"/>
      <c r="Q363" s="44"/>
      <c r="R363" s="44"/>
      <c r="S363" s="44"/>
      <c r="T363" s="44"/>
      <c r="U363" s="44"/>
      <c r="V363" s="44"/>
      <c r="W363" s="44"/>
      <c r="X363" s="44"/>
      <c r="Y363" s="44"/>
      <c r="Z363" s="44"/>
    </row>
    <row r="364" spans="1:26" ht="15.75" customHeight="1">
      <c r="A364" s="66" t="str">
        <f>IF(C364="","",VLOOKUP('Opći dio'!$C$3,'Opći dio'!$L$6:$U$137,10,FALSE))</f>
        <v/>
      </c>
      <c r="B364" s="66" t="str">
        <f>IF(C364="","",VLOOKUP('Opći dio'!$C$3,'Opći dio'!$L$6:$U$137,9,FALSE))</f>
        <v/>
      </c>
      <c r="C364" s="71"/>
      <c r="D364" s="66" t="str">
        <f t="shared" si="0"/>
        <v/>
      </c>
      <c r="E364" s="71"/>
      <c r="F364" s="66" t="str">
        <f t="shared" si="55"/>
        <v/>
      </c>
      <c r="G364" s="71"/>
      <c r="H364" s="66" t="str">
        <f t="shared" si="54"/>
        <v/>
      </c>
      <c r="I364" s="59"/>
      <c r="J364" s="59"/>
      <c r="K364" s="59"/>
      <c r="L364" s="44"/>
      <c r="M364" s="44" t="str">
        <f t="shared" si="3"/>
        <v/>
      </c>
      <c r="N364" s="44" t="str">
        <f t="shared" si="4"/>
        <v/>
      </c>
      <c r="O364" s="44"/>
      <c r="P364" s="44"/>
      <c r="Q364" s="44"/>
      <c r="R364" s="44"/>
      <c r="S364" s="44"/>
      <c r="T364" s="44"/>
      <c r="U364" s="44"/>
      <c r="V364" s="44"/>
      <c r="W364" s="44"/>
      <c r="X364" s="44"/>
      <c r="Y364" s="44"/>
      <c r="Z364" s="44"/>
    </row>
    <row r="365" spans="1:26" ht="15.75" customHeight="1">
      <c r="A365" s="66" t="str">
        <f>IF(C365="","",VLOOKUP('Opći dio'!$C$3,'Opći dio'!$L$6:$U$137,10,FALSE))</f>
        <v/>
      </c>
      <c r="B365" s="66" t="str">
        <f>IF(C365="","",VLOOKUP('Opći dio'!$C$3,'Opći dio'!$L$6:$U$137,9,FALSE))</f>
        <v/>
      </c>
      <c r="C365" s="71"/>
      <c r="D365" s="66" t="str">
        <f t="shared" si="0"/>
        <v/>
      </c>
      <c r="E365" s="71"/>
      <c r="F365" s="66" t="str">
        <f t="shared" si="55"/>
        <v/>
      </c>
      <c r="G365" s="71"/>
      <c r="H365" s="66" t="str">
        <f t="shared" si="54"/>
        <v/>
      </c>
      <c r="I365" s="59"/>
      <c r="J365" s="59"/>
      <c r="K365" s="59"/>
      <c r="L365" s="44"/>
      <c r="M365" s="44" t="str">
        <f t="shared" si="3"/>
        <v/>
      </c>
      <c r="N365" s="44" t="str">
        <f t="shared" si="4"/>
        <v/>
      </c>
      <c r="O365" s="44"/>
      <c r="P365" s="44"/>
      <c r="Q365" s="44"/>
      <c r="R365" s="44"/>
      <c r="S365" s="44"/>
      <c r="T365" s="44"/>
      <c r="U365" s="44"/>
      <c r="V365" s="44"/>
      <c r="W365" s="44"/>
      <c r="X365" s="44"/>
      <c r="Y365" s="44"/>
      <c r="Z365" s="44"/>
    </row>
    <row r="366" spans="1:26" ht="15.75" customHeight="1">
      <c r="A366" s="66" t="str">
        <f>IF(C366="","",VLOOKUP('Opći dio'!$C$3,'Opći dio'!$L$6:$U$137,10,FALSE))</f>
        <v/>
      </c>
      <c r="B366" s="66" t="str">
        <f>IF(C366="","",VLOOKUP('Opći dio'!$C$3,'Opći dio'!$L$6:$U$137,9,FALSE))</f>
        <v/>
      </c>
      <c r="C366" s="71"/>
      <c r="D366" s="66" t="str">
        <f t="shared" si="0"/>
        <v/>
      </c>
      <c r="E366" s="71"/>
      <c r="F366" s="66" t="str">
        <f t="shared" si="55"/>
        <v/>
      </c>
      <c r="G366" s="71"/>
      <c r="H366" s="66" t="str">
        <f t="shared" si="54"/>
        <v/>
      </c>
      <c r="I366" s="59"/>
      <c r="J366" s="59"/>
      <c r="K366" s="59"/>
      <c r="L366" s="44"/>
      <c r="M366" s="44" t="str">
        <f t="shared" si="3"/>
        <v/>
      </c>
      <c r="N366" s="44" t="str">
        <f t="shared" si="4"/>
        <v/>
      </c>
      <c r="O366" s="44"/>
      <c r="P366" s="44"/>
      <c r="Q366" s="44"/>
      <c r="R366" s="44"/>
      <c r="S366" s="44"/>
      <c r="T366" s="44"/>
      <c r="U366" s="44"/>
      <c r="V366" s="44"/>
      <c r="W366" s="44"/>
      <c r="X366" s="44"/>
      <c r="Y366" s="44"/>
      <c r="Z366" s="44"/>
    </row>
    <row r="367" spans="1:26" ht="15.75" customHeight="1">
      <c r="A367" s="66" t="str">
        <f>IF(C367="","",VLOOKUP('Opći dio'!$C$3,'Opći dio'!$L$6:$U$137,10,FALSE))</f>
        <v/>
      </c>
      <c r="B367" s="66" t="str">
        <f>IF(C367="","",VLOOKUP('Opći dio'!$C$3,'Opći dio'!$L$6:$U$137,9,FALSE))</f>
        <v/>
      </c>
      <c r="C367" s="71"/>
      <c r="D367" s="66" t="str">
        <f t="shared" si="0"/>
        <v/>
      </c>
      <c r="E367" s="71"/>
      <c r="F367" s="66" t="str">
        <f t="shared" si="55"/>
        <v/>
      </c>
      <c r="G367" s="71"/>
      <c r="H367" s="66" t="str">
        <f t="shared" si="54"/>
        <v/>
      </c>
      <c r="I367" s="59"/>
      <c r="J367" s="59"/>
      <c r="K367" s="59"/>
      <c r="L367" s="44"/>
      <c r="M367" s="44" t="str">
        <f t="shared" si="3"/>
        <v/>
      </c>
      <c r="N367" s="44" t="str">
        <f t="shared" si="4"/>
        <v/>
      </c>
      <c r="O367" s="44"/>
      <c r="P367" s="44"/>
      <c r="Q367" s="44"/>
      <c r="R367" s="44"/>
      <c r="S367" s="44"/>
      <c r="T367" s="44"/>
      <c r="U367" s="44"/>
      <c r="V367" s="44"/>
      <c r="W367" s="44"/>
      <c r="X367" s="44"/>
      <c r="Y367" s="44"/>
      <c r="Z367" s="44"/>
    </row>
    <row r="368" spans="1:26" ht="15.75" customHeight="1">
      <c r="A368" s="66" t="str">
        <f>IF(C368="","",VLOOKUP('Opći dio'!$C$3,'Opći dio'!$L$6:$U$137,10,FALSE))</f>
        <v/>
      </c>
      <c r="B368" s="66" t="str">
        <f>IF(C368="","",VLOOKUP('Opći dio'!$C$3,'Opći dio'!$L$6:$U$137,9,FALSE))</f>
        <v/>
      </c>
      <c r="C368" s="71"/>
      <c r="D368" s="66" t="str">
        <f t="shared" si="0"/>
        <v/>
      </c>
      <c r="E368" s="71"/>
      <c r="F368" s="66" t="str">
        <f t="shared" si="55"/>
        <v/>
      </c>
      <c r="G368" s="71"/>
      <c r="H368" s="66" t="str">
        <f t="shared" si="54"/>
        <v/>
      </c>
      <c r="I368" s="59"/>
      <c r="J368" s="59"/>
      <c r="K368" s="59"/>
      <c r="L368" s="44"/>
      <c r="M368" s="44" t="str">
        <f t="shared" si="3"/>
        <v/>
      </c>
      <c r="N368" s="44" t="str">
        <f t="shared" si="4"/>
        <v/>
      </c>
      <c r="O368" s="44"/>
      <c r="P368" s="44"/>
      <c r="Q368" s="44"/>
      <c r="R368" s="44"/>
      <c r="S368" s="44"/>
      <c r="T368" s="44"/>
      <c r="U368" s="44"/>
      <c r="V368" s="44"/>
      <c r="W368" s="44"/>
      <c r="X368" s="44"/>
      <c r="Y368" s="44"/>
      <c r="Z368" s="44"/>
    </row>
    <row r="369" spans="1:26" ht="15.75" customHeight="1">
      <c r="A369" s="66" t="str">
        <f>IF(C369="","",VLOOKUP('Opći dio'!$C$3,'Opći dio'!$L$6:$U$137,10,FALSE))</f>
        <v/>
      </c>
      <c r="B369" s="66" t="str">
        <f>IF(C369="","",VLOOKUP('Opći dio'!$C$3,'Opći dio'!$L$6:$U$137,9,FALSE))</f>
        <v/>
      </c>
      <c r="C369" s="71"/>
      <c r="D369" s="66" t="str">
        <f t="shared" si="0"/>
        <v/>
      </c>
      <c r="E369" s="71"/>
      <c r="F369" s="66" t="str">
        <f t="shared" si="55"/>
        <v/>
      </c>
      <c r="G369" s="71"/>
      <c r="H369" s="66" t="str">
        <f t="shared" si="54"/>
        <v/>
      </c>
      <c r="I369" s="59"/>
      <c r="J369" s="59"/>
      <c r="K369" s="59"/>
      <c r="L369" s="44"/>
      <c r="M369" s="44" t="str">
        <f t="shared" si="3"/>
        <v/>
      </c>
      <c r="N369" s="44" t="str">
        <f t="shared" si="4"/>
        <v/>
      </c>
      <c r="O369" s="44"/>
      <c r="P369" s="44"/>
      <c r="Q369" s="44"/>
      <c r="R369" s="44"/>
      <c r="S369" s="44"/>
      <c r="T369" s="44"/>
      <c r="U369" s="44"/>
      <c r="V369" s="44"/>
      <c r="W369" s="44"/>
      <c r="X369" s="44"/>
      <c r="Y369" s="44"/>
      <c r="Z369" s="44"/>
    </row>
    <row r="370" spans="1:26" ht="15.75" customHeight="1">
      <c r="A370" s="66" t="str">
        <f>IF(C370="","",VLOOKUP('Opći dio'!$C$3,'Opći dio'!$L$6:$U$137,10,FALSE))</f>
        <v/>
      </c>
      <c r="B370" s="66" t="str">
        <f>IF(C370="","",VLOOKUP('Opći dio'!$C$3,'Opći dio'!$L$6:$U$137,9,FALSE))</f>
        <v/>
      </c>
      <c r="C370" s="71"/>
      <c r="D370" s="66" t="str">
        <f t="shared" si="0"/>
        <v/>
      </c>
      <c r="E370" s="71"/>
      <c r="F370" s="66" t="str">
        <f t="shared" si="55"/>
        <v/>
      </c>
      <c r="G370" s="71"/>
      <c r="H370" s="66" t="str">
        <f t="shared" si="54"/>
        <v/>
      </c>
      <c r="I370" s="59"/>
      <c r="J370" s="59"/>
      <c r="K370" s="59"/>
      <c r="L370" s="44"/>
      <c r="M370" s="44" t="str">
        <f t="shared" si="3"/>
        <v/>
      </c>
      <c r="N370" s="44" t="str">
        <f t="shared" si="4"/>
        <v/>
      </c>
      <c r="O370" s="44"/>
      <c r="P370" s="44"/>
      <c r="Q370" s="44"/>
      <c r="R370" s="44"/>
      <c r="S370" s="44"/>
      <c r="T370" s="44"/>
      <c r="U370" s="44"/>
      <c r="V370" s="44"/>
      <c r="W370" s="44"/>
      <c r="X370" s="44"/>
      <c r="Y370" s="44"/>
      <c r="Z370" s="44"/>
    </row>
    <row r="371" spans="1:26" ht="15.75" customHeight="1">
      <c r="A371" s="66" t="str">
        <f>IF(C371="","",VLOOKUP('Opći dio'!$C$3,'Opći dio'!$L$6:$U$137,10,FALSE))</f>
        <v/>
      </c>
      <c r="B371" s="66" t="str">
        <f>IF(C371="","",VLOOKUP('Opći dio'!$C$3,'Opći dio'!$L$6:$U$137,9,FALSE))</f>
        <v/>
      </c>
      <c r="C371" s="71"/>
      <c r="D371" s="66" t="str">
        <f t="shared" si="0"/>
        <v/>
      </c>
      <c r="E371" s="71"/>
      <c r="F371" s="66" t="str">
        <f t="shared" si="55"/>
        <v/>
      </c>
      <c r="G371" s="71"/>
      <c r="H371" s="66" t="str">
        <f t="shared" si="54"/>
        <v/>
      </c>
      <c r="I371" s="59"/>
      <c r="J371" s="59"/>
      <c r="K371" s="59"/>
      <c r="L371" s="44"/>
      <c r="M371" s="44" t="str">
        <f t="shared" si="3"/>
        <v/>
      </c>
      <c r="N371" s="44" t="str">
        <f t="shared" si="4"/>
        <v/>
      </c>
      <c r="O371" s="44"/>
      <c r="P371" s="44"/>
      <c r="Q371" s="44"/>
      <c r="R371" s="44"/>
      <c r="S371" s="44"/>
      <c r="T371" s="44"/>
      <c r="U371" s="44"/>
      <c r="V371" s="44"/>
      <c r="W371" s="44"/>
      <c r="X371" s="44"/>
      <c r="Y371" s="44"/>
      <c r="Z371" s="44"/>
    </row>
    <row r="372" spans="1:26" ht="15.75" customHeight="1">
      <c r="A372" s="66" t="str">
        <f>IF(C372="","",VLOOKUP('Opći dio'!$C$3,'Opći dio'!$L$6:$U$137,10,FALSE))</f>
        <v/>
      </c>
      <c r="B372" s="66" t="str">
        <f>IF(C372="","",VLOOKUP('Opći dio'!$C$3,'Opći dio'!$L$6:$U$137,9,FALSE))</f>
        <v/>
      </c>
      <c r="C372" s="71"/>
      <c r="D372" s="66" t="str">
        <f t="shared" si="0"/>
        <v/>
      </c>
      <c r="E372" s="71"/>
      <c r="F372" s="66" t="str">
        <f t="shared" si="55"/>
        <v/>
      </c>
      <c r="G372" s="71"/>
      <c r="H372" s="66" t="str">
        <f t="shared" si="54"/>
        <v/>
      </c>
      <c r="I372" s="59"/>
      <c r="J372" s="59"/>
      <c r="K372" s="59"/>
      <c r="L372" s="44"/>
      <c r="M372" s="44" t="str">
        <f t="shared" si="3"/>
        <v/>
      </c>
      <c r="N372" s="44" t="str">
        <f t="shared" si="4"/>
        <v/>
      </c>
      <c r="O372" s="44"/>
      <c r="P372" s="44"/>
      <c r="Q372" s="44"/>
      <c r="R372" s="44"/>
      <c r="S372" s="44"/>
      <c r="T372" s="44"/>
      <c r="U372" s="44"/>
      <c r="V372" s="44"/>
      <c r="W372" s="44"/>
      <c r="X372" s="44"/>
      <c r="Y372" s="44"/>
      <c r="Z372" s="44"/>
    </row>
    <row r="373" spans="1:26" ht="15.75" customHeight="1">
      <c r="A373" s="66" t="str">
        <f>IF(C373="","",VLOOKUP('Opći dio'!$C$3,'Opći dio'!$L$6:$U$137,10,FALSE))</f>
        <v/>
      </c>
      <c r="B373" s="66" t="str">
        <f>IF(C373="","",VLOOKUP('Opći dio'!$C$3,'Opći dio'!$L$6:$U$137,9,FALSE))</f>
        <v/>
      </c>
      <c r="C373" s="71"/>
      <c r="D373" s="66" t="str">
        <f t="shared" si="0"/>
        <v/>
      </c>
      <c r="E373" s="71"/>
      <c r="F373" s="66" t="str">
        <f t="shared" si="55"/>
        <v/>
      </c>
      <c r="G373" s="71"/>
      <c r="H373" s="66" t="str">
        <f t="shared" si="54"/>
        <v/>
      </c>
      <c r="I373" s="59"/>
      <c r="J373" s="59"/>
      <c r="K373" s="59"/>
      <c r="L373" s="44"/>
      <c r="M373" s="44" t="str">
        <f t="shared" si="3"/>
        <v/>
      </c>
      <c r="N373" s="44" t="str">
        <f t="shared" si="4"/>
        <v/>
      </c>
      <c r="O373" s="44"/>
      <c r="P373" s="44"/>
      <c r="Q373" s="44"/>
      <c r="R373" s="44"/>
      <c r="S373" s="44"/>
      <c r="T373" s="44"/>
      <c r="U373" s="44"/>
      <c r="V373" s="44"/>
      <c r="W373" s="44"/>
      <c r="X373" s="44"/>
      <c r="Y373" s="44"/>
      <c r="Z373" s="44"/>
    </row>
    <row r="374" spans="1:26" ht="15.75" customHeight="1">
      <c r="A374" s="66" t="str">
        <f>IF(C374="","",VLOOKUP('Opći dio'!$C$3,'Opći dio'!$L$6:$U$137,10,FALSE))</f>
        <v/>
      </c>
      <c r="B374" s="66" t="str">
        <f>IF(C374="","",VLOOKUP('Opći dio'!$C$3,'Opći dio'!$L$6:$U$137,9,FALSE))</f>
        <v/>
      </c>
      <c r="C374" s="71"/>
      <c r="D374" s="66" t="str">
        <f t="shared" si="0"/>
        <v/>
      </c>
      <c r="E374" s="71"/>
      <c r="F374" s="66" t="str">
        <f t="shared" si="55"/>
        <v/>
      </c>
      <c r="G374" s="71"/>
      <c r="H374" s="66" t="str">
        <f t="shared" si="54"/>
        <v/>
      </c>
      <c r="I374" s="59"/>
      <c r="J374" s="59"/>
      <c r="K374" s="59"/>
      <c r="L374" s="44"/>
      <c r="M374" s="44" t="str">
        <f t="shared" si="3"/>
        <v/>
      </c>
      <c r="N374" s="44" t="str">
        <f t="shared" si="4"/>
        <v/>
      </c>
      <c r="O374" s="44"/>
      <c r="P374" s="44"/>
      <c r="Q374" s="44"/>
      <c r="R374" s="44"/>
      <c r="S374" s="44"/>
      <c r="T374" s="44"/>
      <c r="U374" s="44"/>
      <c r="V374" s="44"/>
      <c r="W374" s="44"/>
      <c r="X374" s="44"/>
      <c r="Y374" s="44"/>
      <c r="Z374" s="44"/>
    </row>
    <row r="375" spans="1:26" ht="15.75" customHeight="1">
      <c r="A375" s="66" t="str">
        <f>IF(C375="","",VLOOKUP('Opći dio'!$C$3,'Opći dio'!$L$6:$U$137,10,FALSE))</f>
        <v/>
      </c>
      <c r="B375" s="66" t="str">
        <f>IF(C375="","",VLOOKUP('Opći dio'!$C$3,'Opći dio'!$L$6:$U$137,9,FALSE))</f>
        <v/>
      </c>
      <c r="C375" s="71"/>
      <c r="D375" s="66" t="str">
        <f t="shared" si="0"/>
        <v/>
      </c>
      <c r="E375" s="71"/>
      <c r="F375" s="66" t="str">
        <f t="shared" si="55"/>
        <v/>
      </c>
      <c r="G375" s="71"/>
      <c r="H375" s="66" t="str">
        <f t="shared" si="54"/>
        <v/>
      </c>
      <c r="I375" s="59"/>
      <c r="J375" s="59"/>
      <c r="K375" s="59"/>
      <c r="L375" s="44"/>
      <c r="M375" s="44" t="str">
        <f t="shared" si="3"/>
        <v/>
      </c>
      <c r="N375" s="44" t="str">
        <f t="shared" si="4"/>
        <v/>
      </c>
      <c r="O375" s="44"/>
      <c r="P375" s="44"/>
      <c r="Q375" s="44"/>
      <c r="R375" s="44"/>
      <c r="S375" s="44"/>
      <c r="T375" s="44"/>
      <c r="U375" s="44"/>
      <c r="V375" s="44"/>
      <c r="W375" s="44"/>
      <c r="X375" s="44"/>
      <c r="Y375" s="44"/>
      <c r="Z375" s="44"/>
    </row>
    <row r="376" spans="1:26" ht="15.75" customHeight="1">
      <c r="A376" s="66" t="str">
        <f>IF(C376="","",VLOOKUP('Opći dio'!$C$3,'Opći dio'!$L$6:$U$137,10,FALSE))</f>
        <v/>
      </c>
      <c r="B376" s="66" t="str">
        <f>IF(C376="","",VLOOKUP('Opći dio'!$C$3,'Opći dio'!$L$6:$U$137,9,FALSE))</f>
        <v/>
      </c>
      <c r="C376" s="71"/>
      <c r="D376" s="66" t="str">
        <f t="shared" si="0"/>
        <v/>
      </c>
      <c r="E376" s="71"/>
      <c r="F376" s="66" t="str">
        <f t="shared" si="55"/>
        <v/>
      </c>
      <c r="G376" s="71"/>
      <c r="H376" s="66" t="str">
        <f t="shared" si="54"/>
        <v/>
      </c>
      <c r="I376" s="59"/>
      <c r="J376" s="59"/>
      <c r="K376" s="59"/>
      <c r="L376" s="44"/>
      <c r="M376" s="44" t="str">
        <f t="shared" si="3"/>
        <v/>
      </c>
      <c r="N376" s="44" t="str">
        <f t="shared" si="4"/>
        <v/>
      </c>
      <c r="O376" s="44"/>
      <c r="P376" s="44"/>
      <c r="Q376" s="44"/>
      <c r="R376" s="44"/>
      <c r="S376" s="44"/>
      <c r="T376" s="44"/>
      <c r="U376" s="44"/>
      <c r="V376" s="44"/>
      <c r="W376" s="44"/>
      <c r="X376" s="44"/>
      <c r="Y376" s="44"/>
      <c r="Z376" s="44"/>
    </row>
    <row r="377" spans="1:26" ht="15.75" customHeight="1">
      <c r="A377" s="66" t="str">
        <f>IF(C377="","",VLOOKUP('Opći dio'!$C$3,'Opći dio'!$L$6:$U$137,10,FALSE))</f>
        <v/>
      </c>
      <c r="B377" s="66" t="str">
        <f>IF(C377="","",VLOOKUP('Opći dio'!$C$3,'Opći dio'!$L$6:$U$137,9,FALSE))</f>
        <v/>
      </c>
      <c r="C377" s="71"/>
      <c r="D377" s="66" t="str">
        <f t="shared" si="0"/>
        <v/>
      </c>
      <c r="E377" s="71"/>
      <c r="F377" s="66" t="str">
        <f t="shared" si="55"/>
        <v/>
      </c>
      <c r="G377" s="71"/>
      <c r="H377" s="66" t="str">
        <f t="shared" si="54"/>
        <v/>
      </c>
      <c r="I377" s="59"/>
      <c r="J377" s="59"/>
      <c r="K377" s="59"/>
      <c r="L377" s="44"/>
      <c r="M377" s="44" t="str">
        <f t="shared" si="3"/>
        <v/>
      </c>
      <c r="N377" s="44" t="str">
        <f t="shared" si="4"/>
        <v/>
      </c>
      <c r="O377" s="44"/>
      <c r="P377" s="44"/>
      <c r="Q377" s="44"/>
      <c r="R377" s="44"/>
      <c r="S377" s="44"/>
      <c r="T377" s="44"/>
      <c r="U377" s="44"/>
      <c r="V377" s="44"/>
      <c r="W377" s="44"/>
      <c r="X377" s="44"/>
      <c r="Y377" s="44"/>
      <c r="Z377" s="44"/>
    </row>
    <row r="378" spans="1:26" ht="15.75" customHeight="1">
      <c r="A378" s="66" t="str">
        <f>IF(C378="","",VLOOKUP('Opći dio'!$C$3,'Opći dio'!$L$6:$U$137,10,FALSE))</f>
        <v/>
      </c>
      <c r="B378" s="66" t="str">
        <f>IF(C378="","",VLOOKUP('Opći dio'!$C$3,'Opći dio'!$L$6:$U$137,9,FALSE))</f>
        <v/>
      </c>
      <c r="C378" s="71"/>
      <c r="D378" s="66" t="str">
        <f t="shared" si="0"/>
        <v/>
      </c>
      <c r="E378" s="71"/>
      <c r="F378" s="66" t="str">
        <f t="shared" si="55"/>
        <v/>
      </c>
      <c r="G378" s="71"/>
      <c r="H378" s="66" t="str">
        <f t="shared" si="54"/>
        <v/>
      </c>
      <c r="I378" s="59"/>
      <c r="J378" s="59"/>
      <c r="K378" s="59"/>
      <c r="L378" s="44"/>
      <c r="M378" s="44" t="str">
        <f t="shared" si="3"/>
        <v/>
      </c>
      <c r="N378" s="44" t="str">
        <f t="shared" si="4"/>
        <v/>
      </c>
      <c r="O378" s="44"/>
      <c r="P378" s="44"/>
      <c r="Q378" s="44"/>
      <c r="R378" s="44"/>
      <c r="S378" s="44"/>
      <c r="T378" s="44"/>
      <c r="U378" s="44"/>
      <c r="V378" s="44"/>
      <c r="W378" s="44"/>
      <c r="X378" s="44"/>
      <c r="Y378" s="44"/>
      <c r="Z378" s="44"/>
    </row>
    <row r="379" spans="1:26" ht="15.75" customHeight="1">
      <c r="A379" s="66" t="str">
        <f>IF(C379="","",VLOOKUP('Opći dio'!$C$3,'Opći dio'!$L$6:$U$137,10,FALSE))</f>
        <v/>
      </c>
      <c r="B379" s="66" t="str">
        <f>IF(C379="","",VLOOKUP('Opći dio'!$C$3,'Opći dio'!$L$6:$U$137,9,FALSE))</f>
        <v/>
      </c>
      <c r="C379" s="71"/>
      <c r="D379" s="66" t="str">
        <f t="shared" si="0"/>
        <v/>
      </c>
      <c r="E379" s="71"/>
      <c r="F379" s="66" t="str">
        <f t="shared" si="55"/>
        <v/>
      </c>
      <c r="G379" s="71"/>
      <c r="H379" s="66" t="str">
        <f t="shared" si="54"/>
        <v/>
      </c>
      <c r="I379" s="59"/>
      <c r="J379" s="59"/>
      <c r="K379" s="59"/>
      <c r="L379" s="44"/>
      <c r="M379" s="44" t="str">
        <f t="shared" si="3"/>
        <v/>
      </c>
      <c r="N379" s="44" t="str">
        <f t="shared" si="4"/>
        <v/>
      </c>
      <c r="O379" s="44"/>
      <c r="P379" s="44"/>
      <c r="Q379" s="44"/>
      <c r="R379" s="44"/>
      <c r="S379" s="44"/>
      <c r="T379" s="44"/>
      <c r="U379" s="44"/>
      <c r="V379" s="44"/>
      <c r="W379" s="44"/>
      <c r="X379" s="44"/>
      <c r="Y379" s="44"/>
      <c r="Z379" s="44"/>
    </row>
    <row r="380" spans="1:26" ht="15.75" customHeight="1">
      <c r="A380" s="66" t="str">
        <f>IF(C380="","",VLOOKUP('Opći dio'!$C$3,'Opći dio'!$L$6:$U$137,10,FALSE))</f>
        <v/>
      </c>
      <c r="B380" s="66" t="str">
        <f>IF(C380="","",VLOOKUP('Opći dio'!$C$3,'Opći dio'!$L$6:$U$137,9,FALSE))</f>
        <v/>
      </c>
      <c r="C380" s="71"/>
      <c r="D380" s="66" t="str">
        <f t="shared" si="0"/>
        <v/>
      </c>
      <c r="E380" s="71"/>
      <c r="F380" s="66" t="str">
        <f t="shared" si="55"/>
        <v/>
      </c>
      <c r="G380" s="71"/>
      <c r="H380" s="66" t="str">
        <f t="shared" si="54"/>
        <v/>
      </c>
      <c r="I380" s="59"/>
      <c r="J380" s="59"/>
      <c r="K380" s="59"/>
      <c r="L380" s="44"/>
      <c r="M380" s="44" t="str">
        <f t="shared" si="3"/>
        <v/>
      </c>
      <c r="N380" s="44" t="str">
        <f t="shared" si="4"/>
        <v/>
      </c>
      <c r="O380" s="44"/>
      <c r="P380" s="44"/>
      <c r="Q380" s="44"/>
      <c r="R380" s="44"/>
      <c r="S380" s="44"/>
      <c r="T380" s="44"/>
      <c r="U380" s="44"/>
      <c r="V380" s="44"/>
      <c r="W380" s="44"/>
      <c r="X380" s="44"/>
      <c r="Y380" s="44"/>
      <c r="Z380" s="44"/>
    </row>
    <row r="381" spans="1:26" ht="15.75" customHeight="1">
      <c r="A381" s="66" t="str">
        <f>IF(C381="","",VLOOKUP('Opći dio'!$C$3,'Opći dio'!$L$6:$U$137,10,FALSE))</f>
        <v/>
      </c>
      <c r="B381" s="66" t="str">
        <f>IF(C381="","",VLOOKUP('Opći dio'!$C$3,'Opći dio'!$L$6:$U$137,9,FALSE))</f>
        <v/>
      </c>
      <c r="C381" s="71"/>
      <c r="D381" s="66" t="str">
        <f t="shared" si="0"/>
        <v/>
      </c>
      <c r="E381" s="71"/>
      <c r="F381" s="66" t="str">
        <f t="shared" si="55"/>
        <v/>
      </c>
      <c r="G381" s="71"/>
      <c r="H381" s="66" t="str">
        <f t="shared" si="54"/>
        <v/>
      </c>
      <c r="I381" s="59"/>
      <c r="J381" s="59"/>
      <c r="K381" s="59"/>
      <c r="L381" s="44"/>
      <c r="M381" s="44" t="str">
        <f t="shared" si="3"/>
        <v/>
      </c>
      <c r="N381" s="44" t="str">
        <f t="shared" si="4"/>
        <v/>
      </c>
      <c r="O381" s="44"/>
      <c r="P381" s="44"/>
      <c r="Q381" s="44"/>
      <c r="R381" s="44"/>
      <c r="S381" s="44"/>
      <c r="T381" s="44"/>
      <c r="U381" s="44"/>
      <c r="V381" s="44"/>
      <c r="W381" s="44"/>
      <c r="X381" s="44"/>
      <c r="Y381" s="44"/>
      <c r="Z381" s="44"/>
    </row>
    <row r="382" spans="1:26" ht="15.75" customHeight="1">
      <c r="A382" s="66" t="str">
        <f>IF(C382="","",VLOOKUP('Opći dio'!$C$3,'Opći dio'!$L$6:$U$137,10,FALSE))</f>
        <v/>
      </c>
      <c r="B382" s="66" t="str">
        <f>IF(C382="","",VLOOKUP('Opći dio'!$C$3,'Opći dio'!$L$6:$U$137,9,FALSE))</f>
        <v/>
      </c>
      <c r="C382" s="71"/>
      <c r="D382" s="66" t="str">
        <f t="shared" si="0"/>
        <v/>
      </c>
      <c r="E382" s="71"/>
      <c r="F382" s="66" t="str">
        <f t="shared" si="55"/>
        <v/>
      </c>
      <c r="G382" s="71"/>
      <c r="H382" s="66" t="str">
        <f t="shared" si="54"/>
        <v/>
      </c>
      <c r="I382" s="59"/>
      <c r="J382" s="59"/>
      <c r="K382" s="59"/>
      <c r="L382" s="44"/>
      <c r="M382" s="44" t="str">
        <f t="shared" si="3"/>
        <v/>
      </c>
      <c r="N382" s="44" t="str">
        <f t="shared" si="4"/>
        <v/>
      </c>
      <c r="O382" s="44"/>
      <c r="P382" s="44"/>
      <c r="Q382" s="44"/>
      <c r="R382" s="44"/>
      <c r="S382" s="44"/>
      <c r="T382" s="44"/>
      <c r="U382" s="44"/>
      <c r="V382" s="44"/>
      <c r="W382" s="44"/>
      <c r="X382" s="44"/>
      <c r="Y382" s="44"/>
      <c r="Z382" s="44"/>
    </row>
    <row r="383" spans="1:26" ht="15.75" customHeight="1">
      <c r="A383" s="66" t="str">
        <f>IF(C383="","",VLOOKUP('Opći dio'!$C$3,'Opći dio'!$L$6:$U$137,10,FALSE))</f>
        <v/>
      </c>
      <c r="B383" s="66" t="str">
        <f>IF(C383="","",VLOOKUP('Opći dio'!$C$3,'Opći dio'!$L$6:$U$137,9,FALSE))</f>
        <v/>
      </c>
      <c r="C383" s="71"/>
      <c r="D383" s="66" t="str">
        <f t="shared" si="0"/>
        <v/>
      </c>
      <c r="E383" s="71"/>
      <c r="F383" s="66" t="str">
        <f t="shared" si="55"/>
        <v/>
      </c>
      <c r="G383" s="71"/>
      <c r="H383" s="66" t="str">
        <f t="shared" si="54"/>
        <v/>
      </c>
      <c r="I383" s="59"/>
      <c r="J383" s="59"/>
      <c r="K383" s="59"/>
      <c r="L383" s="44"/>
      <c r="M383" s="44" t="str">
        <f t="shared" si="3"/>
        <v/>
      </c>
      <c r="N383" s="44" t="str">
        <f t="shared" si="4"/>
        <v/>
      </c>
      <c r="O383" s="44"/>
      <c r="P383" s="44"/>
      <c r="Q383" s="44"/>
      <c r="R383" s="44"/>
      <c r="S383" s="44"/>
      <c r="T383" s="44"/>
      <c r="U383" s="44"/>
      <c r="V383" s="44"/>
      <c r="W383" s="44"/>
      <c r="X383" s="44"/>
      <c r="Y383" s="44"/>
      <c r="Z383" s="44"/>
    </row>
    <row r="384" spans="1:26" ht="15.75" customHeight="1">
      <c r="A384" s="66" t="str">
        <f>IF(C384="","",VLOOKUP('Opći dio'!$C$3,'Opći dio'!$L$6:$U$137,10,FALSE))</f>
        <v/>
      </c>
      <c r="B384" s="66" t="str">
        <f>IF(C384="","",VLOOKUP('Opći dio'!$C$3,'Opći dio'!$L$6:$U$137,9,FALSE))</f>
        <v/>
      </c>
      <c r="C384" s="71"/>
      <c r="D384" s="66" t="str">
        <f t="shared" si="0"/>
        <v/>
      </c>
      <c r="E384" s="71"/>
      <c r="F384" s="66" t="str">
        <f t="shared" si="55"/>
        <v/>
      </c>
      <c r="G384" s="71"/>
      <c r="H384" s="66" t="str">
        <f t="shared" si="54"/>
        <v/>
      </c>
      <c r="I384" s="59"/>
      <c r="J384" s="59"/>
      <c r="K384" s="59"/>
      <c r="L384" s="44"/>
      <c r="M384" s="44" t="str">
        <f t="shared" si="3"/>
        <v/>
      </c>
      <c r="N384" s="44" t="str">
        <f t="shared" si="4"/>
        <v/>
      </c>
      <c r="O384" s="44"/>
      <c r="P384" s="44"/>
      <c r="Q384" s="44"/>
      <c r="R384" s="44"/>
      <c r="S384" s="44"/>
      <c r="T384" s="44"/>
      <c r="U384" s="44"/>
      <c r="V384" s="44"/>
      <c r="W384" s="44"/>
      <c r="X384" s="44"/>
      <c r="Y384" s="44"/>
      <c r="Z384" s="44"/>
    </row>
    <row r="385" spans="1:26" ht="15.75" customHeight="1">
      <c r="A385" s="66" t="str">
        <f>IF(C385="","",VLOOKUP('Opći dio'!$C$3,'Opći dio'!$L$6:$U$137,10,FALSE))</f>
        <v/>
      </c>
      <c r="B385" s="66" t="str">
        <f>IF(C385="","",VLOOKUP('Opći dio'!$C$3,'Opći dio'!$L$6:$U$137,9,FALSE))</f>
        <v/>
      </c>
      <c r="C385" s="71"/>
      <c r="D385" s="66" t="str">
        <f t="shared" si="0"/>
        <v/>
      </c>
      <c r="E385" s="71"/>
      <c r="F385" s="66" t="str">
        <f t="shared" si="55"/>
        <v/>
      </c>
      <c r="G385" s="71"/>
      <c r="H385" s="66" t="str">
        <f t="shared" si="54"/>
        <v/>
      </c>
      <c r="I385" s="59"/>
      <c r="J385" s="59"/>
      <c r="K385" s="59"/>
      <c r="L385" s="44"/>
      <c r="M385" s="44" t="str">
        <f t="shared" si="3"/>
        <v/>
      </c>
      <c r="N385" s="44" t="str">
        <f t="shared" si="4"/>
        <v/>
      </c>
      <c r="O385" s="44"/>
      <c r="P385" s="44"/>
      <c r="Q385" s="44"/>
      <c r="R385" s="44"/>
      <c r="S385" s="44"/>
      <c r="T385" s="44"/>
      <c r="U385" s="44"/>
      <c r="V385" s="44"/>
      <c r="W385" s="44"/>
      <c r="X385" s="44"/>
      <c r="Y385" s="44"/>
      <c r="Z385" s="44"/>
    </row>
    <row r="386" spans="1:26" ht="15.75" customHeight="1">
      <c r="A386" s="66" t="str">
        <f>IF(C386="","",VLOOKUP('Opći dio'!$C$3,'Opći dio'!$L$6:$U$137,10,FALSE))</f>
        <v/>
      </c>
      <c r="B386" s="66" t="str">
        <f>IF(C386="","",VLOOKUP('Opći dio'!$C$3,'Opći dio'!$L$6:$U$137,9,FALSE))</f>
        <v/>
      </c>
      <c r="C386" s="71"/>
      <c r="D386" s="66" t="str">
        <f t="shared" si="0"/>
        <v/>
      </c>
      <c r="E386" s="71"/>
      <c r="F386" s="66" t="str">
        <f t="shared" si="55"/>
        <v/>
      </c>
      <c r="G386" s="71"/>
      <c r="H386" s="66" t="str">
        <f t="shared" si="54"/>
        <v/>
      </c>
      <c r="I386" s="59"/>
      <c r="J386" s="59"/>
      <c r="K386" s="59"/>
      <c r="L386" s="44"/>
      <c r="M386" s="44" t="str">
        <f t="shared" si="3"/>
        <v/>
      </c>
      <c r="N386" s="44" t="str">
        <f t="shared" si="4"/>
        <v/>
      </c>
      <c r="O386" s="44"/>
      <c r="P386" s="44"/>
      <c r="Q386" s="44"/>
      <c r="R386" s="44"/>
      <c r="S386" s="44"/>
      <c r="T386" s="44"/>
      <c r="U386" s="44"/>
      <c r="V386" s="44"/>
      <c r="W386" s="44"/>
      <c r="X386" s="44"/>
      <c r="Y386" s="44"/>
      <c r="Z386" s="44"/>
    </row>
    <row r="387" spans="1:26" ht="15.75" customHeight="1">
      <c r="A387" s="66" t="str">
        <f>IF(C387="","",VLOOKUP('Opći dio'!$C$3,'Opći dio'!$L$6:$U$137,10,FALSE))</f>
        <v/>
      </c>
      <c r="B387" s="66" t="str">
        <f>IF(C387="","",VLOOKUP('Opći dio'!$C$3,'Opći dio'!$L$6:$U$137,9,FALSE))</f>
        <v/>
      </c>
      <c r="C387" s="71"/>
      <c r="D387" s="66" t="str">
        <f t="shared" si="0"/>
        <v/>
      </c>
      <c r="E387" s="71"/>
      <c r="F387" s="66" t="str">
        <f t="shared" si="55"/>
        <v/>
      </c>
      <c r="G387" s="71"/>
      <c r="H387" s="66" t="str">
        <f t="shared" ref="H387:H450" si="56">IFERROR(VLOOKUP(G387,$X$6:$Y$276,2,FALSE),"")</f>
        <v/>
      </c>
      <c r="I387" s="59"/>
      <c r="J387" s="59"/>
      <c r="K387" s="59"/>
      <c r="L387" s="44"/>
      <c r="M387" s="44" t="str">
        <f t="shared" si="3"/>
        <v/>
      </c>
      <c r="N387" s="44" t="str">
        <f t="shared" si="4"/>
        <v/>
      </c>
      <c r="O387" s="44"/>
      <c r="P387" s="44"/>
      <c r="Q387" s="44"/>
      <c r="R387" s="44"/>
      <c r="S387" s="44"/>
      <c r="T387" s="44"/>
      <c r="U387" s="44"/>
      <c r="V387" s="44"/>
      <c r="W387" s="44"/>
      <c r="X387" s="44"/>
      <c r="Y387" s="44"/>
      <c r="Z387" s="44"/>
    </row>
    <row r="388" spans="1:26" ht="15.75" customHeight="1">
      <c r="A388" s="66" t="str">
        <f>IF(C388="","",VLOOKUP('Opći dio'!$C$3,'Opći dio'!$L$6:$U$137,10,FALSE))</f>
        <v/>
      </c>
      <c r="B388" s="66" t="str">
        <f>IF(C388="","",VLOOKUP('Opći dio'!$C$3,'Opći dio'!$L$6:$U$137,9,FALSE))</f>
        <v/>
      </c>
      <c r="C388" s="71"/>
      <c r="D388" s="66" t="str">
        <f t="shared" si="0"/>
        <v/>
      </c>
      <c r="E388" s="71"/>
      <c r="F388" s="66" t="str">
        <f t="shared" si="55"/>
        <v/>
      </c>
      <c r="G388" s="71"/>
      <c r="H388" s="66" t="str">
        <f t="shared" si="56"/>
        <v/>
      </c>
      <c r="I388" s="59"/>
      <c r="J388" s="59"/>
      <c r="K388" s="59"/>
      <c r="L388" s="44"/>
      <c r="M388" s="44" t="str">
        <f t="shared" si="3"/>
        <v/>
      </c>
      <c r="N388" s="44" t="str">
        <f t="shared" si="4"/>
        <v/>
      </c>
      <c r="O388" s="44"/>
      <c r="P388" s="44"/>
      <c r="Q388" s="44"/>
      <c r="R388" s="44"/>
      <c r="S388" s="44"/>
      <c r="T388" s="44"/>
      <c r="U388" s="44"/>
      <c r="V388" s="44"/>
      <c r="W388" s="44"/>
      <c r="X388" s="44"/>
      <c r="Y388" s="44"/>
      <c r="Z388" s="44"/>
    </row>
    <row r="389" spans="1:26" ht="15.75" customHeight="1">
      <c r="A389" s="66" t="str">
        <f>IF(C389="","",VLOOKUP('Opći dio'!$C$3,'Opći dio'!$L$6:$U$137,10,FALSE))</f>
        <v/>
      </c>
      <c r="B389" s="66" t="str">
        <f>IF(C389="","",VLOOKUP('Opći dio'!$C$3,'Opći dio'!$L$6:$U$137,9,FALSE))</f>
        <v/>
      </c>
      <c r="C389" s="71"/>
      <c r="D389" s="66" t="str">
        <f t="shared" si="0"/>
        <v/>
      </c>
      <c r="E389" s="71"/>
      <c r="F389" s="66" t="str">
        <f t="shared" si="55"/>
        <v/>
      </c>
      <c r="G389" s="71"/>
      <c r="H389" s="66" t="str">
        <f t="shared" si="56"/>
        <v/>
      </c>
      <c r="I389" s="59"/>
      <c r="J389" s="59"/>
      <c r="K389" s="59"/>
      <c r="L389" s="44"/>
      <c r="M389" s="44" t="str">
        <f t="shared" si="3"/>
        <v/>
      </c>
      <c r="N389" s="44" t="str">
        <f t="shared" si="4"/>
        <v/>
      </c>
      <c r="O389" s="44"/>
      <c r="P389" s="44"/>
      <c r="Q389" s="44"/>
      <c r="R389" s="44"/>
      <c r="S389" s="44"/>
      <c r="T389" s="44"/>
      <c r="U389" s="44"/>
      <c r="V389" s="44"/>
      <c r="W389" s="44"/>
      <c r="X389" s="44"/>
      <c r="Y389" s="44"/>
      <c r="Z389" s="44"/>
    </row>
    <row r="390" spans="1:26" ht="15.75" customHeight="1">
      <c r="A390" s="66" t="str">
        <f>IF(C390="","",VLOOKUP('Opći dio'!$C$3,'Opći dio'!$L$6:$U$137,10,FALSE))</f>
        <v/>
      </c>
      <c r="B390" s="66" t="str">
        <f>IF(C390="","",VLOOKUP('Opći dio'!$C$3,'Opći dio'!$L$6:$U$137,9,FALSE))</f>
        <v/>
      </c>
      <c r="C390" s="71"/>
      <c r="D390" s="66" t="str">
        <f t="shared" si="0"/>
        <v/>
      </c>
      <c r="E390" s="71"/>
      <c r="F390" s="66" t="str">
        <f t="shared" si="55"/>
        <v/>
      </c>
      <c r="G390" s="71"/>
      <c r="H390" s="66" t="str">
        <f t="shared" si="56"/>
        <v/>
      </c>
      <c r="I390" s="59"/>
      <c r="J390" s="59"/>
      <c r="K390" s="59"/>
      <c r="L390" s="44"/>
      <c r="M390" s="44" t="str">
        <f t="shared" si="3"/>
        <v/>
      </c>
      <c r="N390" s="44" t="str">
        <f t="shared" si="4"/>
        <v/>
      </c>
      <c r="O390" s="44"/>
      <c r="P390" s="44"/>
      <c r="Q390" s="44"/>
      <c r="R390" s="44"/>
      <c r="S390" s="44"/>
      <c r="T390" s="44"/>
      <c r="U390" s="44"/>
      <c r="V390" s="44"/>
      <c r="W390" s="44"/>
      <c r="X390" s="44"/>
      <c r="Y390" s="44"/>
      <c r="Z390" s="44"/>
    </row>
    <row r="391" spans="1:26" ht="15.75" customHeight="1">
      <c r="A391" s="66" t="str">
        <f>IF(C391="","",VLOOKUP('Opći dio'!$C$3,'Opći dio'!$L$6:$U$137,10,FALSE))</f>
        <v/>
      </c>
      <c r="B391" s="66" t="str">
        <f>IF(C391="","",VLOOKUP('Opći dio'!$C$3,'Opći dio'!$L$6:$U$137,9,FALSE))</f>
        <v/>
      </c>
      <c r="C391" s="71"/>
      <c r="D391" s="66" t="str">
        <f t="shared" si="0"/>
        <v/>
      </c>
      <c r="E391" s="71"/>
      <c r="F391" s="66" t="str">
        <f t="shared" si="55"/>
        <v/>
      </c>
      <c r="G391" s="71"/>
      <c r="H391" s="66" t="str">
        <f t="shared" si="56"/>
        <v/>
      </c>
      <c r="I391" s="59"/>
      <c r="J391" s="59"/>
      <c r="K391" s="59"/>
      <c r="L391" s="44"/>
      <c r="M391" s="44" t="str">
        <f t="shared" si="3"/>
        <v/>
      </c>
      <c r="N391" s="44" t="str">
        <f t="shared" si="4"/>
        <v/>
      </c>
      <c r="O391" s="44"/>
      <c r="P391" s="44"/>
      <c r="Q391" s="44"/>
      <c r="R391" s="44"/>
      <c r="S391" s="44"/>
      <c r="T391" s="44"/>
      <c r="U391" s="44"/>
      <c r="V391" s="44"/>
      <c r="W391" s="44"/>
      <c r="X391" s="44"/>
      <c r="Y391" s="44"/>
      <c r="Z391" s="44"/>
    </row>
    <row r="392" spans="1:26" ht="15.75" customHeight="1">
      <c r="A392" s="66" t="str">
        <f>IF(C392="","",VLOOKUP('Opći dio'!$C$3,'Opći dio'!$L$6:$U$137,10,FALSE))</f>
        <v/>
      </c>
      <c r="B392" s="66" t="str">
        <f>IF(C392="","",VLOOKUP('Opći dio'!$C$3,'Opći dio'!$L$6:$U$137,9,FALSE))</f>
        <v/>
      </c>
      <c r="C392" s="71"/>
      <c r="D392" s="66" t="str">
        <f t="shared" si="0"/>
        <v/>
      </c>
      <c r="E392" s="71"/>
      <c r="F392" s="66" t="str">
        <f t="shared" si="55"/>
        <v/>
      </c>
      <c r="G392" s="71"/>
      <c r="H392" s="66" t="str">
        <f t="shared" si="56"/>
        <v/>
      </c>
      <c r="I392" s="59"/>
      <c r="J392" s="59"/>
      <c r="K392" s="59"/>
      <c r="L392" s="44"/>
      <c r="M392" s="44" t="str">
        <f t="shared" si="3"/>
        <v/>
      </c>
      <c r="N392" s="44" t="str">
        <f t="shared" si="4"/>
        <v/>
      </c>
      <c r="O392" s="44"/>
      <c r="P392" s="44"/>
      <c r="Q392" s="44"/>
      <c r="R392" s="44"/>
      <c r="S392" s="44"/>
      <c r="T392" s="44"/>
      <c r="U392" s="44"/>
      <c r="V392" s="44"/>
      <c r="W392" s="44"/>
      <c r="X392" s="44"/>
      <c r="Y392" s="44"/>
      <c r="Z392" s="44"/>
    </row>
    <row r="393" spans="1:26" ht="15.75" customHeight="1">
      <c r="A393" s="66" t="str">
        <f>IF(C393="","",VLOOKUP('Opći dio'!$C$3,'Opći dio'!$L$6:$U$137,10,FALSE))</f>
        <v/>
      </c>
      <c r="B393" s="66" t="str">
        <f>IF(C393="","",VLOOKUP('Opći dio'!$C$3,'Opći dio'!$L$6:$U$137,9,FALSE))</f>
        <v/>
      </c>
      <c r="C393" s="71"/>
      <c r="D393" s="66" t="str">
        <f t="shared" si="0"/>
        <v/>
      </c>
      <c r="E393" s="71"/>
      <c r="F393" s="66" t="str">
        <f t="shared" si="55"/>
        <v/>
      </c>
      <c r="G393" s="71"/>
      <c r="H393" s="66" t="str">
        <f t="shared" si="56"/>
        <v/>
      </c>
      <c r="I393" s="59"/>
      <c r="J393" s="59"/>
      <c r="K393" s="59"/>
      <c r="L393" s="44"/>
      <c r="M393" s="44" t="str">
        <f t="shared" si="3"/>
        <v/>
      </c>
      <c r="N393" s="44" t="str">
        <f t="shared" si="4"/>
        <v/>
      </c>
      <c r="O393" s="44"/>
      <c r="P393" s="44"/>
      <c r="Q393" s="44"/>
      <c r="R393" s="44"/>
      <c r="S393" s="44"/>
      <c r="T393" s="44"/>
      <c r="U393" s="44"/>
      <c r="V393" s="44"/>
      <c r="W393" s="44"/>
      <c r="X393" s="44"/>
      <c r="Y393" s="44"/>
      <c r="Z393" s="44"/>
    </row>
    <row r="394" spans="1:26" ht="15.75" customHeight="1">
      <c r="A394" s="66" t="str">
        <f>IF(C394="","",VLOOKUP('Opći dio'!$C$3,'Opći dio'!$L$6:$U$137,10,FALSE))</f>
        <v/>
      </c>
      <c r="B394" s="66" t="str">
        <f>IF(C394="","",VLOOKUP('Opći dio'!$C$3,'Opći dio'!$L$6:$U$137,9,FALSE))</f>
        <v/>
      </c>
      <c r="C394" s="71"/>
      <c r="D394" s="66" t="str">
        <f t="shared" si="0"/>
        <v/>
      </c>
      <c r="E394" s="71"/>
      <c r="F394" s="66" t="str">
        <f t="shared" si="55"/>
        <v/>
      </c>
      <c r="G394" s="71"/>
      <c r="H394" s="66" t="str">
        <f t="shared" si="56"/>
        <v/>
      </c>
      <c r="I394" s="59"/>
      <c r="J394" s="59"/>
      <c r="K394" s="59"/>
      <c r="L394" s="44"/>
      <c r="M394" s="44" t="str">
        <f t="shared" si="3"/>
        <v/>
      </c>
      <c r="N394" s="44" t="str">
        <f t="shared" si="4"/>
        <v/>
      </c>
      <c r="O394" s="44"/>
      <c r="P394" s="44"/>
      <c r="Q394" s="44"/>
      <c r="R394" s="44"/>
      <c r="S394" s="44"/>
      <c r="T394" s="44"/>
      <c r="U394" s="44"/>
      <c r="V394" s="44"/>
      <c r="W394" s="44"/>
      <c r="X394" s="44"/>
      <c r="Y394" s="44"/>
      <c r="Z394" s="44"/>
    </row>
    <row r="395" spans="1:26" ht="15.75" customHeight="1">
      <c r="A395" s="66" t="str">
        <f>IF(C395="","",VLOOKUP('Opći dio'!$C$3,'Opći dio'!$L$6:$U$137,10,FALSE))</f>
        <v/>
      </c>
      <c r="B395" s="66" t="str">
        <f>IF(C395="","",VLOOKUP('Opći dio'!$C$3,'Opći dio'!$L$6:$U$137,9,FALSE))</f>
        <v/>
      </c>
      <c r="C395" s="71"/>
      <c r="D395" s="66" t="str">
        <f t="shared" si="0"/>
        <v/>
      </c>
      <c r="E395" s="71"/>
      <c r="F395" s="66" t="str">
        <f t="shared" si="55"/>
        <v/>
      </c>
      <c r="G395" s="71"/>
      <c r="H395" s="66" t="str">
        <f t="shared" si="56"/>
        <v/>
      </c>
      <c r="I395" s="59"/>
      <c r="J395" s="59"/>
      <c r="K395" s="59"/>
      <c r="L395" s="44"/>
      <c r="M395" s="44" t="str">
        <f t="shared" si="3"/>
        <v/>
      </c>
      <c r="N395" s="44" t="str">
        <f t="shared" si="4"/>
        <v/>
      </c>
      <c r="O395" s="44"/>
      <c r="P395" s="44"/>
      <c r="Q395" s="44"/>
      <c r="R395" s="44"/>
      <c r="S395" s="44"/>
      <c r="T395" s="44"/>
      <c r="U395" s="44"/>
      <c r="V395" s="44"/>
      <c r="W395" s="44"/>
      <c r="X395" s="44"/>
      <c r="Y395" s="44"/>
      <c r="Z395" s="44"/>
    </row>
    <row r="396" spans="1:26" ht="15.75" customHeight="1">
      <c r="A396" s="66" t="str">
        <f>IF(C396="","",VLOOKUP('Opći dio'!$C$3,'Opći dio'!$L$6:$U$137,10,FALSE))</f>
        <v/>
      </c>
      <c r="B396" s="66" t="str">
        <f>IF(C396="","",VLOOKUP('Opći dio'!$C$3,'Opći dio'!$L$6:$U$137,9,FALSE))</f>
        <v/>
      </c>
      <c r="C396" s="71"/>
      <c r="D396" s="66" t="str">
        <f t="shared" si="0"/>
        <v/>
      </c>
      <c r="E396" s="71"/>
      <c r="F396" s="66" t="str">
        <f t="shared" si="55"/>
        <v/>
      </c>
      <c r="G396" s="71"/>
      <c r="H396" s="66" t="str">
        <f t="shared" si="56"/>
        <v/>
      </c>
      <c r="I396" s="59"/>
      <c r="J396" s="59"/>
      <c r="K396" s="59"/>
      <c r="L396" s="44"/>
      <c r="M396" s="44" t="str">
        <f t="shared" si="3"/>
        <v/>
      </c>
      <c r="N396" s="44" t="str">
        <f t="shared" si="4"/>
        <v/>
      </c>
      <c r="O396" s="44"/>
      <c r="P396" s="44"/>
      <c r="Q396" s="44"/>
      <c r="R396" s="44"/>
      <c r="S396" s="44"/>
      <c r="T396" s="44"/>
      <c r="U396" s="44"/>
      <c r="V396" s="44"/>
      <c r="W396" s="44"/>
      <c r="X396" s="44"/>
      <c r="Y396" s="44"/>
      <c r="Z396" s="44"/>
    </row>
    <row r="397" spans="1:26" ht="15.75" customHeight="1">
      <c r="A397" s="66" t="str">
        <f>IF(C397="","",VLOOKUP('Opći dio'!$C$3,'Opći dio'!$L$6:$U$137,10,FALSE))</f>
        <v/>
      </c>
      <c r="B397" s="66" t="str">
        <f>IF(C397="","",VLOOKUP('Opći dio'!$C$3,'Opći dio'!$L$6:$U$137,9,FALSE))</f>
        <v/>
      </c>
      <c r="C397" s="71"/>
      <c r="D397" s="66" t="str">
        <f t="shared" si="0"/>
        <v/>
      </c>
      <c r="E397" s="71"/>
      <c r="F397" s="66" t="str">
        <f t="shared" ref="F397:F460" si="57">IFERROR(VLOOKUP(E397,$R$5:$T$109,2,FALSE),"")</f>
        <v/>
      </c>
      <c r="G397" s="71"/>
      <c r="H397" s="66" t="str">
        <f t="shared" si="56"/>
        <v/>
      </c>
      <c r="I397" s="59"/>
      <c r="J397" s="59"/>
      <c r="K397" s="59"/>
      <c r="L397" s="44"/>
      <c r="M397" s="44" t="str">
        <f t="shared" si="3"/>
        <v/>
      </c>
      <c r="N397" s="44" t="str">
        <f t="shared" si="4"/>
        <v/>
      </c>
      <c r="O397" s="44"/>
      <c r="P397" s="44"/>
      <c r="Q397" s="44"/>
      <c r="R397" s="44"/>
      <c r="S397" s="44"/>
      <c r="T397" s="44"/>
      <c r="U397" s="44"/>
      <c r="V397" s="44"/>
      <c r="W397" s="44"/>
      <c r="X397" s="44"/>
      <c r="Y397" s="44"/>
      <c r="Z397" s="44"/>
    </row>
    <row r="398" spans="1:26" ht="15.75" customHeight="1">
      <c r="A398" s="66" t="str">
        <f>IF(C398="","",VLOOKUP('Opći dio'!$C$3,'Opći dio'!$L$6:$U$137,10,FALSE))</f>
        <v/>
      </c>
      <c r="B398" s="66" t="str">
        <f>IF(C398="","",VLOOKUP('Opći dio'!$C$3,'Opći dio'!$L$6:$U$137,9,FALSE))</f>
        <v/>
      </c>
      <c r="C398" s="71"/>
      <c r="D398" s="66" t="str">
        <f t="shared" si="0"/>
        <v/>
      </c>
      <c r="E398" s="71"/>
      <c r="F398" s="66" t="str">
        <f t="shared" si="57"/>
        <v/>
      </c>
      <c r="G398" s="71"/>
      <c r="H398" s="66" t="str">
        <f t="shared" si="56"/>
        <v/>
      </c>
      <c r="I398" s="59"/>
      <c r="J398" s="59"/>
      <c r="K398" s="59"/>
      <c r="L398" s="44"/>
      <c r="M398" s="44" t="str">
        <f t="shared" si="3"/>
        <v/>
      </c>
      <c r="N398" s="44" t="str">
        <f t="shared" si="4"/>
        <v/>
      </c>
      <c r="O398" s="44"/>
      <c r="P398" s="44"/>
      <c r="Q398" s="44"/>
      <c r="R398" s="44"/>
      <c r="S398" s="44"/>
      <c r="T398" s="44"/>
      <c r="U398" s="44"/>
      <c r="V398" s="44"/>
      <c r="W398" s="44"/>
      <c r="X398" s="44"/>
      <c r="Y398" s="44"/>
      <c r="Z398" s="44"/>
    </row>
    <row r="399" spans="1:26" ht="15.75" customHeight="1">
      <c r="A399" s="66" t="str">
        <f>IF(C399="","",VLOOKUP('Opći dio'!$C$3,'Opći dio'!$L$6:$U$137,10,FALSE))</f>
        <v/>
      </c>
      <c r="B399" s="66" t="str">
        <f>IF(C399="","",VLOOKUP('Opći dio'!$C$3,'Opći dio'!$L$6:$U$137,9,FALSE))</f>
        <v/>
      </c>
      <c r="C399" s="71"/>
      <c r="D399" s="66" t="str">
        <f t="shared" si="0"/>
        <v/>
      </c>
      <c r="E399" s="71"/>
      <c r="F399" s="66" t="str">
        <f t="shared" si="57"/>
        <v/>
      </c>
      <c r="G399" s="71"/>
      <c r="H399" s="66" t="str">
        <f t="shared" si="56"/>
        <v/>
      </c>
      <c r="I399" s="59"/>
      <c r="J399" s="59"/>
      <c r="K399" s="59"/>
      <c r="L399" s="44"/>
      <c r="M399" s="44" t="str">
        <f t="shared" si="3"/>
        <v/>
      </c>
      <c r="N399" s="44" t="str">
        <f t="shared" si="4"/>
        <v/>
      </c>
      <c r="O399" s="44"/>
      <c r="P399" s="44"/>
      <c r="Q399" s="44"/>
      <c r="R399" s="44"/>
      <c r="S399" s="44"/>
      <c r="T399" s="44"/>
      <c r="U399" s="44"/>
      <c r="V399" s="44"/>
      <c r="W399" s="44"/>
      <c r="X399" s="44"/>
      <c r="Y399" s="44"/>
      <c r="Z399" s="44"/>
    </row>
    <row r="400" spans="1:26" ht="15.75" customHeight="1">
      <c r="A400" s="66" t="str">
        <f>IF(C400="","",VLOOKUP('Opći dio'!$C$3,'Opći dio'!$L$6:$U$137,10,FALSE))</f>
        <v/>
      </c>
      <c r="B400" s="66" t="str">
        <f>IF(C400="","",VLOOKUP('Opći dio'!$C$3,'Opći dio'!$L$6:$U$137,9,FALSE))</f>
        <v/>
      </c>
      <c r="C400" s="71"/>
      <c r="D400" s="66" t="str">
        <f t="shared" si="0"/>
        <v/>
      </c>
      <c r="E400" s="71"/>
      <c r="F400" s="66" t="str">
        <f t="shared" si="57"/>
        <v/>
      </c>
      <c r="G400" s="71"/>
      <c r="H400" s="66" t="str">
        <f t="shared" si="56"/>
        <v/>
      </c>
      <c r="I400" s="59"/>
      <c r="J400" s="59"/>
      <c r="K400" s="59"/>
      <c r="L400" s="44"/>
      <c r="M400" s="44" t="str">
        <f t="shared" si="3"/>
        <v/>
      </c>
      <c r="N400" s="44" t="str">
        <f t="shared" si="4"/>
        <v/>
      </c>
      <c r="O400" s="44"/>
      <c r="P400" s="44"/>
      <c r="Q400" s="44"/>
      <c r="R400" s="44"/>
      <c r="S400" s="44"/>
      <c r="T400" s="44"/>
      <c r="U400" s="44"/>
      <c r="V400" s="44"/>
      <c r="W400" s="44"/>
      <c r="X400" s="44"/>
      <c r="Y400" s="44"/>
      <c r="Z400" s="44"/>
    </row>
    <row r="401" spans="1:26" ht="15.75" customHeight="1">
      <c r="A401" s="66" t="str">
        <f>IF(C401="","",VLOOKUP('Opći dio'!$C$3,'Opći dio'!$L$6:$U$137,10,FALSE))</f>
        <v/>
      </c>
      <c r="B401" s="66" t="str">
        <f>IF(C401="","",VLOOKUP('Opći dio'!$C$3,'Opći dio'!$L$6:$U$137,9,FALSE))</f>
        <v/>
      </c>
      <c r="C401" s="71"/>
      <c r="D401" s="66" t="str">
        <f t="shared" si="0"/>
        <v/>
      </c>
      <c r="E401" s="71"/>
      <c r="F401" s="66" t="str">
        <f t="shared" si="57"/>
        <v/>
      </c>
      <c r="G401" s="71"/>
      <c r="H401" s="66" t="str">
        <f t="shared" si="56"/>
        <v/>
      </c>
      <c r="I401" s="59"/>
      <c r="J401" s="59"/>
      <c r="K401" s="59"/>
      <c r="L401" s="44"/>
      <c r="M401" s="44" t="str">
        <f t="shared" si="3"/>
        <v/>
      </c>
      <c r="N401" s="44" t="str">
        <f t="shared" si="4"/>
        <v/>
      </c>
      <c r="O401" s="44"/>
      <c r="P401" s="44"/>
      <c r="Q401" s="44"/>
      <c r="R401" s="44"/>
      <c r="S401" s="44"/>
      <c r="T401" s="44"/>
      <c r="U401" s="44"/>
      <c r="V401" s="44"/>
      <c r="W401" s="44"/>
      <c r="X401" s="44"/>
      <c r="Y401" s="44"/>
      <c r="Z401" s="44"/>
    </row>
    <row r="402" spans="1:26" ht="15.75" customHeight="1">
      <c r="A402" s="66" t="str">
        <f>IF(C402="","",VLOOKUP('Opći dio'!$C$3,'Opći dio'!$L$6:$U$137,10,FALSE))</f>
        <v/>
      </c>
      <c r="B402" s="66" t="str">
        <f>IF(C402="","",VLOOKUP('Opći dio'!$C$3,'Opći dio'!$L$6:$U$137,9,FALSE))</f>
        <v/>
      </c>
      <c r="C402" s="71"/>
      <c r="D402" s="66" t="str">
        <f t="shared" si="0"/>
        <v/>
      </c>
      <c r="E402" s="71"/>
      <c r="F402" s="66" t="str">
        <f t="shared" si="57"/>
        <v/>
      </c>
      <c r="G402" s="71"/>
      <c r="H402" s="66" t="str">
        <f t="shared" si="56"/>
        <v/>
      </c>
      <c r="I402" s="59"/>
      <c r="J402" s="59"/>
      <c r="K402" s="59"/>
      <c r="L402" s="44"/>
      <c r="M402" s="44" t="str">
        <f t="shared" si="3"/>
        <v/>
      </c>
      <c r="N402" s="44" t="str">
        <f t="shared" si="4"/>
        <v/>
      </c>
      <c r="O402" s="44"/>
      <c r="P402" s="44"/>
      <c r="Q402" s="44"/>
      <c r="R402" s="44"/>
      <c r="S402" s="44"/>
      <c r="T402" s="44"/>
      <c r="U402" s="44"/>
      <c r="V402" s="44"/>
      <c r="W402" s="44"/>
      <c r="X402" s="44"/>
      <c r="Y402" s="44"/>
      <c r="Z402" s="44"/>
    </row>
    <row r="403" spans="1:26" ht="15.75" customHeight="1">
      <c r="A403" s="66" t="str">
        <f>IF(C403="","",VLOOKUP('Opći dio'!$C$3,'Opći dio'!$L$6:$U$137,10,FALSE))</f>
        <v/>
      </c>
      <c r="B403" s="66" t="str">
        <f>IF(C403="","",VLOOKUP('Opći dio'!$C$3,'Opći dio'!$L$6:$U$137,9,FALSE))</f>
        <v/>
      </c>
      <c r="C403" s="71"/>
      <c r="D403" s="66" t="str">
        <f t="shared" si="0"/>
        <v/>
      </c>
      <c r="E403" s="71"/>
      <c r="F403" s="66" t="str">
        <f t="shared" si="57"/>
        <v/>
      </c>
      <c r="G403" s="71"/>
      <c r="H403" s="66" t="str">
        <f t="shared" si="56"/>
        <v/>
      </c>
      <c r="I403" s="59"/>
      <c r="J403" s="59"/>
      <c r="K403" s="59"/>
      <c r="L403" s="44"/>
      <c r="M403" s="44" t="str">
        <f t="shared" si="3"/>
        <v/>
      </c>
      <c r="N403" s="44" t="str">
        <f t="shared" si="4"/>
        <v/>
      </c>
      <c r="O403" s="44"/>
      <c r="P403" s="44"/>
      <c r="Q403" s="44"/>
      <c r="R403" s="44"/>
      <c r="S403" s="44"/>
      <c r="T403" s="44"/>
      <c r="U403" s="44"/>
      <c r="V403" s="44"/>
      <c r="W403" s="44"/>
      <c r="X403" s="44"/>
      <c r="Y403" s="44"/>
      <c r="Z403" s="44"/>
    </row>
    <row r="404" spans="1:26" ht="15.75" customHeight="1">
      <c r="A404" s="66" t="str">
        <f>IF(C404="","",VLOOKUP('Opći dio'!$C$3,'Opći dio'!$L$6:$U$137,10,FALSE))</f>
        <v/>
      </c>
      <c r="B404" s="66" t="str">
        <f>IF(C404="","",VLOOKUP('Opći dio'!$C$3,'Opći dio'!$L$6:$U$137,9,FALSE))</f>
        <v/>
      </c>
      <c r="C404" s="71"/>
      <c r="D404" s="66" t="str">
        <f t="shared" si="0"/>
        <v/>
      </c>
      <c r="E404" s="71"/>
      <c r="F404" s="66" t="str">
        <f t="shared" si="57"/>
        <v/>
      </c>
      <c r="G404" s="71"/>
      <c r="H404" s="66" t="str">
        <f t="shared" si="56"/>
        <v/>
      </c>
      <c r="I404" s="59"/>
      <c r="J404" s="59"/>
      <c r="K404" s="59"/>
      <c r="L404" s="44"/>
      <c r="M404" s="44" t="str">
        <f t="shared" si="3"/>
        <v/>
      </c>
      <c r="N404" s="44" t="str">
        <f t="shared" si="4"/>
        <v/>
      </c>
      <c r="O404" s="44"/>
      <c r="P404" s="44"/>
      <c r="Q404" s="44"/>
      <c r="R404" s="44"/>
      <c r="S404" s="44"/>
      <c r="T404" s="44"/>
      <c r="U404" s="44"/>
      <c r="V404" s="44"/>
      <c r="W404" s="44"/>
      <c r="X404" s="44"/>
      <c r="Y404" s="44"/>
      <c r="Z404" s="44"/>
    </row>
    <row r="405" spans="1:26" ht="15.75" customHeight="1">
      <c r="A405" s="66" t="str">
        <f>IF(C405="","",VLOOKUP('Opći dio'!$C$3,'Opći dio'!$L$6:$U$137,10,FALSE))</f>
        <v/>
      </c>
      <c r="B405" s="66" t="str">
        <f>IF(C405="","",VLOOKUP('Opći dio'!$C$3,'Opći dio'!$L$6:$U$137,9,FALSE))</f>
        <v/>
      </c>
      <c r="C405" s="71"/>
      <c r="D405" s="66" t="str">
        <f t="shared" si="0"/>
        <v/>
      </c>
      <c r="E405" s="71"/>
      <c r="F405" s="66" t="str">
        <f t="shared" si="57"/>
        <v/>
      </c>
      <c r="G405" s="71"/>
      <c r="H405" s="66" t="str">
        <f t="shared" si="56"/>
        <v/>
      </c>
      <c r="I405" s="59"/>
      <c r="J405" s="59"/>
      <c r="K405" s="59"/>
      <c r="L405" s="44"/>
      <c r="M405" s="44" t="str">
        <f t="shared" si="3"/>
        <v/>
      </c>
      <c r="N405" s="44" t="str">
        <f t="shared" si="4"/>
        <v/>
      </c>
      <c r="O405" s="44"/>
      <c r="P405" s="44"/>
      <c r="Q405" s="44"/>
      <c r="R405" s="44"/>
      <c r="S405" s="44"/>
      <c r="T405" s="44"/>
      <c r="U405" s="44"/>
      <c r="V405" s="44"/>
      <c r="W405" s="44"/>
      <c r="X405" s="44"/>
      <c r="Y405" s="44"/>
      <c r="Z405" s="44"/>
    </row>
    <row r="406" spans="1:26" ht="15.75" customHeight="1">
      <c r="A406" s="66" t="str">
        <f>IF(C406="","",VLOOKUP('Opći dio'!$C$3,'Opći dio'!$L$6:$U$137,10,FALSE))</f>
        <v/>
      </c>
      <c r="B406" s="66" t="str">
        <f>IF(C406="","",VLOOKUP('Opći dio'!$C$3,'Opći dio'!$L$6:$U$137,9,FALSE))</f>
        <v/>
      </c>
      <c r="C406" s="71"/>
      <c r="D406" s="66" t="str">
        <f t="shared" si="0"/>
        <v/>
      </c>
      <c r="E406" s="71"/>
      <c r="F406" s="66" t="str">
        <f t="shared" si="57"/>
        <v/>
      </c>
      <c r="G406" s="71"/>
      <c r="H406" s="66" t="str">
        <f t="shared" si="56"/>
        <v/>
      </c>
      <c r="I406" s="59"/>
      <c r="J406" s="59"/>
      <c r="K406" s="59"/>
      <c r="L406" s="44"/>
      <c r="M406" s="44" t="str">
        <f t="shared" si="3"/>
        <v/>
      </c>
      <c r="N406" s="44" t="str">
        <f t="shared" si="4"/>
        <v/>
      </c>
      <c r="O406" s="44"/>
      <c r="P406" s="44"/>
      <c r="Q406" s="44"/>
      <c r="R406" s="44"/>
      <c r="S406" s="44"/>
      <c r="T406" s="44"/>
      <c r="U406" s="44"/>
      <c r="V406" s="44"/>
      <c r="W406" s="44"/>
      <c r="X406" s="44"/>
      <c r="Y406" s="44"/>
      <c r="Z406" s="44"/>
    </row>
    <row r="407" spans="1:26" ht="15.75" customHeight="1">
      <c r="A407" s="66" t="str">
        <f>IF(C407="","",VLOOKUP('Opći dio'!$C$3,'Opći dio'!$L$6:$U$137,10,FALSE))</f>
        <v/>
      </c>
      <c r="B407" s="66" t="str">
        <f>IF(C407="","",VLOOKUP('Opći dio'!$C$3,'Opći dio'!$L$6:$U$137,9,FALSE))</f>
        <v/>
      </c>
      <c r="C407" s="71"/>
      <c r="D407" s="66" t="str">
        <f t="shared" si="0"/>
        <v/>
      </c>
      <c r="E407" s="71"/>
      <c r="F407" s="66" t="str">
        <f t="shared" si="57"/>
        <v/>
      </c>
      <c r="G407" s="71"/>
      <c r="H407" s="66" t="str">
        <f t="shared" si="56"/>
        <v/>
      </c>
      <c r="I407" s="59"/>
      <c r="J407" s="59"/>
      <c r="K407" s="59"/>
      <c r="L407" s="44"/>
      <c r="M407" s="44" t="str">
        <f t="shared" si="3"/>
        <v/>
      </c>
      <c r="N407" s="44" t="str">
        <f t="shared" si="4"/>
        <v/>
      </c>
      <c r="O407" s="44"/>
      <c r="P407" s="44"/>
      <c r="Q407" s="44"/>
      <c r="R407" s="44"/>
      <c r="S407" s="44"/>
      <c r="T407" s="44"/>
      <c r="U407" s="44"/>
      <c r="V407" s="44"/>
      <c r="W407" s="44"/>
      <c r="X407" s="44"/>
      <c r="Y407" s="44"/>
      <c r="Z407" s="44"/>
    </row>
    <row r="408" spans="1:26" ht="15.75" customHeight="1">
      <c r="A408" s="66" t="str">
        <f>IF(C408="","",VLOOKUP('Opći dio'!$C$3,'Opći dio'!$L$6:$U$137,10,FALSE))</f>
        <v/>
      </c>
      <c r="B408" s="66" t="str">
        <f>IF(C408="","",VLOOKUP('Opći dio'!$C$3,'Opći dio'!$L$6:$U$137,9,FALSE))</f>
        <v/>
      </c>
      <c r="C408" s="71"/>
      <c r="D408" s="66" t="str">
        <f t="shared" si="0"/>
        <v/>
      </c>
      <c r="E408" s="71"/>
      <c r="F408" s="66" t="str">
        <f t="shared" si="57"/>
        <v/>
      </c>
      <c r="G408" s="71"/>
      <c r="H408" s="66" t="str">
        <f t="shared" si="56"/>
        <v/>
      </c>
      <c r="I408" s="59"/>
      <c r="J408" s="59"/>
      <c r="K408" s="59"/>
      <c r="L408" s="44"/>
      <c r="M408" s="44" t="str">
        <f t="shared" si="3"/>
        <v/>
      </c>
      <c r="N408" s="44" t="str">
        <f t="shared" si="4"/>
        <v/>
      </c>
      <c r="O408" s="44"/>
      <c r="P408" s="44"/>
      <c r="Q408" s="44"/>
      <c r="R408" s="44"/>
      <c r="S408" s="44"/>
      <c r="T408" s="44"/>
      <c r="U408" s="44"/>
      <c r="V408" s="44"/>
      <c r="W408" s="44"/>
      <c r="X408" s="44"/>
      <c r="Y408" s="44"/>
      <c r="Z408" s="44"/>
    </row>
    <row r="409" spans="1:26" ht="15.75" customHeight="1">
      <c r="A409" s="66" t="str">
        <f>IF(C409="","",VLOOKUP('Opći dio'!$C$3,'Opći dio'!$L$6:$U$137,10,FALSE))</f>
        <v/>
      </c>
      <c r="B409" s="66" t="str">
        <f>IF(C409="","",VLOOKUP('Opći dio'!$C$3,'Opći dio'!$L$6:$U$137,9,FALSE))</f>
        <v/>
      </c>
      <c r="C409" s="71"/>
      <c r="D409" s="66" t="str">
        <f t="shared" si="0"/>
        <v/>
      </c>
      <c r="E409" s="71"/>
      <c r="F409" s="66" t="str">
        <f t="shared" si="57"/>
        <v/>
      </c>
      <c r="G409" s="71"/>
      <c r="H409" s="66" t="str">
        <f t="shared" si="56"/>
        <v/>
      </c>
      <c r="I409" s="59"/>
      <c r="J409" s="59"/>
      <c r="K409" s="59"/>
      <c r="L409" s="44"/>
      <c r="M409" s="44" t="str">
        <f t="shared" si="3"/>
        <v/>
      </c>
      <c r="N409" s="44" t="str">
        <f t="shared" si="4"/>
        <v/>
      </c>
      <c r="O409" s="44"/>
      <c r="P409" s="44"/>
      <c r="Q409" s="44"/>
      <c r="R409" s="44"/>
      <c r="S409" s="44"/>
      <c r="T409" s="44"/>
      <c r="U409" s="44"/>
      <c r="V409" s="44"/>
      <c r="W409" s="44"/>
      <c r="X409" s="44"/>
      <c r="Y409" s="44"/>
      <c r="Z409" s="44"/>
    </row>
    <row r="410" spans="1:26" ht="15.75" customHeight="1">
      <c r="A410" s="66" t="str">
        <f>IF(C410="","",VLOOKUP('Opći dio'!$C$3,'Opći dio'!$L$6:$U$137,10,FALSE))</f>
        <v/>
      </c>
      <c r="B410" s="66" t="str">
        <f>IF(C410="","",VLOOKUP('Opći dio'!$C$3,'Opći dio'!$L$6:$U$137,9,FALSE))</f>
        <v/>
      </c>
      <c r="C410" s="71"/>
      <c r="D410" s="66" t="str">
        <f t="shared" si="0"/>
        <v/>
      </c>
      <c r="E410" s="71"/>
      <c r="F410" s="66" t="str">
        <f t="shared" si="57"/>
        <v/>
      </c>
      <c r="G410" s="71"/>
      <c r="H410" s="66" t="str">
        <f t="shared" si="56"/>
        <v/>
      </c>
      <c r="I410" s="59"/>
      <c r="J410" s="59"/>
      <c r="K410" s="59"/>
      <c r="L410" s="44"/>
      <c r="M410" s="44" t="str">
        <f t="shared" si="3"/>
        <v/>
      </c>
      <c r="N410" s="44" t="str">
        <f t="shared" si="4"/>
        <v/>
      </c>
      <c r="O410" s="44"/>
      <c r="P410" s="44"/>
      <c r="Q410" s="44"/>
      <c r="R410" s="44"/>
      <c r="S410" s="44"/>
      <c r="T410" s="44"/>
      <c r="U410" s="44"/>
      <c r="V410" s="44"/>
      <c r="W410" s="44"/>
      <c r="X410" s="44"/>
      <c r="Y410" s="44"/>
      <c r="Z410" s="44"/>
    </row>
    <row r="411" spans="1:26" ht="15.75" customHeight="1">
      <c r="A411" s="66" t="str">
        <f>IF(C411="","",VLOOKUP('Opći dio'!$C$3,'Opći dio'!$L$6:$U$137,10,FALSE))</f>
        <v/>
      </c>
      <c r="B411" s="66" t="str">
        <f>IF(C411="","",VLOOKUP('Opći dio'!$C$3,'Opći dio'!$L$6:$U$137,9,FALSE))</f>
        <v/>
      </c>
      <c r="C411" s="71"/>
      <c r="D411" s="66" t="str">
        <f t="shared" si="0"/>
        <v/>
      </c>
      <c r="E411" s="71"/>
      <c r="F411" s="66" t="str">
        <f t="shared" si="57"/>
        <v/>
      </c>
      <c r="G411" s="71"/>
      <c r="H411" s="66" t="str">
        <f t="shared" si="56"/>
        <v/>
      </c>
      <c r="I411" s="59"/>
      <c r="J411" s="59"/>
      <c r="K411" s="59"/>
      <c r="L411" s="44"/>
      <c r="M411" s="44" t="str">
        <f t="shared" si="3"/>
        <v/>
      </c>
      <c r="N411" s="44" t="str">
        <f t="shared" si="4"/>
        <v/>
      </c>
      <c r="O411" s="44"/>
      <c r="P411" s="44"/>
      <c r="Q411" s="44"/>
      <c r="R411" s="44"/>
      <c r="S411" s="44"/>
      <c r="T411" s="44"/>
      <c r="U411" s="44"/>
      <c r="V411" s="44"/>
      <c r="W411" s="44"/>
      <c r="X411" s="44"/>
      <c r="Y411" s="44"/>
      <c r="Z411" s="44"/>
    </row>
    <row r="412" spans="1:26" ht="15.75" customHeight="1">
      <c r="A412" s="66" t="str">
        <f>IF(C412="","",VLOOKUP('Opći dio'!$C$3,'Opći dio'!$L$6:$U$137,10,FALSE))</f>
        <v/>
      </c>
      <c r="B412" s="66" t="str">
        <f>IF(C412="","",VLOOKUP('Opći dio'!$C$3,'Opći dio'!$L$6:$U$137,9,FALSE))</f>
        <v/>
      </c>
      <c r="C412" s="71"/>
      <c r="D412" s="66" t="str">
        <f t="shared" si="0"/>
        <v/>
      </c>
      <c r="E412" s="71"/>
      <c r="F412" s="66" t="str">
        <f t="shared" si="57"/>
        <v/>
      </c>
      <c r="G412" s="71"/>
      <c r="H412" s="66" t="str">
        <f t="shared" si="56"/>
        <v/>
      </c>
      <c r="I412" s="59"/>
      <c r="J412" s="59"/>
      <c r="K412" s="59"/>
      <c r="L412" s="44"/>
      <c r="M412" s="44" t="str">
        <f t="shared" si="3"/>
        <v/>
      </c>
      <c r="N412" s="44" t="str">
        <f t="shared" si="4"/>
        <v/>
      </c>
      <c r="O412" s="44"/>
      <c r="P412" s="44"/>
      <c r="Q412" s="44"/>
      <c r="R412" s="44"/>
      <c r="S412" s="44"/>
      <c r="T412" s="44"/>
      <c r="U412" s="44"/>
      <c r="V412" s="44"/>
      <c r="W412" s="44"/>
      <c r="X412" s="44"/>
      <c r="Y412" s="44"/>
      <c r="Z412" s="44"/>
    </row>
    <row r="413" spans="1:26" ht="15.75" customHeight="1">
      <c r="A413" s="66" t="str">
        <f>IF(C413="","",VLOOKUP('Opći dio'!$C$3,'Opći dio'!$L$6:$U$137,10,FALSE))</f>
        <v/>
      </c>
      <c r="B413" s="66" t="str">
        <f>IF(C413="","",VLOOKUP('Opći dio'!$C$3,'Opći dio'!$L$6:$U$137,9,FALSE))</f>
        <v/>
      </c>
      <c r="C413" s="71"/>
      <c r="D413" s="66" t="str">
        <f t="shared" si="0"/>
        <v/>
      </c>
      <c r="E413" s="71"/>
      <c r="F413" s="66" t="str">
        <f t="shared" si="57"/>
        <v/>
      </c>
      <c r="G413" s="71"/>
      <c r="H413" s="66" t="str">
        <f t="shared" si="56"/>
        <v/>
      </c>
      <c r="I413" s="59"/>
      <c r="J413" s="59"/>
      <c r="K413" s="59"/>
      <c r="L413" s="44"/>
      <c r="M413" s="44" t="str">
        <f t="shared" si="3"/>
        <v/>
      </c>
      <c r="N413" s="44" t="str">
        <f t="shared" si="4"/>
        <v/>
      </c>
      <c r="O413" s="44"/>
      <c r="P413" s="44"/>
      <c r="Q413" s="44"/>
      <c r="R413" s="44"/>
      <c r="S413" s="44"/>
      <c r="T413" s="44"/>
      <c r="U413" s="44"/>
      <c r="V413" s="44"/>
      <c r="W413" s="44"/>
      <c r="X413" s="44"/>
      <c r="Y413" s="44"/>
      <c r="Z413" s="44"/>
    </row>
    <row r="414" spans="1:26" ht="15.75" customHeight="1">
      <c r="A414" s="66" t="str">
        <f>IF(C414="","",VLOOKUP('Opći dio'!$C$3,'Opći dio'!$L$6:$U$137,10,FALSE))</f>
        <v/>
      </c>
      <c r="B414" s="66" t="str">
        <f>IF(C414="","",VLOOKUP('Opći dio'!$C$3,'Opći dio'!$L$6:$U$137,9,FALSE))</f>
        <v/>
      </c>
      <c r="C414" s="71"/>
      <c r="D414" s="66" t="str">
        <f t="shared" si="0"/>
        <v/>
      </c>
      <c r="E414" s="71"/>
      <c r="F414" s="66" t="str">
        <f t="shared" si="57"/>
        <v/>
      </c>
      <c r="G414" s="71"/>
      <c r="H414" s="66" t="str">
        <f t="shared" si="56"/>
        <v/>
      </c>
      <c r="I414" s="59"/>
      <c r="J414" s="59"/>
      <c r="K414" s="59"/>
      <c r="L414" s="44"/>
      <c r="M414" s="44" t="str">
        <f t="shared" si="3"/>
        <v/>
      </c>
      <c r="N414" s="44" t="str">
        <f t="shared" si="4"/>
        <v/>
      </c>
      <c r="O414" s="44"/>
      <c r="P414" s="44"/>
      <c r="Q414" s="44"/>
      <c r="R414" s="44"/>
      <c r="S414" s="44"/>
      <c r="T414" s="44"/>
      <c r="U414" s="44"/>
      <c r="V414" s="44"/>
      <c r="W414" s="44"/>
      <c r="X414" s="44"/>
      <c r="Y414" s="44"/>
      <c r="Z414" s="44"/>
    </row>
    <row r="415" spans="1:26" ht="15.75" customHeight="1">
      <c r="A415" s="66" t="str">
        <f>IF(C415="","",VLOOKUP('Opći dio'!$C$3,'Opći dio'!$L$6:$U$137,10,FALSE))</f>
        <v/>
      </c>
      <c r="B415" s="66" t="str">
        <f>IF(C415="","",VLOOKUP('Opći dio'!$C$3,'Opći dio'!$L$6:$U$137,9,FALSE))</f>
        <v/>
      </c>
      <c r="C415" s="71"/>
      <c r="D415" s="66" t="str">
        <f t="shared" si="0"/>
        <v/>
      </c>
      <c r="E415" s="71"/>
      <c r="F415" s="66" t="str">
        <f t="shared" si="57"/>
        <v/>
      </c>
      <c r="G415" s="71"/>
      <c r="H415" s="66" t="str">
        <f t="shared" si="56"/>
        <v/>
      </c>
      <c r="I415" s="59"/>
      <c r="J415" s="59"/>
      <c r="K415" s="59"/>
      <c r="L415" s="44"/>
      <c r="M415" s="44" t="str">
        <f t="shared" si="3"/>
        <v/>
      </c>
      <c r="N415" s="44" t="str">
        <f t="shared" si="4"/>
        <v/>
      </c>
      <c r="O415" s="44"/>
      <c r="P415" s="44"/>
      <c r="Q415" s="44"/>
      <c r="R415" s="44"/>
      <c r="S415" s="44"/>
      <c r="T415" s="44"/>
      <c r="U415" s="44"/>
      <c r="V415" s="44"/>
      <c r="W415" s="44"/>
      <c r="X415" s="44"/>
      <c r="Y415" s="44"/>
      <c r="Z415" s="44"/>
    </row>
    <row r="416" spans="1:26" ht="15.75" customHeight="1">
      <c r="A416" s="66" t="str">
        <f>IF(C416="","",VLOOKUP('Opći dio'!$C$3,'Opći dio'!$L$6:$U$137,10,FALSE))</f>
        <v/>
      </c>
      <c r="B416" s="66" t="str">
        <f>IF(C416="","",VLOOKUP('Opći dio'!$C$3,'Opći dio'!$L$6:$U$137,9,FALSE))</f>
        <v/>
      </c>
      <c r="C416" s="71"/>
      <c r="D416" s="66" t="str">
        <f t="shared" si="0"/>
        <v/>
      </c>
      <c r="E416" s="71"/>
      <c r="F416" s="66" t="str">
        <f t="shared" si="57"/>
        <v/>
      </c>
      <c r="G416" s="71"/>
      <c r="H416" s="66" t="str">
        <f t="shared" si="56"/>
        <v/>
      </c>
      <c r="I416" s="59"/>
      <c r="J416" s="59"/>
      <c r="K416" s="59"/>
      <c r="L416" s="44"/>
      <c r="M416" s="44" t="str">
        <f t="shared" si="3"/>
        <v/>
      </c>
      <c r="N416" s="44" t="str">
        <f t="shared" si="4"/>
        <v/>
      </c>
      <c r="O416" s="44"/>
      <c r="P416" s="44"/>
      <c r="Q416" s="44"/>
      <c r="R416" s="44"/>
      <c r="S416" s="44"/>
      <c r="T416" s="44"/>
      <c r="U416" s="44"/>
      <c r="V416" s="44"/>
      <c r="W416" s="44"/>
      <c r="X416" s="44"/>
      <c r="Y416" s="44"/>
      <c r="Z416" s="44"/>
    </row>
    <row r="417" spans="1:26" ht="15.75" customHeight="1">
      <c r="A417" s="66" t="str">
        <f>IF(C417="","",VLOOKUP('Opći dio'!$C$3,'Opći dio'!$L$6:$U$137,10,FALSE))</f>
        <v/>
      </c>
      <c r="B417" s="66" t="str">
        <f>IF(C417="","",VLOOKUP('Opći dio'!$C$3,'Opći dio'!$L$6:$U$137,9,FALSE))</f>
        <v/>
      </c>
      <c r="C417" s="71"/>
      <c r="D417" s="66" t="str">
        <f t="shared" si="0"/>
        <v/>
      </c>
      <c r="E417" s="71"/>
      <c r="F417" s="66" t="str">
        <f t="shared" si="57"/>
        <v/>
      </c>
      <c r="G417" s="71"/>
      <c r="H417" s="66" t="str">
        <f t="shared" si="56"/>
        <v/>
      </c>
      <c r="I417" s="59"/>
      <c r="J417" s="59"/>
      <c r="K417" s="59"/>
      <c r="L417" s="44"/>
      <c r="M417" s="44" t="str">
        <f t="shared" si="3"/>
        <v/>
      </c>
      <c r="N417" s="44" t="str">
        <f t="shared" si="4"/>
        <v/>
      </c>
      <c r="O417" s="44"/>
      <c r="P417" s="44"/>
      <c r="Q417" s="44"/>
      <c r="R417" s="44"/>
      <c r="S417" s="44"/>
      <c r="T417" s="44"/>
      <c r="U417" s="44"/>
      <c r="V417" s="44"/>
      <c r="W417" s="44"/>
      <c r="X417" s="44"/>
      <c r="Y417" s="44"/>
      <c r="Z417" s="44"/>
    </row>
    <row r="418" spans="1:26" ht="15.75" customHeight="1">
      <c r="A418" s="66" t="str">
        <f>IF(C418="","",VLOOKUP('Opći dio'!$C$3,'Opći dio'!$L$6:$U$137,10,FALSE))</f>
        <v/>
      </c>
      <c r="B418" s="66" t="str">
        <f>IF(C418="","",VLOOKUP('Opći dio'!$C$3,'Opći dio'!$L$6:$U$137,9,FALSE))</f>
        <v/>
      </c>
      <c r="C418" s="71"/>
      <c r="D418" s="66" t="str">
        <f t="shared" si="0"/>
        <v/>
      </c>
      <c r="E418" s="71"/>
      <c r="F418" s="66" t="str">
        <f t="shared" si="57"/>
        <v/>
      </c>
      <c r="G418" s="71"/>
      <c r="H418" s="66" t="str">
        <f t="shared" si="56"/>
        <v/>
      </c>
      <c r="I418" s="59"/>
      <c r="J418" s="59"/>
      <c r="K418" s="59"/>
      <c r="L418" s="44"/>
      <c r="M418" s="44" t="str">
        <f t="shared" si="3"/>
        <v/>
      </c>
      <c r="N418" s="44" t="str">
        <f t="shared" si="4"/>
        <v/>
      </c>
      <c r="O418" s="44"/>
      <c r="P418" s="44"/>
      <c r="Q418" s="44"/>
      <c r="R418" s="44"/>
      <c r="S418" s="44"/>
      <c r="T418" s="44"/>
      <c r="U418" s="44"/>
      <c r="V418" s="44"/>
      <c r="W418" s="44"/>
      <c r="X418" s="44"/>
      <c r="Y418" s="44"/>
      <c r="Z418" s="44"/>
    </row>
    <row r="419" spans="1:26" ht="15.75" customHeight="1">
      <c r="A419" s="66" t="str">
        <f>IF(C419="","",VLOOKUP('Opći dio'!$C$3,'Opći dio'!$L$6:$U$137,10,FALSE))</f>
        <v/>
      </c>
      <c r="B419" s="66" t="str">
        <f>IF(C419="","",VLOOKUP('Opći dio'!$C$3,'Opći dio'!$L$6:$U$137,9,FALSE))</f>
        <v/>
      </c>
      <c r="C419" s="71"/>
      <c r="D419" s="66" t="str">
        <f t="shared" si="0"/>
        <v/>
      </c>
      <c r="E419" s="71"/>
      <c r="F419" s="66" t="str">
        <f t="shared" si="57"/>
        <v/>
      </c>
      <c r="G419" s="71"/>
      <c r="H419" s="66" t="str">
        <f t="shared" si="56"/>
        <v/>
      </c>
      <c r="I419" s="59"/>
      <c r="J419" s="59"/>
      <c r="K419" s="59"/>
      <c r="L419" s="44"/>
      <c r="M419" s="44" t="str">
        <f t="shared" si="3"/>
        <v/>
      </c>
      <c r="N419" s="44" t="str">
        <f t="shared" si="4"/>
        <v/>
      </c>
      <c r="O419" s="44"/>
      <c r="P419" s="44"/>
      <c r="Q419" s="44"/>
      <c r="R419" s="44"/>
      <c r="S419" s="44"/>
      <c r="T419" s="44"/>
      <c r="U419" s="44"/>
      <c r="V419" s="44"/>
      <c r="W419" s="44"/>
      <c r="X419" s="44"/>
      <c r="Y419" s="44"/>
      <c r="Z419" s="44"/>
    </row>
    <row r="420" spans="1:26" ht="15.75" customHeight="1">
      <c r="A420" s="66" t="str">
        <f>IF(C420="","",VLOOKUP('Opći dio'!$C$3,'Opći dio'!$L$6:$U$137,10,FALSE))</f>
        <v/>
      </c>
      <c r="B420" s="66" t="str">
        <f>IF(C420="","",VLOOKUP('Opći dio'!$C$3,'Opći dio'!$L$6:$U$137,9,FALSE))</f>
        <v/>
      </c>
      <c r="C420" s="71"/>
      <c r="D420" s="66" t="str">
        <f t="shared" si="0"/>
        <v/>
      </c>
      <c r="E420" s="71"/>
      <c r="F420" s="66" t="str">
        <f t="shared" si="57"/>
        <v/>
      </c>
      <c r="G420" s="71"/>
      <c r="H420" s="66" t="str">
        <f t="shared" si="56"/>
        <v/>
      </c>
      <c r="I420" s="59"/>
      <c r="J420" s="59"/>
      <c r="K420" s="59"/>
      <c r="L420" s="44"/>
      <c r="M420" s="44" t="str">
        <f t="shared" si="3"/>
        <v/>
      </c>
      <c r="N420" s="44" t="str">
        <f t="shared" si="4"/>
        <v/>
      </c>
      <c r="O420" s="44"/>
      <c r="P420" s="44"/>
      <c r="Q420" s="44"/>
      <c r="R420" s="44"/>
      <c r="S420" s="44"/>
      <c r="T420" s="44"/>
      <c r="U420" s="44"/>
      <c r="V420" s="44"/>
      <c r="W420" s="44"/>
      <c r="X420" s="44"/>
      <c r="Y420" s="44"/>
      <c r="Z420" s="44"/>
    </row>
    <row r="421" spans="1:26" ht="15.75" customHeight="1">
      <c r="A421" s="66" t="str">
        <f>IF(C421="","",VLOOKUP('Opći dio'!$C$3,'Opći dio'!$L$6:$U$137,10,FALSE))</f>
        <v/>
      </c>
      <c r="B421" s="66" t="str">
        <f>IF(C421="","",VLOOKUP('Opći dio'!$C$3,'Opći dio'!$L$6:$U$137,9,FALSE))</f>
        <v/>
      </c>
      <c r="C421" s="71"/>
      <c r="D421" s="66" t="str">
        <f t="shared" si="0"/>
        <v/>
      </c>
      <c r="E421" s="71"/>
      <c r="F421" s="66" t="str">
        <f t="shared" si="57"/>
        <v/>
      </c>
      <c r="G421" s="71"/>
      <c r="H421" s="66" t="str">
        <f t="shared" si="56"/>
        <v/>
      </c>
      <c r="I421" s="59"/>
      <c r="J421" s="59"/>
      <c r="K421" s="59"/>
      <c r="L421" s="44"/>
      <c r="M421" s="44" t="str">
        <f t="shared" si="3"/>
        <v/>
      </c>
      <c r="N421" s="44" t="str">
        <f t="shared" si="4"/>
        <v/>
      </c>
      <c r="O421" s="44"/>
      <c r="P421" s="44"/>
      <c r="Q421" s="44"/>
      <c r="R421" s="44"/>
      <c r="S421" s="44"/>
      <c r="T421" s="44"/>
      <c r="U421" s="44"/>
      <c r="V421" s="44"/>
      <c r="W421" s="44"/>
      <c r="X421" s="44"/>
      <c r="Y421" s="44"/>
      <c r="Z421" s="44"/>
    </row>
    <row r="422" spans="1:26" ht="15.75" customHeight="1">
      <c r="A422" s="66" t="str">
        <f>IF(C422="","",VLOOKUP('Opći dio'!$C$3,'Opći dio'!$L$6:$U$137,10,FALSE))</f>
        <v/>
      </c>
      <c r="B422" s="66" t="str">
        <f>IF(C422="","",VLOOKUP('Opći dio'!$C$3,'Opći dio'!$L$6:$U$137,9,FALSE))</f>
        <v/>
      </c>
      <c r="C422" s="71"/>
      <c r="D422" s="66" t="str">
        <f t="shared" si="0"/>
        <v/>
      </c>
      <c r="E422" s="71"/>
      <c r="F422" s="66" t="str">
        <f t="shared" si="57"/>
        <v/>
      </c>
      <c r="G422" s="71"/>
      <c r="H422" s="66" t="str">
        <f t="shared" si="56"/>
        <v/>
      </c>
      <c r="I422" s="59"/>
      <c r="J422" s="59"/>
      <c r="K422" s="59"/>
      <c r="L422" s="44"/>
      <c r="M422" s="44" t="str">
        <f t="shared" si="3"/>
        <v/>
      </c>
      <c r="N422" s="44" t="str">
        <f t="shared" si="4"/>
        <v/>
      </c>
      <c r="O422" s="44"/>
      <c r="P422" s="44"/>
      <c r="Q422" s="44"/>
      <c r="R422" s="44"/>
      <c r="S422" s="44"/>
      <c r="T422" s="44"/>
      <c r="U422" s="44"/>
      <c r="V422" s="44"/>
      <c r="W422" s="44"/>
      <c r="X422" s="44"/>
      <c r="Y422" s="44"/>
      <c r="Z422" s="44"/>
    </row>
    <row r="423" spans="1:26" ht="15.75" customHeight="1">
      <c r="A423" s="66" t="str">
        <f>IF(C423="","",VLOOKUP('Opći dio'!$C$3,'Opći dio'!$L$6:$U$137,10,FALSE))</f>
        <v/>
      </c>
      <c r="B423" s="66" t="str">
        <f>IF(C423="","",VLOOKUP('Opći dio'!$C$3,'Opći dio'!$L$6:$U$137,9,FALSE))</f>
        <v/>
      </c>
      <c r="C423" s="71"/>
      <c r="D423" s="66" t="str">
        <f t="shared" si="0"/>
        <v/>
      </c>
      <c r="E423" s="71"/>
      <c r="F423" s="66" t="str">
        <f t="shared" si="57"/>
        <v/>
      </c>
      <c r="G423" s="71"/>
      <c r="H423" s="66" t="str">
        <f t="shared" si="56"/>
        <v/>
      </c>
      <c r="I423" s="59"/>
      <c r="J423" s="59"/>
      <c r="K423" s="59"/>
      <c r="L423" s="44"/>
      <c r="M423" s="44" t="str">
        <f t="shared" si="3"/>
        <v/>
      </c>
      <c r="N423" s="44" t="str">
        <f t="shared" si="4"/>
        <v/>
      </c>
      <c r="O423" s="44"/>
      <c r="P423" s="44"/>
      <c r="Q423" s="44"/>
      <c r="R423" s="44"/>
      <c r="S423" s="44"/>
      <c r="T423" s="44"/>
      <c r="U423" s="44"/>
      <c r="V423" s="44"/>
      <c r="W423" s="44"/>
      <c r="X423" s="44"/>
      <c r="Y423" s="44"/>
      <c r="Z423" s="44"/>
    </row>
    <row r="424" spans="1:26" ht="15.75" customHeight="1">
      <c r="A424" s="66" t="str">
        <f>IF(C424="","",VLOOKUP('Opći dio'!$C$3,'Opći dio'!$L$6:$U$137,10,FALSE))</f>
        <v/>
      </c>
      <c r="B424" s="66" t="str">
        <f>IF(C424="","",VLOOKUP('Opći dio'!$C$3,'Opći dio'!$L$6:$U$137,9,FALSE))</f>
        <v/>
      </c>
      <c r="C424" s="71"/>
      <c r="D424" s="66" t="str">
        <f t="shared" si="0"/>
        <v/>
      </c>
      <c r="E424" s="71"/>
      <c r="F424" s="66" t="str">
        <f t="shared" si="57"/>
        <v/>
      </c>
      <c r="G424" s="71"/>
      <c r="H424" s="66" t="str">
        <f t="shared" si="56"/>
        <v/>
      </c>
      <c r="I424" s="59"/>
      <c r="J424" s="59"/>
      <c r="K424" s="59"/>
      <c r="L424" s="44"/>
      <c r="M424" s="44" t="str">
        <f t="shared" si="3"/>
        <v/>
      </c>
      <c r="N424" s="44" t="str">
        <f t="shared" si="4"/>
        <v/>
      </c>
      <c r="O424" s="44"/>
      <c r="P424" s="44"/>
      <c r="Q424" s="44"/>
      <c r="R424" s="44"/>
      <c r="S424" s="44"/>
      <c r="T424" s="44"/>
      <c r="U424" s="44"/>
      <c r="V424" s="44"/>
      <c r="W424" s="44"/>
      <c r="X424" s="44"/>
      <c r="Y424" s="44"/>
      <c r="Z424" s="44"/>
    </row>
    <row r="425" spans="1:26" ht="15.75" customHeight="1">
      <c r="A425" s="66" t="str">
        <f>IF(C425="","",VLOOKUP('Opći dio'!$C$3,'Opći dio'!$L$6:$U$137,10,FALSE))</f>
        <v/>
      </c>
      <c r="B425" s="66" t="str">
        <f>IF(C425="","",VLOOKUP('Opći dio'!$C$3,'Opći dio'!$L$6:$U$137,9,FALSE))</f>
        <v/>
      </c>
      <c r="C425" s="71"/>
      <c r="D425" s="66" t="str">
        <f t="shared" si="0"/>
        <v/>
      </c>
      <c r="E425" s="71"/>
      <c r="F425" s="66" t="str">
        <f t="shared" si="57"/>
        <v/>
      </c>
      <c r="G425" s="71"/>
      <c r="H425" s="66" t="str">
        <f t="shared" si="56"/>
        <v/>
      </c>
      <c r="I425" s="59"/>
      <c r="J425" s="59"/>
      <c r="K425" s="59"/>
      <c r="L425" s="44"/>
      <c r="M425" s="44" t="str">
        <f t="shared" si="3"/>
        <v/>
      </c>
      <c r="N425" s="44" t="str">
        <f t="shared" si="4"/>
        <v/>
      </c>
      <c r="O425" s="44"/>
      <c r="P425" s="44"/>
      <c r="Q425" s="44"/>
      <c r="R425" s="44"/>
      <c r="S425" s="44"/>
      <c r="T425" s="44"/>
      <c r="U425" s="44"/>
      <c r="V425" s="44"/>
      <c r="W425" s="44"/>
      <c r="X425" s="44"/>
      <c r="Y425" s="44"/>
      <c r="Z425" s="44"/>
    </row>
    <row r="426" spans="1:26" ht="15.75" customHeight="1">
      <c r="A426" s="66" t="str">
        <f>IF(C426="","",VLOOKUP('Opći dio'!$C$3,'Opći dio'!$L$6:$U$137,10,FALSE))</f>
        <v/>
      </c>
      <c r="B426" s="66" t="str">
        <f>IF(C426="","",VLOOKUP('Opći dio'!$C$3,'Opći dio'!$L$6:$U$137,9,FALSE))</f>
        <v/>
      </c>
      <c r="C426" s="71"/>
      <c r="D426" s="66" t="str">
        <f t="shared" si="0"/>
        <v/>
      </c>
      <c r="E426" s="71"/>
      <c r="F426" s="66" t="str">
        <f t="shared" si="57"/>
        <v/>
      </c>
      <c r="G426" s="71"/>
      <c r="H426" s="66" t="str">
        <f t="shared" si="56"/>
        <v/>
      </c>
      <c r="I426" s="59"/>
      <c r="J426" s="59"/>
      <c r="K426" s="59"/>
      <c r="L426" s="44"/>
      <c r="M426" s="44" t="str">
        <f t="shared" si="3"/>
        <v/>
      </c>
      <c r="N426" s="44" t="str">
        <f t="shared" si="4"/>
        <v/>
      </c>
      <c r="O426" s="44"/>
      <c r="P426" s="44"/>
      <c r="Q426" s="44"/>
      <c r="R426" s="44"/>
      <c r="S426" s="44"/>
      <c r="T426" s="44"/>
      <c r="U426" s="44"/>
      <c r="V426" s="44"/>
      <c r="W426" s="44"/>
      <c r="X426" s="44"/>
      <c r="Y426" s="44"/>
      <c r="Z426" s="44"/>
    </row>
    <row r="427" spans="1:26" ht="15.75" customHeight="1">
      <c r="A427" s="66" t="str">
        <f>IF(C427="","",VLOOKUP('Opći dio'!$C$3,'Opći dio'!$L$6:$U$137,10,FALSE))</f>
        <v/>
      </c>
      <c r="B427" s="66" t="str">
        <f>IF(C427="","",VLOOKUP('Opći dio'!$C$3,'Opći dio'!$L$6:$U$137,9,FALSE))</f>
        <v/>
      </c>
      <c r="C427" s="71"/>
      <c r="D427" s="66" t="str">
        <f t="shared" si="0"/>
        <v/>
      </c>
      <c r="E427" s="71"/>
      <c r="F427" s="66" t="str">
        <f t="shared" si="57"/>
        <v/>
      </c>
      <c r="G427" s="71"/>
      <c r="H427" s="66" t="str">
        <f t="shared" si="56"/>
        <v/>
      </c>
      <c r="I427" s="59"/>
      <c r="J427" s="59"/>
      <c r="K427" s="59"/>
      <c r="L427" s="44"/>
      <c r="M427" s="44" t="str">
        <f t="shared" si="3"/>
        <v/>
      </c>
      <c r="N427" s="44" t="str">
        <f t="shared" si="4"/>
        <v/>
      </c>
      <c r="O427" s="44"/>
      <c r="P427" s="44"/>
      <c r="Q427" s="44"/>
      <c r="R427" s="44"/>
      <c r="S427" s="44"/>
      <c r="T427" s="44"/>
      <c r="U427" s="44"/>
      <c r="V427" s="44"/>
      <c r="W427" s="44"/>
      <c r="X427" s="44"/>
      <c r="Y427" s="44"/>
      <c r="Z427" s="44"/>
    </row>
    <row r="428" spans="1:26" ht="15.75" customHeight="1">
      <c r="A428" s="66" t="str">
        <f>IF(C428="","",VLOOKUP('Opći dio'!$C$3,'Opći dio'!$L$6:$U$137,10,FALSE))</f>
        <v/>
      </c>
      <c r="B428" s="66" t="str">
        <f>IF(C428="","",VLOOKUP('Opći dio'!$C$3,'Opći dio'!$L$6:$U$137,9,FALSE))</f>
        <v/>
      </c>
      <c r="C428" s="71"/>
      <c r="D428" s="66" t="str">
        <f t="shared" si="0"/>
        <v/>
      </c>
      <c r="E428" s="71"/>
      <c r="F428" s="66" t="str">
        <f t="shared" si="57"/>
        <v/>
      </c>
      <c r="G428" s="71"/>
      <c r="H428" s="66" t="str">
        <f t="shared" si="56"/>
        <v/>
      </c>
      <c r="I428" s="59"/>
      <c r="J428" s="59"/>
      <c r="K428" s="59"/>
      <c r="L428" s="44"/>
      <c r="M428" s="44" t="str">
        <f t="shared" si="3"/>
        <v/>
      </c>
      <c r="N428" s="44" t="str">
        <f t="shared" si="4"/>
        <v/>
      </c>
      <c r="O428" s="44"/>
      <c r="P428" s="44"/>
      <c r="Q428" s="44"/>
      <c r="R428" s="44"/>
      <c r="S428" s="44"/>
      <c r="T428" s="44"/>
      <c r="U428" s="44"/>
      <c r="V428" s="44"/>
      <c r="W428" s="44"/>
      <c r="X428" s="44"/>
      <c r="Y428" s="44"/>
      <c r="Z428" s="44"/>
    </row>
    <row r="429" spans="1:26" ht="15.75" customHeight="1">
      <c r="A429" s="66" t="str">
        <f>IF(C429="","",VLOOKUP('Opći dio'!$C$3,'Opći dio'!$L$6:$U$137,10,FALSE))</f>
        <v/>
      </c>
      <c r="B429" s="66" t="str">
        <f>IF(C429="","",VLOOKUP('Opći dio'!$C$3,'Opći dio'!$L$6:$U$137,9,FALSE))</f>
        <v/>
      </c>
      <c r="C429" s="71"/>
      <c r="D429" s="66" t="str">
        <f t="shared" si="0"/>
        <v/>
      </c>
      <c r="E429" s="71"/>
      <c r="F429" s="66" t="str">
        <f t="shared" si="57"/>
        <v/>
      </c>
      <c r="G429" s="71"/>
      <c r="H429" s="66" t="str">
        <f t="shared" si="56"/>
        <v/>
      </c>
      <c r="I429" s="59"/>
      <c r="J429" s="59"/>
      <c r="K429" s="59"/>
      <c r="L429" s="44"/>
      <c r="M429" s="44" t="str">
        <f t="shared" si="3"/>
        <v/>
      </c>
      <c r="N429" s="44" t="str">
        <f t="shared" si="4"/>
        <v/>
      </c>
      <c r="O429" s="44"/>
      <c r="P429" s="44"/>
      <c r="Q429" s="44"/>
      <c r="R429" s="44"/>
      <c r="S429" s="44"/>
      <c r="T429" s="44"/>
      <c r="U429" s="44"/>
      <c r="V429" s="44"/>
      <c r="W429" s="44"/>
      <c r="X429" s="44"/>
      <c r="Y429" s="44"/>
      <c r="Z429" s="44"/>
    </row>
    <row r="430" spans="1:26" ht="15.75" customHeight="1">
      <c r="A430" s="66" t="str">
        <f>IF(C430="","",VLOOKUP('Opći dio'!$C$3,'Opći dio'!$L$6:$U$137,10,FALSE))</f>
        <v/>
      </c>
      <c r="B430" s="66" t="str">
        <f>IF(C430="","",VLOOKUP('Opći dio'!$C$3,'Opći dio'!$L$6:$U$137,9,FALSE))</f>
        <v/>
      </c>
      <c r="C430" s="71"/>
      <c r="D430" s="66" t="str">
        <f t="shared" si="0"/>
        <v/>
      </c>
      <c r="E430" s="71"/>
      <c r="F430" s="66" t="str">
        <f t="shared" si="57"/>
        <v/>
      </c>
      <c r="G430" s="71"/>
      <c r="H430" s="66" t="str">
        <f t="shared" si="56"/>
        <v/>
      </c>
      <c r="I430" s="59"/>
      <c r="J430" s="59"/>
      <c r="K430" s="59"/>
      <c r="L430" s="44"/>
      <c r="M430" s="44" t="str">
        <f t="shared" si="3"/>
        <v/>
      </c>
      <c r="N430" s="44" t="str">
        <f t="shared" si="4"/>
        <v/>
      </c>
      <c r="O430" s="44"/>
      <c r="P430" s="44"/>
      <c r="Q430" s="44"/>
      <c r="R430" s="44"/>
      <c r="S430" s="44"/>
      <c r="T430" s="44"/>
      <c r="U430" s="44"/>
      <c r="V430" s="44"/>
      <c r="W430" s="44"/>
      <c r="X430" s="44"/>
      <c r="Y430" s="44"/>
      <c r="Z430" s="44"/>
    </row>
    <row r="431" spans="1:26" ht="15.75" customHeight="1">
      <c r="A431" s="66" t="str">
        <f>IF(C431="","",VLOOKUP('Opći dio'!$C$3,'Opći dio'!$L$6:$U$137,10,FALSE))</f>
        <v/>
      </c>
      <c r="B431" s="66" t="str">
        <f>IF(C431="","",VLOOKUP('Opći dio'!$C$3,'Opći dio'!$L$6:$U$137,9,FALSE))</f>
        <v/>
      </c>
      <c r="C431" s="71"/>
      <c r="D431" s="66" t="str">
        <f t="shared" si="0"/>
        <v/>
      </c>
      <c r="E431" s="71"/>
      <c r="F431" s="66" t="str">
        <f t="shared" si="57"/>
        <v/>
      </c>
      <c r="G431" s="71"/>
      <c r="H431" s="66" t="str">
        <f t="shared" si="56"/>
        <v/>
      </c>
      <c r="I431" s="59"/>
      <c r="J431" s="59"/>
      <c r="K431" s="59"/>
      <c r="L431" s="44"/>
      <c r="M431" s="44" t="str">
        <f t="shared" si="3"/>
        <v/>
      </c>
      <c r="N431" s="44" t="str">
        <f t="shared" si="4"/>
        <v/>
      </c>
      <c r="O431" s="44"/>
      <c r="P431" s="44"/>
      <c r="Q431" s="44"/>
      <c r="R431" s="44"/>
      <c r="S431" s="44"/>
      <c r="T431" s="44"/>
      <c r="U431" s="44"/>
      <c r="V431" s="44"/>
      <c r="W431" s="44"/>
      <c r="X431" s="44"/>
      <c r="Y431" s="44"/>
      <c r="Z431" s="44"/>
    </row>
    <row r="432" spans="1:26" ht="15.75" customHeight="1">
      <c r="A432" s="66" t="str">
        <f>IF(C432="","",VLOOKUP('Opći dio'!$C$3,'Opći dio'!$L$6:$U$137,10,FALSE))</f>
        <v/>
      </c>
      <c r="B432" s="66" t="str">
        <f>IF(C432="","",VLOOKUP('Opći dio'!$C$3,'Opći dio'!$L$6:$U$137,9,FALSE))</f>
        <v/>
      </c>
      <c r="C432" s="71"/>
      <c r="D432" s="66" t="str">
        <f t="shared" si="0"/>
        <v/>
      </c>
      <c r="E432" s="71"/>
      <c r="F432" s="66" t="str">
        <f t="shared" si="57"/>
        <v/>
      </c>
      <c r="G432" s="71"/>
      <c r="H432" s="66" t="str">
        <f t="shared" si="56"/>
        <v/>
      </c>
      <c r="I432" s="59"/>
      <c r="J432" s="59"/>
      <c r="K432" s="59"/>
      <c r="L432" s="44"/>
      <c r="M432" s="44" t="str">
        <f t="shared" si="3"/>
        <v/>
      </c>
      <c r="N432" s="44" t="str">
        <f t="shared" si="4"/>
        <v/>
      </c>
      <c r="O432" s="44"/>
      <c r="P432" s="44"/>
      <c r="Q432" s="44"/>
      <c r="R432" s="44"/>
      <c r="S432" s="44"/>
      <c r="T432" s="44"/>
      <c r="U432" s="44"/>
      <c r="V432" s="44"/>
      <c r="W432" s="44"/>
      <c r="X432" s="44"/>
      <c r="Y432" s="44"/>
      <c r="Z432" s="44"/>
    </row>
    <row r="433" spans="1:26" ht="15.75" customHeight="1">
      <c r="A433" s="66" t="str">
        <f>IF(C433="","",VLOOKUP('Opći dio'!$C$3,'Opći dio'!$L$6:$U$137,10,FALSE))</f>
        <v/>
      </c>
      <c r="B433" s="66" t="str">
        <f>IF(C433="","",VLOOKUP('Opći dio'!$C$3,'Opći dio'!$L$6:$U$137,9,FALSE))</f>
        <v/>
      </c>
      <c r="C433" s="71"/>
      <c r="D433" s="66" t="str">
        <f t="shared" si="0"/>
        <v/>
      </c>
      <c r="E433" s="71"/>
      <c r="F433" s="66" t="str">
        <f t="shared" si="57"/>
        <v/>
      </c>
      <c r="G433" s="71"/>
      <c r="H433" s="66" t="str">
        <f t="shared" si="56"/>
        <v/>
      </c>
      <c r="I433" s="59"/>
      <c r="J433" s="59"/>
      <c r="K433" s="59"/>
      <c r="L433" s="44"/>
      <c r="M433" s="44" t="str">
        <f t="shared" si="3"/>
        <v/>
      </c>
      <c r="N433" s="44" t="str">
        <f t="shared" si="4"/>
        <v/>
      </c>
      <c r="O433" s="44"/>
      <c r="P433" s="44"/>
      <c r="Q433" s="44"/>
      <c r="R433" s="44"/>
      <c r="S433" s="44"/>
      <c r="T433" s="44"/>
      <c r="U433" s="44"/>
      <c r="V433" s="44"/>
      <c r="W433" s="44"/>
      <c r="X433" s="44"/>
      <c r="Y433" s="44"/>
      <c r="Z433" s="44"/>
    </row>
    <row r="434" spans="1:26" ht="15.75" customHeight="1">
      <c r="A434" s="66" t="str">
        <f>IF(C434="","",VLOOKUP('Opći dio'!$C$3,'Opći dio'!$L$6:$U$137,10,FALSE))</f>
        <v/>
      </c>
      <c r="B434" s="66" t="str">
        <f>IF(C434="","",VLOOKUP('Opći dio'!$C$3,'Opći dio'!$L$6:$U$137,9,FALSE))</f>
        <v/>
      </c>
      <c r="C434" s="71"/>
      <c r="D434" s="66" t="str">
        <f t="shared" si="0"/>
        <v/>
      </c>
      <c r="E434" s="71"/>
      <c r="F434" s="66" t="str">
        <f t="shared" si="57"/>
        <v/>
      </c>
      <c r="G434" s="71"/>
      <c r="H434" s="66" t="str">
        <f t="shared" si="56"/>
        <v/>
      </c>
      <c r="I434" s="59"/>
      <c r="J434" s="59"/>
      <c r="K434" s="59"/>
      <c r="L434" s="44"/>
      <c r="M434" s="44" t="str">
        <f t="shared" si="3"/>
        <v/>
      </c>
      <c r="N434" s="44" t="str">
        <f t="shared" si="4"/>
        <v/>
      </c>
      <c r="O434" s="44"/>
      <c r="P434" s="44"/>
      <c r="Q434" s="44"/>
      <c r="R434" s="44"/>
      <c r="S434" s="44"/>
      <c r="T434" s="44"/>
      <c r="U434" s="44"/>
      <c r="V434" s="44"/>
      <c r="W434" s="44"/>
      <c r="X434" s="44"/>
      <c r="Y434" s="44"/>
      <c r="Z434" s="44"/>
    </row>
    <row r="435" spans="1:26" ht="15.75" customHeight="1">
      <c r="A435" s="66" t="str">
        <f>IF(C435="","",VLOOKUP('Opći dio'!$C$3,'Opći dio'!$L$6:$U$137,10,FALSE))</f>
        <v/>
      </c>
      <c r="B435" s="66" t="str">
        <f>IF(C435="","",VLOOKUP('Opći dio'!$C$3,'Opći dio'!$L$6:$U$137,9,FALSE))</f>
        <v/>
      </c>
      <c r="C435" s="71"/>
      <c r="D435" s="66" t="str">
        <f t="shared" si="0"/>
        <v/>
      </c>
      <c r="E435" s="71"/>
      <c r="F435" s="66" t="str">
        <f t="shared" si="57"/>
        <v/>
      </c>
      <c r="G435" s="71"/>
      <c r="H435" s="66" t="str">
        <f t="shared" si="56"/>
        <v/>
      </c>
      <c r="I435" s="59"/>
      <c r="J435" s="59"/>
      <c r="K435" s="59"/>
      <c r="L435" s="44"/>
      <c r="M435" s="44" t="str">
        <f t="shared" si="3"/>
        <v/>
      </c>
      <c r="N435" s="44" t="str">
        <f t="shared" si="4"/>
        <v/>
      </c>
      <c r="O435" s="44"/>
      <c r="P435" s="44"/>
      <c r="Q435" s="44"/>
      <c r="R435" s="44"/>
      <c r="S435" s="44"/>
      <c r="T435" s="44"/>
      <c r="U435" s="44"/>
      <c r="V435" s="44"/>
      <c r="W435" s="44"/>
      <c r="X435" s="44"/>
      <c r="Y435" s="44"/>
      <c r="Z435" s="44"/>
    </row>
    <row r="436" spans="1:26" ht="15.75" customHeight="1">
      <c r="A436" s="66" t="str">
        <f>IF(C436="","",VLOOKUP('Opći dio'!$C$3,'Opći dio'!$L$6:$U$137,10,FALSE))</f>
        <v/>
      </c>
      <c r="B436" s="66" t="str">
        <f>IF(C436="","",VLOOKUP('Opći dio'!$C$3,'Opći dio'!$L$6:$U$137,9,FALSE))</f>
        <v/>
      </c>
      <c r="C436" s="71"/>
      <c r="D436" s="66" t="str">
        <f t="shared" si="0"/>
        <v/>
      </c>
      <c r="E436" s="71"/>
      <c r="F436" s="66" t="str">
        <f t="shared" si="57"/>
        <v/>
      </c>
      <c r="G436" s="71"/>
      <c r="H436" s="66" t="str">
        <f t="shared" si="56"/>
        <v/>
      </c>
      <c r="I436" s="59"/>
      <c r="J436" s="59"/>
      <c r="K436" s="59"/>
      <c r="L436" s="44"/>
      <c r="M436" s="44" t="str">
        <f t="shared" si="3"/>
        <v/>
      </c>
      <c r="N436" s="44" t="str">
        <f t="shared" si="4"/>
        <v/>
      </c>
      <c r="O436" s="44"/>
      <c r="P436" s="44"/>
      <c r="Q436" s="44"/>
      <c r="R436" s="44"/>
      <c r="S436" s="44"/>
      <c r="T436" s="44"/>
      <c r="U436" s="44"/>
      <c r="V436" s="44"/>
      <c r="W436" s="44"/>
      <c r="X436" s="44"/>
      <c r="Y436" s="44"/>
      <c r="Z436" s="44"/>
    </row>
    <row r="437" spans="1:26" ht="15.75" customHeight="1">
      <c r="A437" s="66" t="str">
        <f>IF(C437="","",VLOOKUP('Opći dio'!$C$3,'Opći dio'!$L$6:$U$137,10,FALSE))</f>
        <v/>
      </c>
      <c r="B437" s="66" t="str">
        <f>IF(C437="","",VLOOKUP('Opći dio'!$C$3,'Opći dio'!$L$6:$U$137,9,FALSE))</f>
        <v/>
      </c>
      <c r="C437" s="71"/>
      <c r="D437" s="66" t="str">
        <f t="shared" si="0"/>
        <v/>
      </c>
      <c r="E437" s="71"/>
      <c r="F437" s="66" t="str">
        <f t="shared" si="57"/>
        <v/>
      </c>
      <c r="G437" s="71"/>
      <c r="H437" s="66" t="str">
        <f t="shared" si="56"/>
        <v/>
      </c>
      <c r="I437" s="59"/>
      <c r="J437" s="59"/>
      <c r="K437" s="59"/>
      <c r="L437" s="44"/>
      <c r="M437" s="44" t="str">
        <f t="shared" si="3"/>
        <v/>
      </c>
      <c r="N437" s="44" t="str">
        <f t="shared" si="4"/>
        <v/>
      </c>
      <c r="O437" s="44"/>
      <c r="P437" s="44"/>
      <c r="Q437" s="44"/>
      <c r="R437" s="44"/>
      <c r="S437" s="44"/>
      <c r="T437" s="44"/>
      <c r="U437" s="44"/>
      <c r="V437" s="44"/>
      <c r="W437" s="44"/>
      <c r="X437" s="44"/>
      <c r="Y437" s="44"/>
      <c r="Z437" s="44"/>
    </row>
    <row r="438" spans="1:26" ht="15.75" customHeight="1">
      <c r="A438" s="66" t="str">
        <f>IF(C438="","",VLOOKUP('Opći dio'!$C$3,'Opći dio'!$L$6:$U$137,10,FALSE))</f>
        <v/>
      </c>
      <c r="B438" s="66" t="str">
        <f>IF(C438="","",VLOOKUP('Opći dio'!$C$3,'Opći dio'!$L$6:$U$137,9,FALSE))</f>
        <v/>
      </c>
      <c r="C438" s="71"/>
      <c r="D438" s="66" t="str">
        <f t="shared" si="0"/>
        <v/>
      </c>
      <c r="E438" s="71"/>
      <c r="F438" s="66" t="str">
        <f t="shared" si="57"/>
        <v/>
      </c>
      <c r="G438" s="71"/>
      <c r="H438" s="66" t="str">
        <f t="shared" si="56"/>
        <v/>
      </c>
      <c r="I438" s="59"/>
      <c r="J438" s="59"/>
      <c r="K438" s="59"/>
      <c r="L438" s="44"/>
      <c r="M438" s="44" t="str">
        <f t="shared" si="3"/>
        <v/>
      </c>
      <c r="N438" s="44" t="str">
        <f t="shared" si="4"/>
        <v/>
      </c>
      <c r="O438" s="44"/>
      <c r="P438" s="44"/>
      <c r="Q438" s="44"/>
      <c r="R438" s="44"/>
      <c r="S438" s="44"/>
      <c r="T438" s="44"/>
      <c r="U438" s="44"/>
      <c r="V438" s="44"/>
      <c r="W438" s="44"/>
      <c r="X438" s="44"/>
      <c r="Y438" s="44"/>
      <c r="Z438" s="44"/>
    </row>
    <row r="439" spans="1:26" ht="15.75" customHeight="1">
      <c r="A439" s="66" t="str">
        <f>IF(C439="","",VLOOKUP('Opći dio'!$C$3,'Opći dio'!$L$6:$U$137,10,FALSE))</f>
        <v/>
      </c>
      <c r="B439" s="66" t="str">
        <f>IF(C439="","",VLOOKUP('Opći dio'!$C$3,'Opći dio'!$L$6:$U$137,9,FALSE))</f>
        <v/>
      </c>
      <c r="C439" s="71"/>
      <c r="D439" s="66" t="str">
        <f t="shared" si="0"/>
        <v/>
      </c>
      <c r="E439" s="71"/>
      <c r="F439" s="66" t="str">
        <f t="shared" si="57"/>
        <v/>
      </c>
      <c r="G439" s="71"/>
      <c r="H439" s="66" t="str">
        <f t="shared" si="56"/>
        <v/>
      </c>
      <c r="I439" s="59"/>
      <c r="J439" s="59"/>
      <c r="K439" s="59"/>
      <c r="L439" s="44"/>
      <c r="M439" s="44" t="str">
        <f t="shared" si="3"/>
        <v/>
      </c>
      <c r="N439" s="44" t="str">
        <f t="shared" si="4"/>
        <v/>
      </c>
      <c r="O439" s="44"/>
      <c r="P439" s="44"/>
      <c r="Q439" s="44"/>
      <c r="R439" s="44"/>
      <c r="S439" s="44"/>
      <c r="T439" s="44"/>
      <c r="U439" s="44"/>
      <c r="V439" s="44"/>
      <c r="W439" s="44"/>
      <c r="X439" s="44"/>
      <c r="Y439" s="44"/>
      <c r="Z439" s="44"/>
    </row>
    <row r="440" spans="1:26" ht="15.75" customHeight="1">
      <c r="A440" s="66" t="str">
        <f>IF(C440="","",VLOOKUP('Opći dio'!$C$3,'Opći dio'!$L$6:$U$137,10,FALSE))</f>
        <v/>
      </c>
      <c r="B440" s="66" t="str">
        <f>IF(C440="","",VLOOKUP('Opći dio'!$C$3,'Opći dio'!$L$6:$U$137,9,FALSE))</f>
        <v/>
      </c>
      <c r="C440" s="71"/>
      <c r="D440" s="66" t="str">
        <f t="shared" si="0"/>
        <v/>
      </c>
      <c r="E440" s="71"/>
      <c r="F440" s="66" t="str">
        <f t="shared" si="57"/>
        <v/>
      </c>
      <c r="G440" s="71"/>
      <c r="H440" s="66" t="str">
        <f t="shared" si="56"/>
        <v/>
      </c>
      <c r="I440" s="59"/>
      <c r="J440" s="59"/>
      <c r="K440" s="59"/>
      <c r="L440" s="44"/>
      <c r="M440" s="44" t="str">
        <f t="shared" si="3"/>
        <v/>
      </c>
      <c r="N440" s="44" t="str">
        <f t="shared" si="4"/>
        <v/>
      </c>
      <c r="O440" s="44"/>
      <c r="P440" s="44"/>
      <c r="Q440" s="44"/>
      <c r="R440" s="44"/>
      <c r="S440" s="44"/>
      <c r="T440" s="44"/>
      <c r="U440" s="44"/>
      <c r="V440" s="44"/>
      <c r="W440" s="44"/>
      <c r="X440" s="44"/>
      <c r="Y440" s="44"/>
      <c r="Z440" s="44"/>
    </row>
    <row r="441" spans="1:26" ht="15.75" customHeight="1">
      <c r="A441" s="66" t="str">
        <f>IF(C441="","",VLOOKUP('Opći dio'!$C$3,'Opći dio'!$L$6:$U$137,10,FALSE))</f>
        <v/>
      </c>
      <c r="B441" s="66" t="str">
        <f>IF(C441="","",VLOOKUP('Opći dio'!$C$3,'Opći dio'!$L$6:$U$137,9,FALSE))</f>
        <v/>
      </c>
      <c r="C441" s="71"/>
      <c r="D441" s="66" t="str">
        <f t="shared" si="0"/>
        <v/>
      </c>
      <c r="E441" s="71"/>
      <c r="F441" s="66" t="str">
        <f t="shared" si="57"/>
        <v/>
      </c>
      <c r="G441" s="71"/>
      <c r="H441" s="66" t="str">
        <f t="shared" si="56"/>
        <v/>
      </c>
      <c r="I441" s="59"/>
      <c r="J441" s="59"/>
      <c r="K441" s="59"/>
      <c r="L441" s="44"/>
      <c r="M441" s="44" t="str">
        <f t="shared" si="3"/>
        <v/>
      </c>
      <c r="N441" s="44" t="str">
        <f t="shared" si="4"/>
        <v/>
      </c>
      <c r="O441" s="44"/>
      <c r="P441" s="44"/>
      <c r="Q441" s="44"/>
      <c r="R441" s="44"/>
      <c r="S441" s="44"/>
      <c r="T441" s="44"/>
      <c r="U441" s="44"/>
      <c r="V441" s="44"/>
      <c r="W441" s="44"/>
      <c r="X441" s="44"/>
      <c r="Y441" s="44"/>
      <c r="Z441" s="44"/>
    </row>
    <row r="442" spans="1:26" ht="15.75" customHeight="1">
      <c r="A442" s="66" t="str">
        <f>IF(C442="","",VLOOKUP('Opći dio'!$C$3,'Opći dio'!$L$6:$U$137,10,FALSE))</f>
        <v/>
      </c>
      <c r="B442" s="66" t="str">
        <f>IF(C442="","",VLOOKUP('Opći dio'!$C$3,'Opći dio'!$L$6:$U$137,9,FALSE))</f>
        <v/>
      </c>
      <c r="C442" s="71"/>
      <c r="D442" s="66" t="str">
        <f t="shared" si="0"/>
        <v/>
      </c>
      <c r="E442" s="71"/>
      <c r="F442" s="66" t="str">
        <f t="shared" si="57"/>
        <v/>
      </c>
      <c r="G442" s="71"/>
      <c r="H442" s="66" t="str">
        <f t="shared" si="56"/>
        <v/>
      </c>
      <c r="I442" s="59"/>
      <c r="J442" s="59"/>
      <c r="K442" s="59"/>
      <c r="L442" s="44"/>
      <c r="M442" s="44" t="str">
        <f t="shared" si="3"/>
        <v/>
      </c>
      <c r="N442" s="44" t="str">
        <f t="shared" si="4"/>
        <v/>
      </c>
      <c r="O442" s="44"/>
      <c r="P442" s="44"/>
      <c r="Q442" s="44"/>
      <c r="R442" s="44"/>
      <c r="S442" s="44"/>
      <c r="T442" s="44"/>
      <c r="U442" s="44"/>
      <c r="V442" s="44"/>
      <c r="W442" s="44"/>
      <c r="X442" s="44"/>
      <c r="Y442" s="44"/>
      <c r="Z442" s="44"/>
    </row>
    <row r="443" spans="1:26" ht="15.75" customHeight="1">
      <c r="A443" s="66" t="str">
        <f>IF(C443="","",VLOOKUP('Opći dio'!$C$3,'Opći dio'!$L$6:$U$137,10,FALSE))</f>
        <v/>
      </c>
      <c r="B443" s="66" t="str">
        <f>IF(C443="","",VLOOKUP('Opći dio'!$C$3,'Opći dio'!$L$6:$U$137,9,FALSE))</f>
        <v/>
      </c>
      <c r="C443" s="71"/>
      <c r="D443" s="66" t="str">
        <f t="shared" si="0"/>
        <v/>
      </c>
      <c r="E443" s="71"/>
      <c r="F443" s="66" t="str">
        <f t="shared" si="57"/>
        <v/>
      </c>
      <c r="G443" s="71"/>
      <c r="H443" s="66" t="str">
        <f t="shared" si="56"/>
        <v/>
      </c>
      <c r="I443" s="59"/>
      <c r="J443" s="59"/>
      <c r="K443" s="59"/>
      <c r="L443" s="44"/>
      <c r="M443" s="44" t="str">
        <f t="shared" si="3"/>
        <v/>
      </c>
      <c r="N443" s="44" t="str">
        <f t="shared" si="4"/>
        <v/>
      </c>
      <c r="O443" s="44"/>
      <c r="P443" s="44"/>
      <c r="Q443" s="44"/>
      <c r="R443" s="44"/>
      <c r="S443" s="44"/>
      <c r="T443" s="44"/>
      <c r="U443" s="44"/>
      <c r="V443" s="44"/>
      <c r="W443" s="44"/>
      <c r="X443" s="44"/>
      <c r="Y443" s="44"/>
      <c r="Z443" s="44"/>
    </row>
    <row r="444" spans="1:26" ht="15.75" customHeight="1">
      <c r="A444" s="66" t="str">
        <f>IF(C444="","",VLOOKUP('Opći dio'!$C$3,'Opći dio'!$L$6:$U$137,10,FALSE))</f>
        <v/>
      </c>
      <c r="B444" s="66" t="str">
        <f>IF(C444="","",VLOOKUP('Opći dio'!$C$3,'Opći dio'!$L$6:$U$137,9,FALSE))</f>
        <v/>
      </c>
      <c r="C444" s="71"/>
      <c r="D444" s="66" t="str">
        <f t="shared" si="0"/>
        <v/>
      </c>
      <c r="E444" s="71"/>
      <c r="F444" s="66" t="str">
        <f t="shared" si="57"/>
        <v/>
      </c>
      <c r="G444" s="71"/>
      <c r="H444" s="66" t="str">
        <f t="shared" si="56"/>
        <v/>
      </c>
      <c r="I444" s="59"/>
      <c r="J444" s="59"/>
      <c r="K444" s="59"/>
      <c r="L444" s="44"/>
      <c r="M444" s="44" t="str">
        <f t="shared" si="3"/>
        <v/>
      </c>
      <c r="N444" s="44" t="str">
        <f t="shared" si="4"/>
        <v/>
      </c>
      <c r="O444" s="44"/>
      <c r="P444" s="44"/>
      <c r="Q444" s="44"/>
      <c r="R444" s="44"/>
      <c r="S444" s="44"/>
      <c r="T444" s="44"/>
      <c r="U444" s="44"/>
      <c r="V444" s="44"/>
      <c r="W444" s="44"/>
      <c r="X444" s="44"/>
      <c r="Y444" s="44"/>
      <c r="Z444" s="44"/>
    </row>
    <row r="445" spans="1:26" ht="15.75" customHeight="1">
      <c r="A445" s="66" t="str">
        <f>IF(C445="","",VLOOKUP('Opći dio'!$C$3,'Opći dio'!$L$6:$U$137,10,FALSE))</f>
        <v/>
      </c>
      <c r="B445" s="66" t="str">
        <f>IF(C445="","",VLOOKUP('Opći dio'!$C$3,'Opći dio'!$L$6:$U$137,9,FALSE))</f>
        <v/>
      </c>
      <c r="C445" s="71"/>
      <c r="D445" s="66" t="str">
        <f t="shared" si="0"/>
        <v/>
      </c>
      <c r="E445" s="71"/>
      <c r="F445" s="66" t="str">
        <f t="shared" si="57"/>
        <v/>
      </c>
      <c r="G445" s="71"/>
      <c r="H445" s="66" t="str">
        <f t="shared" si="56"/>
        <v/>
      </c>
      <c r="I445" s="59"/>
      <c r="J445" s="59"/>
      <c r="K445" s="59"/>
      <c r="L445" s="44"/>
      <c r="M445" s="44" t="str">
        <f t="shared" si="3"/>
        <v/>
      </c>
      <c r="N445" s="44" t="str">
        <f t="shared" si="4"/>
        <v/>
      </c>
      <c r="O445" s="44"/>
      <c r="P445" s="44"/>
      <c r="Q445" s="44"/>
      <c r="R445" s="44"/>
      <c r="S445" s="44"/>
      <c r="T445" s="44"/>
      <c r="U445" s="44"/>
      <c r="V445" s="44"/>
      <c r="W445" s="44"/>
      <c r="X445" s="44"/>
      <c r="Y445" s="44"/>
      <c r="Z445" s="44"/>
    </row>
    <row r="446" spans="1:26" ht="15.75" customHeight="1">
      <c r="A446" s="66" t="str">
        <f>IF(C446="","",VLOOKUP('Opći dio'!$C$3,'Opći dio'!$L$6:$U$137,10,FALSE))</f>
        <v/>
      </c>
      <c r="B446" s="66" t="str">
        <f>IF(C446="","",VLOOKUP('Opći dio'!$C$3,'Opći dio'!$L$6:$U$137,9,FALSE))</f>
        <v/>
      </c>
      <c r="C446" s="71"/>
      <c r="D446" s="66" t="str">
        <f t="shared" si="0"/>
        <v/>
      </c>
      <c r="E446" s="71"/>
      <c r="F446" s="66" t="str">
        <f t="shared" si="57"/>
        <v/>
      </c>
      <c r="G446" s="71"/>
      <c r="H446" s="66" t="str">
        <f t="shared" si="56"/>
        <v/>
      </c>
      <c r="I446" s="59"/>
      <c r="J446" s="59"/>
      <c r="K446" s="59"/>
      <c r="L446" s="44"/>
      <c r="M446" s="44" t="str">
        <f t="shared" si="3"/>
        <v/>
      </c>
      <c r="N446" s="44" t="str">
        <f t="shared" si="4"/>
        <v/>
      </c>
      <c r="O446" s="44"/>
      <c r="P446" s="44"/>
      <c r="Q446" s="44"/>
      <c r="R446" s="44"/>
      <c r="S446" s="44"/>
      <c r="T446" s="44"/>
      <c r="U446" s="44"/>
      <c r="V446" s="44"/>
      <c r="W446" s="44"/>
      <c r="X446" s="44"/>
      <c r="Y446" s="44"/>
      <c r="Z446" s="44"/>
    </row>
    <row r="447" spans="1:26" ht="15.75" customHeight="1">
      <c r="A447" s="66" t="str">
        <f>IF(C447="","",VLOOKUP('Opći dio'!$C$3,'Opći dio'!$L$6:$U$137,10,FALSE))</f>
        <v/>
      </c>
      <c r="B447" s="66" t="str">
        <f>IF(C447="","",VLOOKUP('Opći dio'!$C$3,'Opći dio'!$L$6:$U$137,9,FALSE))</f>
        <v/>
      </c>
      <c r="C447" s="71"/>
      <c r="D447" s="66" t="str">
        <f t="shared" si="0"/>
        <v/>
      </c>
      <c r="E447" s="71"/>
      <c r="F447" s="66" t="str">
        <f t="shared" si="57"/>
        <v/>
      </c>
      <c r="G447" s="71"/>
      <c r="H447" s="66" t="str">
        <f t="shared" si="56"/>
        <v/>
      </c>
      <c r="I447" s="59"/>
      <c r="J447" s="59"/>
      <c r="K447" s="59"/>
      <c r="L447" s="44"/>
      <c r="M447" s="44" t="str">
        <f t="shared" si="3"/>
        <v/>
      </c>
      <c r="N447" s="44" t="str">
        <f t="shared" si="4"/>
        <v/>
      </c>
      <c r="O447" s="44"/>
      <c r="P447" s="44"/>
      <c r="Q447" s="44"/>
      <c r="R447" s="44"/>
      <c r="S447" s="44"/>
      <c r="T447" s="44"/>
      <c r="U447" s="44"/>
      <c r="V447" s="44"/>
      <c r="W447" s="44"/>
      <c r="X447" s="44"/>
      <c r="Y447" s="44"/>
      <c r="Z447" s="44"/>
    </row>
    <row r="448" spans="1:26" ht="15.75" customHeight="1">
      <c r="A448" s="66" t="str">
        <f>IF(C448="","",VLOOKUP('Opći dio'!$C$3,'Opći dio'!$L$6:$U$137,10,FALSE))</f>
        <v/>
      </c>
      <c r="B448" s="66" t="str">
        <f>IF(C448="","",VLOOKUP('Opći dio'!$C$3,'Opći dio'!$L$6:$U$137,9,FALSE))</f>
        <v/>
      </c>
      <c r="C448" s="71"/>
      <c r="D448" s="66" t="str">
        <f t="shared" si="0"/>
        <v/>
      </c>
      <c r="E448" s="71"/>
      <c r="F448" s="66" t="str">
        <f t="shared" si="57"/>
        <v/>
      </c>
      <c r="G448" s="71"/>
      <c r="H448" s="66" t="str">
        <f t="shared" si="56"/>
        <v/>
      </c>
      <c r="I448" s="59"/>
      <c r="J448" s="59"/>
      <c r="K448" s="59"/>
      <c r="L448" s="44"/>
      <c r="M448" s="44" t="str">
        <f t="shared" si="3"/>
        <v/>
      </c>
      <c r="N448" s="44" t="str">
        <f t="shared" si="4"/>
        <v/>
      </c>
      <c r="O448" s="44"/>
      <c r="P448" s="44"/>
      <c r="Q448" s="44"/>
      <c r="R448" s="44"/>
      <c r="S448" s="44"/>
      <c r="T448" s="44"/>
      <c r="U448" s="44"/>
      <c r="V448" s="44"/>
      <c r="W448" s="44"/>
      <c r="X448" s="44"/>
      <c r="Y448" s="44"/>
      <c r="Z448" s="44"/>
    </row>
    <row r="449" spans="1:26" ht="15.75" customHeight="1">
      <c r="A449" s="66" t="str">
        <f>IF(C449="","",VLOOKUP('Opći dio'!$C$3,'Opći dio'!$L$6:$U$137,10,FALSE))</f>
        <v/>
      </c>
      <c r="B449" s="66" t="str">
        <f>IF(C449="","",VLOOKUP('Opći dio'!$C$3,'Opći dio'!$L$6:$U$137,9,FALSE))</f>
        <v/>
      </c>
      <c r="C449" s="71"/>
      <c r="D449" s="66" t="str">
        <f t="shared" si="0"/>
        <v/>
      </c>
      <c r="E449" s="71"/>
      <c r="F449" s="66" t="str">
        <f t="shared" si="57"/>
        <v/>
      </c>
      <c r="G449" s="71"/>
      <c r="H449" s="66" t="str">
        <f t="shared" si="56"/>
        <v/>
      </c>
      <c r="I449" s="59"/>
      <c r="J449" s="59"/>
      <c r="K449" s="59"/>
      <c r="L449" s="44"/>
      <c r="M449" s="44" t="str">
        <f t="shared" si="3"/>
        <v/>
      </c>
      <c r="N449" s="44" t="str">
        <f t="shared" si="4"/>
        <v/>
      </c>
      <c r="O449" s="44"/>
      <c r="P449" s="44"/>
      <c r="Q449" s="44"/>
      <c r="R449" s="44"/>
      <c r="S449" s="44"/>
      <c r="T449" s="44"/>
      <c r="U449" s="44"/>
      <c r="V449" s="44"/>
      <c r="W449" s="44"/>
      <c r="X449" s="44"/>
      <c r="Y449" s="44"/>
      <c r="Z449" s="44"/>
    </row>
    <row r="450" spans="1:26" ht="15.75" customHeight="1">
      <c r="A450" s="66" t="str">
        <f>IF(C450="","",VLOOKUP('Opći dio'!$C$3,'Opći dio'!$L$6:$U$137,10,FALSE))</f>
        <v/>
      </c>
      <c r="B450" s="66" t="str">
        <f>IF(C450="","",VLOOKUP('Opći dio'!$C$3,'Opći dio'!$L$6:$U$137,9,FALSE))</f>
        <v/>
      </c>
      <c r="C450" s="71"/>
      <c r="D450" s="66" t="str">
        <f t="shared" si="0"/>
        <v/>
      </c>
      <c r="E450" s="71"/>
      <c r="F450" s="66" t="str">
        <f t="shared" si="57"/>
        <v/>
      </c>
      <c r="G450" s="71"/>
      <c r="H450" s="66" t="str">
        <f t="shared" si="56"/>
        <v/>
      </c>
      <c r="I450" s="59"/>
      <c r="J450" s="59"/>
      <c r="K450" s="59"/>
      <c r="L450" s="44"/>
      <c r="M450" s="44" t="str">
        <f t="shared" si="3"/>
        <v/>
      </c>
      <c r="N450" s="44" t="str">
        <f t="shared" si="4"/>
        <v/>
      </c>
      <c r="O450" s="44"/>
      <c r="P450" s="44"/>
      <c r="Q450" s="44"/>
      <c r="R450" s="44"/>
      <c r="S450" s="44"/>
      <c r="T450" s="44"/>
      <c r="U450" s="44"/>
      <c r="V450" s="44"/>
      <c r="W450" s="44"/>
      <c r="X450" s="44"/>
      <c r="Y450" s="44"/>
      <c r="Z450" s="44"/>
    </row>
    <row r="451" spans="1:26" ht="15.75" customHeight="1">
      <c r="A451" s="66" t="str">
        <f>IF(C451="","",VLOOKUP('Opći dio'!$C$3,'Opći dio'!$L$6:$U$137,10,FALSE))</f>
        <v/>
      </c>
      <c r="B451" s="66" t="str">
        <f>IF(C451="","",VLOOKUP('Opći dio'!$C$3,'Opći dio'!$L$6:$U$137,9,FALSE))</f>
        <v/>
      </c>
      <c r="C451" s="71"/>
      <c r="D451" s="66" t="str">
        <f t="shared" si="0"/>
        <v/>
      </c>
      <c r="E451" s="71"/>
      <c r="F451" s="66" t="str">
        <f t="shared" si="57"/>
        <v/>
      </c>
      <c r="G451" s="71"/>
      <c r="H451" s="66" t="str">
        <f t="shared" ref="H451:H480" si="58">IFERROR(VLOOKUP(G451,$X$6:$Y$276,2,FALSE),"")</f>
        <v/>
      </c>
      <c r="I451" s="59"/>
      <c r="J451" s="59"/>
      <c r="K451" s="59"/>
      <c r="L451" s="44"/>
      <c r="M451" s="44" t="str">
        <f t="shared" si="3"/>
        <v/>
      </c>
      <c r="N451" s="44" t="str">
        <f t="shared" si="4"/>
        <v/>
      </c>
      <c r="O451" s="44"/>
      <c r="P451" s="44"/>
      <c r="Q451" s="44"/>
      <c r="R451" s="44"/>
      <c r="S451" s="44"/>
      <c r="T451" s="44"/>
      <c r="U451" s="44"/>
      <c r="V451" s="44"/>
      <c r="W451" s="44"/>
      <c r="X451" s="44"/>
      <c r="Y451" s="44"/>
      <c r="Z451" s="44"/>
    </row>
    <row r="452" spans="1:26" ht="15.75" customHeight="1">
      <c r="A452" s="66" t="str">
        <f>IF(C452="","",VLOOKUP('Opći dio'!$C$3,'Opći dio'!$L$6:$U$137,10,FALSE))</f>
        <v/>
      </c>
      <c r="B452" s="66" t="str">
        <f>IF(C452="","",VLOOKUP('Opći dio'!$C$3,'Opći dio'!$L$6:$U$137,9,FALSE))</f>
        <v/>
      </c>
      <c r="C452" s="71"/>
      <c r="D452" s="66" t="str">
        <f t="shared" si="0"/>
        <v/>
      </c>
      <c r="E452" s="71"/>
      <c r="F452" s="66" t="str">
        <f t="shared" si="57"/>
        <v/>
      </c>
      <c r="G452" s="71"/>
      <c r="H452" s="66" t="str">
        <f t="shared" si="58"/>
        <v/>
      </c>
      <c r="I452" s="59"/>
      <c r="J452" s="59"/>
      <c r="K452" s="59"/>
      <c r="L452" s="44"/>
      <c r="M452" s="44" t="str">
        <f t="shared" si="3"/>
        <v/>
      </c>
      <c r="N452" s="44" t="str">
        <f t="shared" si="4"/>
        <v/>
      </c>
      <c r="O452" s="44"/>
      <c r="P452" s="44"/>
      <c r="Q452" s="44"/>
      <c r="R452" s="44"/>
      <c r="S452" s="44"/>
      <c r="T452" s="44"/>
      <c r="U452" s="44"/>
      <c r="V452" s="44"/>
      <c r="W452" s="44"/>
      <c r="X452" s="44"/>
      <c r="Y452" s="44"/>
      <c r="Z452" s="44"/>
    </row>
    <row r="453" spans="1:26" ht="15.75" customHeight="1">
      <c r="A453" s="66" t="str">
        <f>IF(C453="","",VLOOKUP('Opći dio'!$C$3,'Opći dio'!$L$6:$U$137,10,FALSE))</f>
        <v/>
      </c>
      <c r="B453" s="66" t="str">
        <f>IF(C453="","",VLOOKUP('Opći dio'!$C$3,'Opći dio'!$L$6:$U$137,9,FALSE))</f>
        <v/>
      </c>
      <c r="C453" s="71"/>
      <c r="D453" s="66" t="str">
        <f t="shared" si="0"/>
        <v/>
      </c>
      <c r="E453" s="71"/>
      <c r="F453" s="66" t="str">
        <f t="shared" si="57"/>
        <v/>
      </c>
      <c r="G453" s="71"/>
      <c r="H453" s="66" t="str">
        <f t="shared" si="58"/>
        <v/>
      </c>
      <c r="I453" s="59"/>
      <c r="J453" s="59"/>
      <c r="K453" s="59"/>
      <c r="L453" s="44"/>
      <c r="M453" s="44" t="str">
        <f t="shared" si="3"/>
        <v/>
      </c>
      <c r="N453" s="44" t="str">
        <f t="shared" si="4"/>
        <v/>
      </c>
      <c r="O453" s="44"/>
      <c r="P453" s="44"/>
      <c r="Q453" s="44"/>
      <c r="R453" s="44"/>
      <c r="S453" s="44"/>
      <c r="T453" s="44"/>
      <c r="U453" s="44"/>
      <c r="V453" s="44"/>
      <c r="W453" s="44"/>
      <c r="X453" s="44"/>
      <c r="Y453" s="44"/>
      <c r="Z453" s="44"/>
    </row>
    <row r="454" spans="1:26" ht="15.75" customHeight="1">
      <c r="A454" s="66" t="str">
        <f>IF(C454="","",VLOOKUP('Opći dio'!$C$3,'Opći dio'!$L$6:$U$137,10,FALSE))</f>
        <v/>
      </c>
      <c r="B454" s="66" t="str">
        <f>IF(C454="","",VLOOKUP('Opći dio'!$C$3,'Opći dio'!$L$6:$U$137,9,FALSE))</f>
        <v/>
      </c>
      <c r="C454" s="71"/>
      <c r="D454" s="66" t="str">
        <f t="shared" si="0"/>
        <v/>
      </c>
      <c r="E454" s="71"/>
      <c r="F454" s="66" t="str">
        <f t="shared" si="57"/>
        <v/>
      </c>
      <c r="G454" s="71"/>
      <c r="H454" s="66" t="str">
        <f t="shared" si="58"/>
        <v/>
      </c>
      <c r="I454" s="59"/>
      <c r="J454" s="59"/>
      <c r="K454" s="59"/>
      <c r="L454" s="44"/>
      <c r="M454" s="44" t="str">
        <f t="shared" si="3"/>
        <v/>
      </c>
      <c r="N454" s="44" t="str">
        <f t="shared" si="4"/>
        <v/>
      </c>
      <c r="O454" s="44"/>
      <c r="P454" s="44"/>
      <c r="Q454" s="44"/>
      <c r="R454" s="44"/>
      <c r="S454" s="44"/>
      <c r="T454" s="44"/>
      <c r="U454" s="44"/>
      <c r="V454" s="44"/>
      <c r="W454" s="44"/>
      <c r="X454" s="44"/>
      <c r="Y454" s="44"/>
      <c r="Z454" s="44"/>
    </row>
    <row r="455" spans="1:26" ht="15.75" customHeight="1">
      <c r="A455" s="66" t="str">
        <f>IF(C455="","",VLOOKUP('Opći dio'!$C$3,'Opći dio'!$L$6:$U$137,10,FALSE))</f>
        <v/>
      </c>
      <c r="B455" s="66" t="str">
        <f>IF(C455="","",VLOOKUP('Opći dio'!$C$3,'Opći dio'!$L$6:$U$137,9,FALSE))</f>
        <v/>
      </c>
      <c r="C455" s="71"/>
      <c r="D455" s="66" t="str">
        <f t="shared" si="0"/>
        <v/>
      </c>
      <c r="E455" s="71"/>
      <c r="F455" s="66" t="str">
        <f t="shared" si="57"/>
        <v/>
      </c>
      <c r="G455" s="71"/>
      <c r="H455" s="66" t="str">
        <f t="shared" si="58"/>
        <v/>
      </c>
      <c r="I455" s="59"/>
      <c r="J455" s="59"/>
      <c r="K455" s="59"/>
      <c r="L455" s="44"/>
      <c r="M455" s="44" t="str">
        <f t="shared" si="3"/>
        <v/>
      </c>
      <c r="N455" s="44" t="str">
        <f t="shared" si="4"/>
        <v/>
      </c>
      <c r="O455" s="44"/>
      <c r="P455" s="44"/>
      <c r="Q455" s="44"/>
      <c r="R455" s="44"/>
      <c r="S455" s="44"/>
      <c r="T455" s="44"/>
      <c r="U455" s="44"/>
      <c r="V455" s="44"/>
      <c r="W455" s="44"/>
      <c r="X455" s="44"/>
      <c r="Y455" s="44"/>
      <c r="Z455" s="44"/>
    </row>
    <row r="456" spans="1:26" ht="15.75" customHeight="1">
      <c r="A456" s="66" t="str">
        <f>IF(C456="","",VLOOKUP('Opći dio'!$C$3,'Opći dio'!$L$6:$U$137,10,FALSE))</f>
        <v/>
      </c>
      <c r="B456" s="66" t="str">
        <f>IF(C456="","",VLOOKUP('Opći dio'!$C$3,'Opći dio'!$L$6:$U$137,9,FALSE))</f>
        <v/>
      </c>
      <c r="C456" s="71"/>
      <c r="D456" s="66" t="str">
        <f t="shared" si="0"/>
        <v/>
      </c>
      <c r="E456" s="71"/>
      <c r="F456" s="66" t="str">
        <f t="shared" si="57"/>
        <v/>
      </c>
      <c r="G456" s="71"/>
      <c r="H456" s="66" t="str">
        <f t="shared" si="58"/>
        <v/>
      </c>
      <c r="I456" s="59"/>
      <c r="J456" s="59"/>
      <c r="K456" s="59"/>
      <c r="L456" s="44"/>
      <c r="M456" s="44" t="str">
        <f t="shared" si="3"/>
        <v/>
      </c>
      <c r="N456" s="44" t="str">
        <f t="shared" si="4"/>
        <v/>
      </c>
      <c r="O456" s="44"/>
      <c r="P456" s="44"/>
      <c r="Q456" s="44"/>
      <c r="R456" s="44"/>
      <c r="S456" s="44"/>
      <c r="T456" s="44"/>
      <c r="U456" s="44"/>
      <c r="V456" s="44"/>
      <c r="W456" s="44"/>
      <c r="X456" s="44"/>
      <c r="Y456" s="44"/>
      <c r="Z456" s="44"/>
    </row>
    <row r="457" spans="1:26" ht="15.75" customHeight="1">
      <c r="A457" s="66" t="str">
        <f>IF(C457="","",VLOOKUP('Opći dio'!$C$3,'Opći dio'!$L$6:$U$137,10,FALSE))</f>
        <v/>
      </c>
      <c r="B457" s="66" t="str">
        <f>IF(C457="","",VLOOKUP('Opći dio'!$C$3,'Opći dio'!$L$6:$U$137,9,FALSE))</f>
        <v/>
      </c>
      <c r="C457" s="71"/>
      <c r="D457" s="66" t="str">
        <f t="shared" si="0"/>
        <v/>
      </c>
      <c r="E457" s="71"/>
      <c r="F457" s="66" t="str">
        <f t="shared" si="57"/>
        <v/>
      </c>
      <c r="G457" s="71"/>
      <c r="H457" s="66" t="str">
        <f t="shared" si="58"/>
        <v/>
      </c>
      <c r="I457" s="59"/>
      <c r="J457" s="59"/>
      <c r="K457" s="59"/>
      <c r="L457" s="44"/>
      <c r="M457" s="44" t="str">
        <f t="shared" si="3"/>
        <v/>
      </c>
      <c r="N457" s="44" t="str">
        <f t="shared" si="4"/>
        <v/>
      </c>
      <c r="O457" s="44"/>
      <c r="P457" s="44"/>
      <c r="Q457" s="44"/>
      <c r="R457" s="44"/>
      <c r="S457" s="44"/>
      <c r="T457" s="44"/>
      <c r="U457" s="44"/>
      <c r="V457" s="44"/>
      <c r="W457" s="44"/>
      <c r="X457" s="44"/>
      <c r="Y457" s="44"/>
      <c r="Z457" s="44"/>
    </row>
    <row r="458" spans="1:26" ht="15.75" customHeight="1">
      <c r="A458" s="66" t="str">
        <f>IF(C458="","",VLOOKUP('Opći dio'!$C$3,'Opći dio'!$L$6:$U$137,10,FALSE))</f>
        <v/>
      </c>
      <c r="B458" s="66" t="str">
        <f>IF(C458="","",VLOOKUP('Opći dio'!$C$3,'Opći dio'!$L$6:$U$137,9,FALSE))</f>
        <v/>
      </c>
      <c r="C458" s="71"/>
      <c r="D458" s="66" t="str">
        <f t="shared" si="0"/>
        <v/>
      </c>
      <c r="E458" s="71"/>
      <c r="F458" s="66" t="str">
        <f t="shared" si="57"/>
        <v/>
      </c>
      <c r="G458" s="71"/>
      <c r="H458" s="66" t="str">
        <f t="shared" si="58"/>
        <v/>
      </c>
      <c r="I458" s="59"/>
      <c r="J458" s="59"/>
      <c r="K458" s="59"/>
      <c r="L458" s="44"/>
      <c r="M458" s="44" t="str">
        <f t="shared" si="3"/>
        <v/>
      </c>
      <c r="N458" s="44" t="str">
        <f t="shared" si="4"/>
        <v/>
      </c>
      <c r="O458" s="44"/>
      <c r="P458" s="44"/>
      <c r="Q458" s="44"/>
      <c r="R458" s="44"/>
      <c r="S458" s="44"/>
      <c r="T458" s="44"/>
      <c r="U458" s="44"/>
      <c r="V458" s="44"/>
      <c r="W458" s="44"/>
      <c r="X458" s="44"/>
      <c r="Y458" s="44"/>
      <c r="Z458" s="44"/>
    </row>
    <row r="459" spans="1:26" ht="15.75" customHeight="1">
      <c r="A459" s="66" t="str">
        <f>IF(C459="","",VLOOKUP('Opći dio'!$C$3,'Opći dio'!$L$6:$U$137,10,FALSE))</f>
        <v/>
      </c>
      <c r="B459" s="66" t="str">
        <f>IF(C459="","",VLOOKUP('Opći dio'!$C$3,'Opći dio'!$L$6:$U$137,9,FALSE))</f>
        <v/>
      </c>
      <c r="C459" s="71"/>
      <c r="D459" s="66" t="str">
        <f t="shared" si="0"/>
        <v/>
      </c>
      <c r="E459" s="71"/>
      <c r="F459" s="66" t="str">
        <f t="shared" si="57"/>
        <v/>
      </c>
      <c r="G459" s="71"/>
      <c r="H459" s="66" t="str">
        <f t="shared" si="58"/>
        <v/>
      </c>
      <c r="I459" s="59"/>
      <c r="J459" s="59"/>
      <c r="K459" s="59"/>
      <c r="L459" s="44"/>
      <c r="M459" s="44" t="str">
        <f t="shared" si="3"/>
        <v/>
      </c>
      <c r="N459" s="44" t="str">
        <f t="shared" si="4"/>
        <v/>
      </c>
      <c r="O459" s="44"/>
      <c r="P459" s="44"/>
      <c r="Q459" s="44"/>
      <c r="R459" s="44"/>
      <c r="S459" s="44"/>
      <c r="T459" s="44"/>
      <c r="U459" s="44"/>
      <c r="V459" s="44"/>
      <c r="W459" s="44"/>
      <c r="X459" s="44"/>
      <c r="Y459" s="44"/>
      <c r="Z459" s="44"/>
    </row>
    <row r="460" spans="1:26" ht="15.75" customHeight="1">
      <c r="A460" s="66" t="str">
        <f>IF(C460="","",VLOOKUP('Opći dio'!$C$3,'Opći dio'!$L$6:$U$137,10,FALSE))</f>
        <v/>
      </c>
      <c r="B460" s="66" t="str">
        <f>IF(C460="","",VLOOKUP('Opći dio'!$C$3,'Opći dio'!$L$6:$U$137,9,FALSE))</f>
        <v/>
      </c>
      <c r="C460" s="71"/>
      <c r="D460" s="66" t="str">
        <f t="shared" si="0"/>
        <v/>
      </c>
      <c r="E460" s="71"/>
      <c r="F460" s="66" t="str">
        <f t="shared" si="57"/>
        <v/>
      </c>
      <c r="G460" s="71"/>
      <c r="H460" s="66" t="str">
        <f t="shared" si="58"/>
        <v/>
      </c>
      <c r="I460" s="59"/>
      <c r="J460" s="59"/>
      <c r="K460" s="59"/>
      <c r="L460" s="44"/>
      <c r="M460" s="44" t="str">
        <f t="shared" si="3"/>
        <v/>
      </c>
      <c r="N460" s="44" t="str">
        <f t="shared" si="4"/>
        <v/>
      </c>
      <c r="O460" s="44"/>
      <c r="P460" s="44"/>
      <c r="Q460" s="44"/>
      <c r="R460" s="44"/>
      <c r="S460" s="44"/>
      <c r="T460" s="44"/>
      <c r="U460" s="44"/>
      <c r="V460" s="44"/>
      <c r="W460" s="44"/>
      <c r="X460" s="44"/>
      <c r="Y460" s="44"/>
      <c r="Z460" s="44"/>
    </row>
    <row r="461" spans="1:26" ht="15.75" customHeight="1">
      <c r="A461" s="66" t="str">
        <f>IF(C461="","",VLOOKUP('Opći dio'!$C$3,'Opći dio'!$L$6:$U$137,10,FALSE))</f>
        <v/>
      </c>
      <c r="B461" s="66" t="str">
        <f>IF(C461="","",VLOOKUP('Opći dio'!$C$3,'Opći dio'!$L$6:$U$137,9,FALSE))</f>
        <v/>
      </c>
      <c r="C461" s="71"/>
      <c r="D461" s="66" t="str">
        <f t="shared" si="0"/>
        <v/>
      </c>
      <c r="E461" s="71"/>
      <c r="F461" s="66" t="str">
        <f t="shared" ref="F461:F480" si="59">IFERROR(VLOOKUP(E461,$R$5:$T$109,2,FALSE),"")</f>
        <v/>
      </c>
      <c r="G461" s="71"/>
      <c r="H461" s="66" t="str">
        <f t="shared" si="58"/>
        <v/>
      </c>
      <c r="I461" s="59"/>
      <c r="J461" s="59"/>
      <c r="K461" s="59"/>
      <c r="L461" s="44"/>
      <c r="M461" s="44" t="str">
        <f t="shared" si="3"/>
        <v/>
      </c>
      <c r="N461" s="44" t="str">
        <f t="shared" si="4"/>
        <v/>
      </c>
      <c r="O461" s="44"/>
      <c r="P461" s="44"/>
      <c r="Q461" s="44"/>
      <c r="R461" s="44"/>
      <c r="S461" s="44"/>
      <c r="T461" s="44"/>
      <c r="U461" s="44"/>
      <c r="V461" s="44"/>
      <c r="W461" s="44"/>
      <c r="X461" s="44"/>
      <c r="Y461" s="44"/>
      <c r="Z461" s="44"/>
    </row>
    <row r="462" spans="1:26" ht="15.75" customHeight="1">
      <c r="A462" s="66" t="str">
        <f>IF(C462="","",VLOOKUP('Opći dio'!$C$3,'Opći dio'!$L$6:$U$137,10,FALSE))</f>
        <v/>
      </c>
      <c r="B462" s="66" t="str">
        <f>IF(C462="","",VLOOKUP('Opći dio'!$C$3,'Opći dio'!$L$6:$U$137,9,FALSE))</f>
        <v/>
      </c>
      <c r="C462" s="71"/>
      <c r="D462" s="66" t="str">
        <f t="shared" si="0"/>
        <v/>
      </c>
      <c r="E462" s="71"/>
      <c r="F462" s="66" t="str">
        <f t="shared" si="59"/>
        <v/>
      </c>
      <c r="G462" s="71"/>
      <c r="H462" s="66" t="str">
        <f t="shared" si="58"/>
        <v/>
      </c>
      <c r="I462" s="59"/>
      <c r="J462" s="59"/>
      <c r="K462" s="59"/>
      <c r="L462" s="44"/>
      <c r="M462" s="44" t="str">
        <f t="shared" si="3"/>
        <v/>
      </c>
      <c r="N462" s="44" t="str">
        <f t="shared" si="4"/>
        <v/>
      </c>
      <c r="O462" s="44"/>
      <c r="P462" s="44"/>
      <c r="Q462" s="44"/>
      <c r="R462" s="44"/>
      <c r="S462" s="44"/>
      <c r="T462" s="44"/>
      <c r="U462" s="44"/>
      <c r="V462" s="44"/>
      <c r="W462" s="44"/>
      <c r="X462" s="44"/>
      <c r="Y462" s="44"/>
      <c r="Z462" s="44"/>
    </row>
    <row r="463" spans="1:26" ht="15.75" customHeight="1">
      <c r="A463" s="66" t="str">
        <f>IF(C463="","",VLOOKUP('Opći dio'!$C$3,'Opći dio'!$L$6:$U$137,10,FALSE))</f>
        <v/>
      </c>
      <c r="B463" s="66" t="str">
        <f>IF(C463="","",VLOOKUP('Opći dio'!$C$3,'Opći dio'!$L$6:$U$137,9,FALSE))</f>
        <v/>
      </c>
      <c r="C463" s="71"/>
      <c r="D463" s="66" t="str">
        <f t="shared" si="0"/>
        <v/>
      </c>
      <c r="E463" s="71"/>
      <c r="F463" s="66" t="str">
        <f t="shared" si="59"/>
        <v/>
      </c>
      <c r="G463" s="71"/>
      <c r="H463" s="66" t="str">
        <f t="shared" si="58"/>
        <v/>
      </c>
      <c r="I463" s="59"/>
      <c r="J463" s="59"/>
      <c r="K463" s="59"/>
      <c r="L463" s="44"/>
      <c r="M463" s="44" t="str">
        <f t="shared" si="3"/>
        <v/>
      </c>
      <c r="N463" s="44" t="str">
        <f t="shared" si="4"/>
        <v/>
      </c>
      <c r="O463" s="44"/>
      <c r="P463" s="44"/>
      <c r="Q463" s="44"/>
      <c r="R463" s="44"/>
      <c r="S463" s="44"/>
      <c r="T463" s="44"/>
      <c r="U463" s="44"/>
      <c r="V463" s="44"/>
      <c r="W463" s="44"/>
      <c r="X463" s="44"/>
      <c r="Y463" s="44"/>
      <c r="Z463" s="44"/>
    </row>
    <row r="464" spans="1:26" ht="15.75" customHeight="1">
      <c r="A464" s="66" t="str">
        <f>IF(C464="","",VLOOKUP('Opći dio'!$C$3,'Opći dio'!$L$6:$U$137,10,FALSE))</f>
        <v/>
      </c>
      <c r="B464" s="66" t="str">
        <f>IF(C464="","",VLOOKUP('Opći dio'!$C$3,'Opći dio'!$L$6:$U$137,9,FALSE))</f>
        <v/>
      </c>
      <c r="C464" s="71"/>
      <c r="D464" s="66" t="str">
        <f t="shared" si="0"/>
        <v/>
      </c>
      <c r="E464" s="71"/>
      <c r="F464" s="66" t="str">
        <f t="shared" si="59"/>
        <v/>
      </c>
      <c r="G464" s="71"/>
      <c r="H464" s="66" t="str">
        <f t="shared" si="58"/>
        <v/>
      </c>
      <c r="I464" s="59"/>
      <c r="J464" s="59"/>
      <c r="K464" s="59"/>
      <c r="L464" s="44"/>
      <c r="M464" s="44" t="str">
        <f t="shared" si="3"/>
        <v/>
      </c>
      <c r="N464" s="44" t="str">
        <f t="shared" si="4"/>
        <v/>
      </c>
      <c r="O464" s="44"/>
      <c r="P464" s="44"/>
      <c r="Q464" s="44"/>
      <c r="R464" s="44"/>
      <c r="S464" s="44"/>
      <c r="T464" s="44"/>
      <c r="U464" s="44"/>
      <c r="V464" s="44"/>
      <c r="W464" s="44"/>
      <c r="X464" s="44"/>
      <c r="Y464" s="44"/>
      <c r="Z464" s="44"/>
    </row>
    <row r="465" spans="1:26" ht="15.75" customHeight="1">
      <c r="A465" s="66" t="str">
        <f>IF(C465="","",VLOOKUP('Opći dio'!$C$3,'Opći dio'!$L$6:$U$137,10,FALSE))</f>
        <v/>
      </c>
      <c r="B465" s="66" t="str">
        <f>IF(C465="","",VLOOKUP('Opći dio'!$C$3,'Opći dio'!$L$6:$U$137,9,FALSE))</f>
        <v/>
      </c>
      <c r="C465" s="71"/>
      <c r="D465" s="66" t="str">
        <f t="shared" si="0"/>
        <v/>
      </c>
      <c r="E465" s="71"/>
      <c r="F465" s="66" t="str">
        <f t="shared" si="59"/>
        <v/>
      </c>
      <c r="G465" s="71"/>
      <c r="H465" s="66" t="str">
        <f t="shared" si="58"/>
        <v/>
      </c>
      <c r="I465" s="59"/>
      <c r="J465" s="59"/>
      <c r="K465" s="59"/>
      <c r="L465" s="44"/>
      <c r="M465" s="44" t="str">
        <f t="shared" si="3"/>
        <v/>
      </c>
      <c r="N465" s="44" t="str">
        <f t="shared" si="4"/>
        <v/>
      </c>
      <c r="O465" s="44"/>
      <c r="P465" s="44"/>
      <c r="Q465" s="44"/>
      <c r="R465" s="44"/>
      <c r="S465" s="44"/>
      <c r="T465" s="44"/>
      <c r="U465" s="44"/>
      <c r="V465" s="44"/>
      <c r="W465" s="44"/>
      <c r="X465" s="44"/>
      <c r="Y465" s="44"/>
      <c r="Z465" s="44"/>
    </row>
    <row r="466" spans="1:26" ht="15.75" customHeight="1">
      <c r="A466" s="66" t="str">
        <f>IF(C466="","",VLOOKUP('Opći dio'!$C$3,'Opći dio'!$L$6:$U$137,10,FALSE))</f>
        <v/>
      </c>
      <c r="B466" s="66" t="str">
        <f>IF(C466="","",VLOOKUP('Opći dio'!$C$3,'Opći dio'!$L$6:$U$137,9,FALSE))</f>
        <v/>
      </c>
      <c r="C466" s="71"/>
      <c r="D466" s="66" t="str">
        <f t="shared" si="0"/>
        <v/>
      </c>
      <c r="E466" s="71"/>
      <c r="F466" s="66" t="str">
        <f t="shared" si="59"/>
        <v/>
      </c>
      <c r="G466" s="71"/>
      <c r="H466" s="66" t="str">
        <f t="shared" si="58"/>
        <v/>
      </c>
      <c r="I466" s="59"/>
      <c r="J466" s="59"/>
      <c r="K466" s="59"/>
      <c r="L466" s="44"/>
      <c r="M466" s="44" t="str">
        <f t="shared" si="3"/>
        <v/>
      </c>
      <c r="N466" s="44" t="str">
        <f t="shared" si="4"/>
        <v/>
      </c>
      <c r="O466" s="44"/>
      <c r="P466" s="44"/>
      <c r="Q466" s="44"/>
      <c r="R466" s="44"/>
      <c r="S466" s="44"/>
      <c r="T466" s="44"/>
      <c r="U466" s="44"/>
      <c r="V466" s="44"/>
      <c r="W466" s="44"/>
      <c r="X466" s="44"/>
      <c r="Y466" s="44"/>
      <c r="Z466" s="44"/>
    </row>
    <row r="467" spans="1:26" ht="15.75" customHeight="1">
      <c r="A467" s="66" t="str">
        <f>IF(C467="","",VLOOKUP('Opći dio'!$C$3,'Opći dio'!$L$6:$U$137,10,FALSE))</f>
        <v/>
      </c>
      <c r="B467" s="66" t="str">
        <f>IF(C467="","",VLOOKUP('Opći dio'!$C$3,'Opći dio'!$L$6:$U$137,9,FALSE))</f>
        <v/>
      </c>
      <c r="C467" s="71"/>
      <c r="D467" s="66" t="str">
        <f t="shared" si="0"/>
        <v/>
      </c>
      <c r="E467" s="71"/>
      <c r="F467" s="66" t="str">
        <f t="shared" si="59"/>
        <v/>
      </c>
      <c r="G467" s="71"/>
      <c r="H467" s="66" t="str">
        <f t="shared" si="58"/>
        <v/>
      </c>
      <c r="I467" s="59"/>
      <c r="J467" s="59"/>
      <c r="K467" s="59"/>
      <c r="L467" s="44"/>
      <c r="M467" s="44" t="str">
        <f t="shared" si="3"/>
        <v/>
      </c>
      <c r="N467" s="44" t="str">
        <f t="shared" si="4"/>
        <v/>
      </c>
      <c r="O467" s="44"/>
      <c r="P467" s="44"/>
      <c r="Q467" s="44"/>
      <c r="R467" s="44"/>
      <c r="S467" s="44"/>
      <c r="T467" s="44"/>
      <c r="U467" s="44"/>
      <c r="V467" s="44"/>
      <c r="W467" s="44"/>
      <c r="X467" s="44"/>
      <c r="Y467" s="44"/>
      <c r="Z467" s="44"/>
    </row>
    <row r="468" spans="1:26" ht="15.75" customHeight="1">
      <c r="A468" s="66" t="str">
        <f>IF(C468="","",VLOOKUP('Opći dio'!$C$3,'Opći dio'!$L$6:$U$137,10,FALSE))</f>
        <v/>
      </c>
      <c r="B468" s="66" t="str">
        <f>IF(C468="","",VLOOKUP('Opći dio'!$C$3,'Opći dio'!$L$6:$U$137,9,FALSE))</f>
        <v/>
      </c>
      <c r="C468" s="71"/>
      <c r="D468" s="66" t="str">
        <f t="shared" si="0"/>
        <v/>
      </c>
      <c r="E468" s="71"/>
      <c r="F468" s="66" t="str">
        <f t="shared" si="59"/>
        <v/>
      </c>
      <c r="G468" s="71"/>
      <c r="H468" s="66" t="str">
        <f t="shared" si="58"/>
        <v/>
      </c>
      <c r="I468" s="59"/>
      <c r="J468" s="59"/>
      <c r="K468" s="59"/>
      <c r="L468" s="44"/>
      <c r="M468" s="44" t="str">
        <f t="shared" si="3"/>
        <v/>
      </c>
      <c r="N468" s="44" t="str">
        <f t="shared" si="4"/>
        <v/>
      </c>
      <c r="O468" s="44"/>
      <c r="P468" s="44"/>
      <c r="Q468" s="44"/>
      <c r="R468" s="44"/>
      <c r="S468" s="44"/>
      <c r="T468" s="44"/>
      <c r="U468" s="44"/>
      <c r="V468" s="44"/>
      <c r="W468" s="44"/>
      <c r="X468" s="44"/>
      <c r="Y468" s="44"/>
      <c r="Z468" s="44"/>
    </row>
    <row r="469" spans="1:26" ht="15.75" customHeight="1">
      <c r="A469" s="66" t="str">
        <f>IF(C469="","",VLOOKUP('Opći dio'!$C$3,'Opći dio'!$L$6:$U$137,10,FALSE))</f>
        <v/>
      </c>
      <c r="B469" s="66" t="str">
        <f>IF(C469="","",VLOOKUP('Opći dio'!$C$3,'Opći dio'!$L$6:$U$137,9,FALSE))</f>
        <v/>
      </c>
      <c r="C469" s="71"/>
      <c r="D469" s="66" t="str">
        <f t="shared" si="0"/>
        <v/>
      </c>
      <c r="E469" s="71"/>
      <c r="F469" s="66" t="str">
        <f t="shared" si="59"/>
        <v/>
      </c>
      <c r="G469" s="71"/>
      <c r="H469" s="66" t="str">
        <f t="shared" si="58"/>
        <v/>
      </c>
      <c r="I469" s="59"/>
      <c r="J469" s="59"/>
      <c r="K469" s="59"/>
      <c r="L469" s="44"/>
      <c r="M469" s="44" t="str">
        <f t="shared" si="3"/>
        <v/>
      </c>
      <c r="N469" s="44" t="str">
        <f t="shared" si="4"/>
        <v/>
      </c>
      <c r="O469" s="44"/>
      <c r="P469" s="44"/>
      <c r="Q469" s="44"/>
      <c r="R469" s="44"/>
      <c r="S469" s="44"/>
      <c r="T469" s="44"/>
      <c r="U469" s="44"/>
      <c r="V469" s="44"/>
      <c r="W469" s="44"/>
      <c r="X469" s="44"/>
      <c r="Y469" s="44"/>
      <c r="Z469" s="44"/>
    </row>
    <row r="470" spans="1:26" ht="15.75" customHeight="1">
      <c r="A470" s="66" t="str">
        <f>IF(C470="","",VLOOKUP('Opći dio'!$C$3,'Opći dio'!$L$6:$U$137,10,FALSE))</f>
        <v/>
      </c>
      <c r="B470" s="66" t="str">
        <f>IF(C470="","",VLOOKUP('Opći dio'!$C$3,'Opći dio'!$L$6:$U$137,9,FALSE))</f>
        <v/>
      </c>
      <c r="C470" s="71"/>
      <c r="D470" s="66" t="str">
        <f t="shared" si="0"/>
        <v/>
      </c>
      <c r="E470" s="71"/>
      <c r="F470" s="66" t="str">
        <f t="shared" si="59"/>
        <v/>
      </c>
      <c r="G470" s="71"/>
      <c r="H470" s="66" t="str">
        <f t="shared" si="58"/>
        <v/>
      </c>
      <c r="I470" s="59"/>
      <c r="J470" s="59"/>
      <c r="K470" s="59"/>
      <c r="L470" s="44"/>
      <c r="M470" s="44" t="str">
        <f t="shared" si="3"/>
        <v/>
      </c>
      <c r="N470" s="44" t="str">
        <f t="shared" si="4"/>
        <v/>
      </c>
      <c r="O470" s="44"/>
      <c r="P470" s="44"/>
      <c r="Q470" s="44"/>
      <c r="R470" s="44"/>
      <c r="S470" s="44"/>
      <c r="T470" s="44"/>
      <c r="U470" s="44"/>
      <c r="V470" s="44"/>
      <c r="W470" s="44"/>
      <c r="X470" s="44"/>
      <c r="Y470" s="44"/>
      <c r="Z470" s="44"/>
    </row>
    <row r="471" spans="1:26" ht="15.75" customHeight="1">
      <c r="A471" s="66" t="str">
        <f>IF(C471="","",VLOOKUP('Opći dio'!$C$3,'Opći dio'!$L$6:$U$137,10,FALSE))</f>
        <v/>
      </c>
      <c r="B471" s="66" t="str">
        <f>IF(C471="","",VLOOKUP('Opći dio'!$C$3,'Opći dio'!$L$6:$U$137,9,FALSE))</f>
        <v/>
      </c>
      <c r="C471" s="71"/>
      <c r="D471" s="66" t="str">
        <f t="shared" si="0"/>
        <v/>
      </c>
      <c r="E471" s="71"/>
      <c r="F471" s="66" t="str">
        <f t="shared" si="59"/>
        <v/>
      </c>
      <c r="G471" s="71"/>
      <c r="H471" s="66" t="str">
        <f t="shared" si="58"/>
        <v/>
      </c>
      <c r="I471" s="59"/>
      <c r="J471" s="59"/>
      <c r="K471" s="59"/>
      <c r="L471" s="44"/>
      <c r="M471" s="44" t="str">
        <f t="shared" si="3"/>
        <v/>
      </c>
      <c r="N471" s="44" t="str">
        <f t="shared" si="4"/>
        <v/>
      </c>
      <c r="O471" s="44"/>
      <c r="P471" s="44"/>
      <c r="Q471" s="44"/>
      <c r="R471" s="44"/>
      <c r="S471" s="44"/>
      <c r="T471" s="44"/>
      <c r="U471" s="44"/>
      <c r="V471" s="44"/>
      <c r="W471" s="44"/>
      <c r="X471" s="44"/>
      <c r="Y471" s="44"/>
      <c r="Z471" s="44"/>
    </row>
    <row r="472" spans="1:26" ht="15.75" customHeight="1">
      <c r="A472" s="66" t="str">
        <f>IF(C472="","",VLOOKUP('Opći dio'!$C$3,'Opći dio'!$L$6:$U$137,10,FALSE))</f>
        <v/>
      </c>
      <c r="B472" s="66" t="str">
        <f>IF(C472="","",VLOOKUP('Opći dio'!$C$3,'Opći dio'!$L$6:$U$137,9,FALSE))</f>
        <v/>
      </c>
      <c r="C472" s="71"/>
      <c r="D472" s="66" t="str">
        <f t="shared" si="0"/>
        <v/>
      </c>
      <c r="E472" s="71"/>
      <c r="F472" s="66" t="str">
        <f t="shared" si="59"/>
        <v/>
      </c>
      <c r="G472" s="71"/>
      <c r="H472" s="66" t="str">
        <f t="shared" si="58"/>
        <v/>
      </c>
      <c r="I472" s="59"/>
      <c r="J472" s="59"/>
      <c r="K472" s="59"/>
      <c r="L472" s="44"/>
      <c r="M472" s="44" t="str">
        <f t="shared" si="3"/>
        <v/>
      </c>
      <c r="N472" s="44" t="str">
        <f t="shared" si="4"/>
        <v/>
      </c>
      <c r="O472" s="44"/>
      <c r="P472" s="44"/>
      <c r="Q472" s="44"/>
      <c r="R472" s="44"/>
      <c r="S472" s="44"/>
      <c r="T472" s="44"/>
      <c r="U472" s="44"/>
      <c r="V472" s="44"/>
      <c r="W472" s="44"/>
      <c r="X472" s="44"/>
      <c r="Y472" s="44"/>
      <c r="Z472" s="44"/>
    </row>
    <row r="473" spans="1:26" ht="15.75" customHeight="1">
      <c r="A473" s="66" t="str">
        <f>IF(C473="","",VLOOKUP('Opći dio'!$C$3,'Opći dio'!$L$6:$U$137,10,FALSE))</f>
        <v/>
      </c>
      <c r="B473" s="66" t="str">
        <f>IF(C473="","",VLOOKUP('Opći dio'!$C$3,'Opći dio'!$L$6:$U$137,9,FALSE))</f>
        <v/>
      </c>
      <c r="C473" s="71"/>
      <c r="D473" s="66" t="str">
        <f t="shared" si="0"/>
        <v/>
      </c>
      <c r="E473" s="71"/>
      <c r="F473" s="66" t="str">
        <f t="shared" si="59"/>
        <v/>
      </c>
      <c r="G473" s="71"/>
      <c r="H473" s="66" t="str">
        <f t="shared" si="58"/>
        <v/>
      </c>
      <c r="I473" s="59"/>
      <c r="J473" s="59"/>
      <c r="K473" s="59"/>
      <c r="L473" s="44"/>
      <c r="M473" s="44" t="str">
        <f t="shared" si="3"/>
        <v/>
      </c>
      <c r="N473" s="44" t="str">
        <f t="shared" si="4"/>
        <v/>
      </c>
      <c r="O473" s="44"/>
      <c r="P473" s="44"/>
      <c r="Q473" s="44"/>
      <c r="R473" s="44"/>
      <c r="S473" s="44"/>
      <c r="T473" s="44"/>
      <c r="U473" s="44"/>
      <c r="V473" s="44"/>
      <c r="W473" s="44"/>
      <c r="X473" s="44"/>
      <c r="Y473" s="44"/>
      <c r="Z473" s="44"/>
    </row>
    <row r="474" spans="1:26" ht="15.75" customHeight="1">
      <c r="A474" s="66" t="str">
        <f>IF(C474="","",VLOOKUP('Opći dio'!$C$3,'Opći dio'!$L$6:$U$137,10,FALSE))</f>
        <v/>
      </c>
      <c r="B474" s="66" t="str">
        <f>IF(C474="","",VLOOKUP('Opći dio'!$C$3,'Opći dio'!$L$6:$U$137,9,FALSE))</f>
        <v/>
      </c>
      <c r="C474" s="71"/>
      <c r="D474" s="66" t="str">
        <f t="shared" si="0"/>
        <v/>
      </c>
      <c r="E474" s="71"/>
      <c r="F474" s="66" t="str">
        <f t="shared" si="59"/>
        <v/>
      </c>
      <c r="G474" s="71"/>
      <c r="H474" s="66" t="str">
        <f t="shared" si="58"/>
        <v/>
      </c>
      <c r="I474" s="59"/>
      <c r="J474" s="59"/>
      <c r="K474" s="59"/>
      <c r="L474" s="44"/>
      <c r="M474" s="44" t="str">
        <f t="shared" si="3"/>
        <v/>
      </c>
      <c r="N474" s="44" t="str">
        <f t="shared" si="4"/>
        <v/>
      </c>
      <c r="O474" s="44"/>
      <c r="P474" s="44"/>
      <c r="Q474" s="44"/>
      <c r="R474" s="44"/>
      <c r="S474" s="44"/>
      <c r="T474" s="44"/>
      <c r="U474" s="44"/>
      <c r="V474" s="44"/>
      <c r="W474" s="44"/>
      <c r="X474" s="44"/>
      <c r="Y474" s="44"/>
      <c r="Z474" s="44"/>
    </row>
    <row r="475" spans="1:26" ht="15.75" customHeight="1">
      <c r="A475" s="66" t="str">
        <f>IF(C475="","",VLOOKUP('Opći dio'!$C$3,'Opći dio'!$L$6:$U$137,10,FALSE))</f>
        <v/>
      </c>
      <c r="B475" s="66" t="str">
        <f>IF(C475="","",VLOOKUP('Opći dio'!$C$3,'Opći dio'!$L$6:$U$137,9,FALSE))</f>
        <v/>
      </c>
      <c r="C475" s="71"/>
      <c r="D475" s="66" t="str">
        <f t="shared" si="0"/>
        <v/>
      </c>
      <c r="E475" s="71"/>
      <c r="F475" s="66" t="str">
        <f t="shared" si="59"/>
        <v/>
      </c>
      <c r="G475" s="71"/>
      <c r="H475" s="66" t="str">
        <f t="shared" si="58"/>
        <v/>
      </c>
      <c r="I475" s="59"/>
      <c r="J475" s="59"/>
      <c r="K475" s="59"/>
      <c r="L475" s="44"/>
      <c r="M475" s="44" t="str">
        <f t="shared" si="3"/>
        <v/>
      </c>
      <c r="N475" s="44" t="str">
        <f t="shared" si="4"/>
        <v/>
      </c>
      <c r="O475" s="44"/>
      <c r="P475" s="44"/>
      <c r="Q475" s="44"/>
      <c r="R475" s="44"/>
      <c r="S475" s="44"/>
      <c r="T475" s="44"/>
      <c r="U475" s="44"/>
      <c r="V475" s="44"/>
      <c r="W475" s="44"/>
      <c r="X475" s="44"/>
      <c r="Y475" s="44"/>
      <c r="Z475" s="44"/>
    </row>
    <row r="476" spans="1:26" ht="15.75" customHeight="1">
      <c r="A476" s="66" t="str">
        <f>IF(C476="","",VLOOKUP('Opći dio'!$C$3,'Opći dio'!$L$6:$U$137,10,FALSE))</f>
        <v/>
      </c>
      <c r="B476" s="66" t="str">
        <f>IF(C476="","",VLOOKUP('Opći dio'!$C$3,'Opći dio'!$L$6:$U$137,9,FALSE))</f>
        <v/>
      </c>
      <c r="C476" s="71"/>
      <c r="D476" s="66" t="str">
        <f t="shared" si="0"/>
        <v/>
      </c>
      <c r="E476" s="71"/>
      <c r="F476" s="66" t="str">
        <f t="shared" si="59"/>
        <v/>
      </c>
      <c r="G476" s="71"/>
      <c r="H476" s="66" t="str">
        <f t="shared" si="58"/>
        <v/>
      </c>
      <c r="I476" s="59"/>
      <c r="J476" s="59"/>
      <c r="K476" s="59"/>
      <c r="L476" s="44"/>
      <c r="M476" s="44" t="str">
        <f t="shared" si="3"/>
        <v/>
      </c>
      <c r="N476" s="44" t="str">
        <f t="shared" si="4"/>
        <v/>
      </c>
      <c r="O476" s="44"/>
      <c r="P476" s="44"/>
      <c r="Q476" s="44"/>
      <c r="R476" s="44"/>
      <c r="S476" s="44"/>
      <c r="T476" s="44"/>
      <c r="U476" s="44"/>
      <c r="V476" s="44"/>
      <c r="W476" s="44"/>
      <c r="X476" s="44"/>
      <c r="Y476" s="44"/>
      <c r="Z476" s="44"/>
    </row>
    <row r="477" spans="1:26" ht="15.75" customHeight="1">
      <c r="A477" s="66" t="str">
        <f>IF(C477="","",VLOOKUP('Opći dio'!$C$3,'Opći dio'!$L$6:$U$137,10,FALSE))</f>
        <v/>
      </c>
      <c r="B477" s="66" t="str">
        <f>IF(C477="","",VLOOKUP('Opći dio'!$C$3,'Opći dio'!$L$6:$U$137,9,FALSE))</f>
        <v/>
      </c>
      <c r="C477" s="71"/>
      <c r="D477" s="66" t="str">
        <f t="shared" si="0"/>
        <v/>
      </c>
      <c r="E477" s="71"/>
      <c r="F477" s="66" t="str">
        <f t="shared" si="59"/>
        <v/>
      </c>
      <c r="G477" s="71"/>
      <c r="H477" s="66" t="str">
        <f t="shared" si="58"/>
        <v/>
      </c>
      <c r="I477" s="59"/>
      <c r="J477" s="59"/>
      <c r="K477" s="59"/>
      <c r="L477" s="44"/>
      <c r="M477" s="44" t="str">
        <f t="shared" si="3"/>
        <v/>
      </c>
      <c r="N477" s="44" t="str">
        <f t="shared" si="4"/>
        <v/>
      </c>
      <c r="O477" s="44"/>
      <c r="P477" s="44"/>
      <c r="Q477" s="44"/>
      <c r="R477" s="44"/>
      <c r="S477" s="44"/>
      <c r="T477" s="44"/>
      <c r="U477" s="44"/>
      <c r="V477" s="44"/>
      <c r="W477" s="44"/>
      <c r="X477" s="44"/>
      <c r="Y477" s="44"/>
      <c r="Z477" s="44"/>
    </row>
    <row r="478" spans="1:26" ht="15.75" customHeight="1">
      <c r="A478" s="66" t="str">
        <f>IF(C478="","",VLOOKUP('Opći dio'!$C$3,'Opći dio'!$L$6:$U$137,10,FALSE))</f>
        <v/>
      </c>
      <c r="B478" s="66" t="str">
        <f>IF(C478="","",VLOOKUP('Opći dio'!$C$3,'Opći dio'!$L$6:$U$137,9,FALSE))</f>
        <v/>
      </c>
      <c r="C478" s="71"/>
      <c r="D478" s="66" t="str">
        <f t="shared" si="0"/>
        <v/>
      </c>
      <c r="E478" s="71"/>
      <c r="F478" s="66" t="str">
        <f t="shared" si="59"/>
        <v/>
      </c>
      <c r="G478" s="71"/>
      <c r="H478" s="66" t="str">
        <f t="shared" si="58"/>
        <v/>
      </c>
      <c r="I478" s="59"/>
      <c r="J478" s="59"/>
      <c r="K478" s="59"/>
      <c r="L478" s="44"/>
      <c r="M478" s="44" t="str">
        <f t="shared" si="3"/>
        <v/>
      </c>
      <c r="N478" s="44" t="str">
        <f t="shared" si="4"/>
        <v/>
      </c>
      <c r="O478" s="44"/>
      <c r="P478" s="44"/>
      <c r="Q478" s="44"/>
      <c r="R478" s="44"/>
      <c r="S478" s="44"/>
      <c r="T478" s="44"/>
      <c r="U478" s="44"/>
      <c r="V478" s="44"/>
      <c r="W478" s="44"/>
      <c r="X478" s="44"/>
      <c r="Y478" s="44"/>
      <c r="Z478" s="44"/>
    </row>
    <row r="479" spans="1:26" ht="15.75" customHeight="1">
      <c r="A479" s="66" t="str">
        <f>IF(C479="","",VLOOKUP('Opći dio'!$C$3,'Opći dio'!$L$6:$U$137,10,FALSE))</f>
        <v/>
      </c>
      <c r="B479" s="66" t="str">
        <f>IF(C479="","",VLOOKUP('Opći dio'!$C$3,'Opći dio'!$L$6:$U$137,9,FALSE))</f>
        <v/>
      </c>
      <c r="C479" s="71"/>
      <c r="D479" s="66" t="str">
        <f t="shared" si="0"/>
        <v/>
      </c>
      <c r="E479" s="71"/>
      <c r="F479" s="66" t="str">
        <f t="shared" si="59"/>
        <v/>
      </c>
      <c r="G479" s="71"/>
      <c r="H479" s="66" t="str">
        <f t="shared" si="58"/>
        <v/>
      </c>
      <c r="I479" s="59"/>
      <c r="J479" s="59"/>
      <c r="K479" s="59"/>
      <c r="L479" s="44"/>
      <c r="M479" s="44" t="str">
        <f t="shared" si="3"/>
        <v/>
      </c>
      <c r="N479" s="44" t="str">
        <f t="shared" si="4"/>
        <v/>
      </c>
      <c r="O479" s="44"/>
      <c r="P479" s="44"/>
      <c r="Q479" s="44"/>
      <c r="R479" s="44"/>
      <c r="S479" s="44"/>
      <c r="T479" s="44"/>
      <c r="U479" s="44"/>
      <c r="V479" s="44"/>
      <c r="W479" s="44"/>
      <c r="X479" s="44"/>
      <c r="Y479" s="44"/>
      <c r="Z479" s="44"/>
    </row>
    <row r="480" spans="1:26" ht="15.75" customHeight="1">
      <c r="A480" s="66" t="str">
        <f>IF(C480="","",VLOOKUP('Opći dio'!$C$3,'Opći dio'!$L$6:$U$137,10,FALSE))</f>
        <v/>
      </c>
      <c r="B480" s="66" t="str">
        <f>IF(C480="","",VLOOKUP('Opći dio'!$C$3,'Opći dio'!$L$6:$U$137,9,FALSE))</f>
        <v/>
      </c>
      <c r="C480" s="71"/>
      <c r="D480" s="66" t="str">
        <f t="shared" si="0"/>
        <v/>
      </c>
      <c r="E480" s="71"/>
      <c r="F480" s="66" t="str">
        <f t="shared" si="59"/>
        <v/>
      </c>
      <c r="G480" s="71"/>
      <c r="H480" s="66" t="str">
        <f t="shared" si="58"/>
        <v/>
      </c>
      <c r="I480" s="59"/>
      <c r="J480" s="59"/>
      <c r="K480" s="59"/>
      <c r="L480" s="44"/>
      <c r="M480" s="44" t="str">
        <f t="shared" si="3"/>
        <v/>
      </c>
      <c r="N480" s="44" t="str">
        <f t="shared" si="4"/>
        <v/>
      </c>
      <c r="O480" s="44"/>
      <c r="P480" s="44"/>
      <c r="Q480" s="44"/>
      <c r="R480" s="44"/>
      <c r="S480" s="44"/>
      <c r="T480" s="44"/>
      <c r="U480" s="44"/>
      <c r="V480" s="44"/>
      <c r="W480" s="44"/>
      <c r="X480" s="44"/>
      <c r="Y480" s="44"/>
      <c r="Z480" s="44"/>
    </row>
    <row r="481" spans="1:26" ht="15.75" customHeight="1">
      <c r="A481" s="44"/>
      <c r="B481" s="44"/>
      <c r="C481" s="44"/>
      <c r="D481" s="44"/>
      <c r="E481" s="44"/>
      <c r="F481" s="44"/>
      <c r="G481" s="44"/>
      <c r="H481" s="44"/>
      <c r="I481" s="190"/>
      <c r="J481" s="48"/>
      <c r="K481" s="48"/>
      <c r="L481" s="44"/>
      <c r="M481" s="44"/>
      <c r="N481" s="44"/>
      <c r="O481" s="44"/>
      <c r="P481" s="44"/>
      <c r="Q481" s="44"/>
      <c r="R481" s="44"/>
      <c r="S481" s="44"/>
      <c r="T481" s="44"/>
      <c r="U481" s="44"/>
      <c r="V481" s="44"/>
      <c r="W481" s="44"/>
      <c r="X481" s="44"/>
      <c r="Y481" s="44"/>
      <c r="Z481" s="44"/>
    </row>
    <row r="482" spans="1:26" ht="15.75" hidden="1" customHeight="1">
      <c r="A482" s="44"/>
      <c r="B482" s="44"/>
      <c r="C482" s="44"/>
      <c r="D482" s="44"/>
      <c r="E482" s="44"/>
      <c r="F482" s="44"/>
      <c r="G482" s="44"/>
      <c r="H482" s="44"/>
      <c r="I482" s="190"/>
      <c r="J482" s="48"/>
      <c r="K482" s="48"/>
      <c r="L482" s="44"/>
      <c r="M482" s="44"/>
      <c r="N482" s="44"/>
      <c r="O482" s="44"/>
      <c r="P482" s="44"/>
      <c r="Q482" s="44"/>
      <c r="R482" s="44"/>
      <c r="S482" s="44"/>
      <c r="T482" s="44"/>
      <c r="U482" s="44"/>
      <c r="V482" s="44"/>
      <c r="W482" s="44"/>
      <c r="X482" s="44"/>
      <c r="Y482" s="44"/>
      <c r="Z482" s="44"/>
    </row>
    <row r="483" spans="1:26" ht="15.75" hidden="1" customHeight="1">
      <c r="A483" s="44"/>
      <c r="B483" s="44"/>
      <c r="C483" s="44"/>
      <c r="D483" s="44"/>
      <c r="E483" s="44"/>
      <c r="F483" s="44"/>
      <c r="G483" s="44"/>
      <c r="H483" s="44"/>
      <c r="I483" s="190"/>
      <c r="J483" s="48"/>
      <c r="K483" s="48"/>
      <c r="L483" s="44"/>
      <c r="M483" s="44"/>
      <c r="N483" s="44"/>
      <c r="O483" s="44"/>
      <c r="P483" s="44"/>
      <c r="Q483" s="44"/>
      <c r="R483" s="44"/>
      <c r="S483" s="44"/>
      <c r="T483" s="44"/>
      <c r="U483" s="44"/>
      <c r="V483" s="44"/>
      <c r="W483" s="44"/>
      <c r="X483" s="44"/>
      <c r="Y483" s="44"/>
      <c r="Z483" s="44"/>
    </row>
    <row r="484" spans="1:26" ht="15.75" hidden="1" customHeight="1">
      <c r="A484" s="44"/>
      <c r="B484" s="44"/>
      <c r="C484" s="44"/>
      <c r="D484" s="44"/>
      <c r="E484" s="44"/>
      <c r="F484" s="44"/>
      <c r="G484" s="44"/>
      <c r="H484" s="44"/>
      <c r="I484" s="190"/>
      <c r="J484" s="48"/>
      <c r="K484" s="48"/>
      <c r="L484" s="44"/>
      <c r="M484" s="44"/>
      <c r="N484" s="44"/>
      <c r="O484" s="44"/>
      <c r="P484" s="44"/>
      <c r="Q484" s="44"/>
      <c r="R484" s="44"/>
      <c r="S484" s="44"/>
      <c r="T484" s="44"/>
      <c r="U484" s="44"/>
      <c r="V484" s="44"/>
      <c r="W484" s="44"/>
      <c r="X484" s="44"/>
      <c r="Y484" s="44"/>
      <c r="Z484" s="44"/>
    </row>
    <row r="485" spans="1:26" ht="15.75" hidden="1" customHeight="1">
      <c r="A485" s="44"/>
      <c r="B485" s="44"/>
      <c r="C485" s="44"/>
      <c r="D485" s="44"/>
      <c r="E485" s="44"/>
      <c r="F485" s="44"/>
      <c r="G485" s="44"/>
      <c r="H485" s="44"/>
      <c r="I485" s="190"/>
      <c r="J485" s="48"/>
      <c r="K485" s="48"/>
      <c r="L485" s="44"/>
      <c r="M485" s="44"/>
      <c r="N485" s="44"/>
      <c r="O485" s="44"/>
      <c r="P485" s="44"/>
      <c r="Q485" s="44"/>
      <c r="R485" s="44"/>
      <c r="S485" s="44"/>
      <c r="T485" s="44"/>
      <c r="U485" s="44"/>
      <c r="V485" s="44"/>
      <c r="W485" s="44"/>
      <c r="X485" s="44"/>
      <c r="Y485" s="44"/>
      <c r="Z485" s="44"/>
    </row>
    <row r="486" spans="1:26" ht="15.75" hidden="1" customHeight="1">
      <c r="A486" s="44"/>
      <c r="B486" s="44"/>
      <c r="C486" s="44"/>
      <c r="D486" s="44"/>
      <c r="E486" s="44"/>
      <c r="F486" s="44"/>
      <c r="G486" s="44"/>
      <c r="H486" s="44"/>
      <c r="I486" s="190"/>
      <c r="J486" s="48"/>
      <c r="K486" s="48"/>
      <c r="L486" s="44"/>
      <c r="M486" s="44"/>
      <c r="N486" s="44"/>
      <c r="O486" s="44"/>
      <c r="P486" s="44"/>
      <c r="Q486" s="44"/>
      <c r="R486" s="44"/>
      <c r="S486" s="44"/>
      <c r="T486" s="44"/>
      <c r="U486" s="44"/>
      <c r="V486" s="44"/>
      <c r="W486" s="44"/>
      <c r="X486" s="44"/>
      <c r="Y486" s="44"/>
      <c r="Z486" s="44"/>
    </row>
    <row r="487" spans="1:26" ht="15.75" customHeight="1">
      <c r="A487" s="44"/>
      <c r="B487" s="44"/>
      <c r="C487" s="44"/>
      <c r="D487" s="44"/>
      <c r="E487" s="44"/>
      <c r="F487" s="44"/>
      <c r="G487" s="44"/>
      <c r="H487" s="44"/>
      <c r="I487" s="190"/>
      <c r="J487" s="48"/>
      <c r="K487" s="48"/>
      <c r="L487" s="44"/>
      <c r="M487" s="44"/>
      <c r="N487" s="44"/>
      <c r="O487" s="44"/>
      <c r="P487" s="44"/>
      <c r="Q487" s="44"/>
      <c r="R487" s="44"/>
      <c r="S487" s="44"/>
      <c r="T487" s="44"/>
      <c r="U487" s="44"/>
      <c r="V487" s="44"/>
      <c r="W487" s="44"/>
      <c r="X487" s="44"/>
      <c r="Y487" s="44"/>
      <c r="Z487" s="44"/>
    </row>
    <row r="488" spans="1:26" ht="15.75" customHeight="1">
      <c r="A488" s="44"/>
      <c r="B488" s="44"/>
      <c r="C488" s="44"/>
      <c r="D488" s="44"/>
      <c r="E488" s="44"/>
      <c r="F488" s="44"/>
      <c r="G488" s="44"/>
      <c r="H488" s="44"/>
      <c r="I488" s="190"/>
      <c r="J488" s="48"/>
      <c r="K488" s="48"/>
      <c r="L488" s="44"/>
      <c r="M488" s="44"/>
      <c r="N488" s="44"/>
      <c r="O488" s="44"/>
      <c r="P488" s="44"/>
      <c r="Q488" s="44"/>
      <c r="R488" s="44"/>
      <c r="S488" s="44"/>
      <c r="T488" s="44"/>
      <c r="U488" s="44"/>
      <c r="V488" s="44"/>
      <c r="W488" s="44"/>
      <c r="X488" s="44"/>
      <c r="Y488" s="44"/>
      <c r="Z488" s="44"/>
    </row>
    <row r="489" spans="1:26" ht="15.75" customHeight="1">
      <c r="A489" s="44"/>
      <c r="B489" s="44"/>
      <c r="C489" s="44"/>
      <c r="D489" s="44"/>
      <c r="E489" s="44"/>
      <c r="F489" s="44"/>
      <c r="G489" s="44"/>
      <c r="H489" s="44"/>
      <c r="I489" s="190"/>
      <c r="J489" s="48"/>
      <c r="K489" s="48"/>
      <c r="L489" s="44"/>
      <c r="M489" s="44"/>
      <c r="N489" s="44"/>
      <c r="O489" s="44"/>
      <c r="P489" s="44"/>
      <c r="Q489" s="44"/>
      <c r="R489" s="44"/>
      <c r="S489" s="44"/>
      <c r="T489" s="44"/>
      <c r="U489" s="44"/>
      <c r="V489" s="44"/>
      <c r="W489" s="44"/>
      <c r="X489" s="44"/>
      <c r="Y489" s="44"/>
      <c r="Z489" s="44"/>
    </row>
    <row r="490" spans="1:26" ht="15.75" customHeight="1">
      <c r="A490" s="44"/>
      <c r="B490" s="44"/>
      <c r="C490" s="44"/>
      <c r="D490" s="44"/>
      <c r="E490" s="44"/>
      <c r="F490" s="44"/>
      <c r="G490" s="44"/>
      <c r="H490" s="44"/>
      <c r="I490" s="190"/>
      <c r="J490" s="48"/>
      <c r="K490" s="48"/>
      <c r="L490" s="44"/>
      <c r="M490" s="44"/>
      <c r="N490" s="44"/>
      <c r="O490" s="44"/>
      <c r="P490" s="44"/>
      <c r="Q490" s="44"/>
      <c r="R490" s="44"/>
      <c r="S490" s="44"/>
      <c r="T490" s="44"/>
      <c r="U490" s="44"/>
      <c r="V490" s="44"/>
      <c r="W490" s="44"/>
      <c r="X490" s="44"/>
      <c r="Y490" s="44"/>
      <c r="Z490" s="44"/>
    </row>
    <row r="491" spans="1:26" ht="15.75" customHeight="1">
      <c r="A491" s="44"/>
      <c r="B491" s="44"/>
      <c r="C491" s="44"/>
      <c r="D491" s="44"/>
      <c r="E491" s="44"/>
      <c r="F491" s="44"/>
      <c r="G491" s="44"/>
      <c r="H491" s="44"/>
      <c r="I491" s="190"/>
      <c r="J491" s="48"/>
      <c r="K491" s="48"/>
      <c r="L491" s="44"/>
      <c r="M491" s="44"/>
      <c r="N491" s="44"/>
      <c r="O491" s="44"/>
      <c r="P491" s="44"/>
      <c r="Q491" s="44"/>
      <c r="R491" s="44"/>
      <c r="S491" s="44"/>
      <c r="T491" s="44"/>
      <c r="U491" s="44"/>
      <c r="V491" s="44"/>
      <c r="W491" s="44"/>
      <c r="X491" s="44"/>
      <c r="Y491" s="44"/>
      <c r="Z491" s="44"/>
    </row>
    <row r="492" spans="1:26" ht="15.75" customHeight="1">
      <c r="A492" s="44"/>
      <c r="B492" s="44"/>
      <c r="C492" s="44"/>
      <c r="D492" s="44"/>
      <c r="E492" s="44"/>
      <c r="F492" s="44"/>
      <c r="G492" s="44"/>
      <c r="H492" s="44"/>
      <c r="I492" s="190"/>
      <c r="J492" s="48"/>
      <c r="K492" s="48"/>
      <c r="L492" s="44"/>
      <c r="M492" s="44"/>
      <c r="N492" s="44"/>
      <c r="O492" s="44"/>
      <c r="P492" s="44"/>
      <c r="Q492" s="44"/>
      <c r="R492" s="44"/>
      <c r="S492" s="44"/>
      <c r="T492" s="44"/>
      <c r="U492" s="44"/>
      <c r="V492" s="44"/>
      <c r="W492" s="44"/>
      <c r="X492" s="44"/>
      <c r="Y492" s="44"/>
      <c r="Z492" s="44"/>
    </row>
    <row r="493" spans="1:26" ht="15.75" customHeight="1">
      <c r="A493" s="44"/>
      <c r="B493" s="44"/>
      <c r="C493" s="44"/>
      <c r="D493" s="44"/>
      <c r="E493" s="44"/>
      <c r="F493" s="44"/>
      <c r="G493" s="44"/>
      <c r="H493" s="44"/>
      <c r="I493" s="190"/>
      <c r="J493" s="48"/>
      <c r="K493" s="48"/>
      <c r="L493" s="44"/>
      <c r="M493" s="44"/>
      <c r="N493" s="44"/>
      <c r="O493" s="44"/>
      <c r="P493" s="44"/>
      <c r="Q493" s="44"/>
      <c r="R493" s="44"/>
      <c r="S493" s="44"/>
      <c r="T493" s="44"/>
      <c r="U493" s="44"/>
      <c r="V493" s="44"/>
      <c r="W493" s="44"/>
      <c r="X493" s="44"/>
      <c r="Y493" s="44"/>
      <c r="Z493" s="44"/>
    </row>
    <row r="494" spans="1:26" ht="15.75" customHeight="1">
      <c r="A494" s="44"/>
      <c r="B494" s="44"/>
      <c r="C494" s="44"/>
      <c r="D494" s="44"/>
      <c r="E494" s="44"/>
      <c r="F494" s="44"/>
      <c r="G494" s="44"/>
      <c r="H494" s="44"/>
      <c r="I494" s="190"/>
      <c r="J494" s="48"/>
      <c r="K494" s="48"/>
      <c r="L494" s="44"/>
      <c r="M494" s="44"/>
      <c r="N494" s="44"/>
      <c r="O494" s="44"/>
      <c r="P494" s="44"/>
      <c r="Q494" s="44"/>
      <c r="R494" s="44"/>
      <c r="S494" s="44"/>
      <c r="T494" s="44"/>
      <c r="U494" s="44"/>
      <c r="V494" s="44"/>
      <c r="W494" s="44"/>
      <c r="X494" s="44"/>
      <c r="Y494" s="44"/>
      <c r="Z494" s="44"/>
    </row>
    <row r="495" spans="1:26" ht="15.75" customHeight="1">
      <c r="A495" s="44"/>
      <c r="B495" s="44"/>
      <c r="C495" s="44"/>
      <c r="D495" s="44"/>
      <c r="E495" s="44"/>
      <c r="F495" s="44"/>
      <c r="G495" s="44"/>
      <c r="H495" s="44"/>
      <c r="I495" s="190"/>
      <c r="J495" s="48"/>
      <c r="K495" s="48"/>
      <c r="L495" s="44"/>
      <c r="M495" s="44"/>
      <c r="N495" s="44"/>
      <c r="O495" s="44"/>
      <c r="P495" s="44"/>
      <c r="Q495" s="44"/>
      <c r="R495" s="44"/>
      <c r="S495" s="44"/>
      <c r="T495" s="44"/>
      <c r="U495" s="44"/>
      <c r="V495" s="44"/>
      <c r="W495" s="44"/>
      <c r="X495" s="44"/>
      <c r="Y495" s="44"/>
      <c r="Z495" s="44"/>
    </row>
    <row r="496" spans="1:26" ht="15.75" customHeight="1">
      <c r="A496" s="44"/>
      <c r="B496" s="44"/>
      <c r="C496" s="44"/>
      <c r="D496" s="44"/>
      <c r="E496" s="44"/>
      <c r="F496" s="44"/>
      <c r="G496" s="44"/>
      <c r="H496" s="44"/>
      <c r="I496" s="190"/>
      <c r="J496" s="48"/>
      <c r="K496" s="48"/>
      <c r="L496" s="44"/>
      <c r="M496" s="44"/>
      <c r="N496" s="44"/>
      <c r="O496" s="44"/>
      <c r="P496" s="44"/>
      <c r="Q496" s="44"/>
      <c r="R496" s="44"/>
      <c r="S496" s="44"/>
      <c r="T496" s="44"/>
      <c r="U496" s="44"/>
      <c r="V496" s="44"/>
      <c r="W496" s="44"/>
      <c r="X496" s="44"/>
      <c r="Y496" s="44"/>
      <c r="Z496" s="44"/>
    </row>
    <row r="497" spans="1:26" ht="15.75" customHeight="1">
      <c r="A497" s="44"/>
      <c r="B497" s="44"/>
      <c r="C497" s="44"/>
      <c r="D497" s="44"/>
      <c r="E497" s="44"/>
      <c r="F497" s="44"/>
      <c r="G497" s="44"/>
      <c r="H497" s="44"/>
      <c r="I497" s="190"/>
      <c r="J497" s="48"/>
      <c r="K497" s="48"/>
      <c r="L497" s="44"/>
      <c r="M497" s="44"/>
      <c r="N497" s="44"/>
      <c r="O497" s="44"/>
      <c r="P497" s="44"/>
      <c r="Q497" s="44"/>
      <c r="R497" s="44"/>
      <c r="S497" s="44"/>
      <c r="T497" s="44"/>
      <c r="U497" s="44"/>
      <c r="V497" s="44"/>
      <c r="W497" s="44"/>
      <c r="X497" s="44"/>
      <c r="Y497" s="44"/>
      <c r="Z497" s="44"/>
    </row>
    <row r="498" spans="1:26" ht="15.75" customHeight="1">
      <c r="A498" s="44"/>
      <c r="B498" s="44"/>
      <c r="C498" s="44"/>
      <c r="D498" s="44"/>
      <c r="E498" s="44"/>
      <c r="F498" s="44"/>
      <c r="G498" s="44"/>
      <c r="H498" s="44"/>
      <c r="I498" s="190"/>
      <c r="J498" s="48"/>
      <c r="K498" s="48"/>
      <c r="L498" s="44"/>
      <c r="M498" s="44"/>
      <c r="N498" s="44"/>
      <c r="O498" s="44"/>
      <c r="P498" s="44"/>
      <c r="Q498" s="44"/>
      <c r="R498" s="44"/>
      <c r="S498" s="44"/>
      <c r="T498" s="44"/>
      <c r="U498" s="44"/>
      <c r="V498" s="44"/>
      <c r="W498" s="44"/>
      <c r="X498" s="44"/>
      <c r="Y498" s="44"/>
      <c r="Z498" s="44"/>
    </row>
    <row r="499" spans="1:26" ht="15.75" customHeight="1">
      <c r="A499" s="44"/>
      <c r="B499" s="44"/>
      <c r="C499" s="44"/>
      <c r="D499" s="44"/>
      <c r="E499" s="44"/>
      <c r="F499" s="44"/>
      <c r="G499" s="44"/>
      <c r="H499" s="44"/>
      <c r="I499" s="190"/>
      <c r="J499" s="48"/>
      <c r="K499" s="48"/>
      <c r="L499" s="44"/>
      <c r="M499" s="44"/>
      <c r="N499" s="44"/>
      <c r="O499" s="44"/>
      <c r="P499" s="44"/>
      <c r="Q499" s="44"/>
      <c r="R499" s="44"/>
      <c r="S499" s="44"/>
      <c r="T499" s="44"/>
      <c r="U499" s="44"/>
      <c r="V499" s="44"/>
      <c r="W499" s="44"/>
      <c r="X499" s="44"/>
      <c r="Y499" s="44"/>
      <c r="Z499" s="44"/>
    </row>
    <row r="500" spans="1:26" ht="15.75" customHeight="1">
      <c r="A500" s="44"/>
      <c r="B500" s="44"/>
      <c r="C500" s="44"/>
      <c r="D500" s="44"/>
      <c r="E500" s="44"/>
      <c r="F500" s="44"/>
      <c r="G500" s="44"/>
      <c r="H500" s="44"/>
      <c r="I500" s="190"/>
      <c r="J500" s="48"/>
      <c r="K500" s="48"/>
      <c r="L500" s="44"/>
      <c r="M500" s="44"/>
      <c r="N500" s="44"/>
      <c r="O500" s="44"/>
      <c r="P500" s="44"/>
      <c r="Q500" s="44"/>
      <c r="R500" s="44"/>
      <c r="S500" s="44"/>
      <c r="T500" s="44"/>
      <c r="U500" s="44"/>
      <c r="V500" s="44"/>
      <c r="W500" s="44"/>
      <c r="X500" s="44"/>
      <c r="Y500" s="44"/>
      <c r="Z500" s="44"/>
    </row>
    <row r="501" spans="1:26" ht="15.75" customHeight="1">
      <c r="A501" s="44"/>
      <c r="B501" s="44"/>
      <c r="C501" s="44"/>
      <c r="D501" s="44"/>
      <c r="E501" s="44"/>
      <c r="F501" s="44"/>
      <c r="G501" s="44"/>
      <c r="H501" s="44"/>
      <c r="I501" s="190"/>
      <c r="J501" s="48"/>
      <c r="K501" s="48"/>
      <c r="L501" s="44"/>
      <c r="M501" s="44"/>
      <c r="N501" s="44"/>
      <c r="O501" s="44"/>
      <c r="P501" s="44"/>
      <c r="Q501" s="44"/>
      <c r="R501" s="44"/>
      <c r="S501" s="44"/>
      <c r="T501" s="44"/>
      <c r="U501" s="44"/>
      <c r="V501" s="44"/>
      <c r="W501" s="44"/>
      <c r="X501" s="44"/>
      <c r="Y501" s="44"/>
      <c r="Z501" s="44"/>
    </row>
    <row r="502" spans="1:26" ht="15.75" customHeight="1">
      <c r="A502" s="44"/>
      <c r="B502" s="44"/>
      <c r="C502" s="44"/>
      <c r="D502" s="44"/>
      <c r="E502" s="44"/>
      <c r="F502" s="44"/>
      <c r="G502" s="44"/>
      <c r="H502" s="44"/>
      <c r="I502" s="190"/>
      <c r="J502" s="48"/>
      <c r="K502" s="48"/>
      <c r="L502" s="44"/>
      <c r="M502" s="44"/>
      <c r="N502" s="44"/>
      <c r="O502" s="44"/>
      <c r="P502" s="44"/>
      <c r="Q502" s="44"/>
      <c r="R502" s="44"/>
      <c r="S502" s="44"/>
      <c r="T502" s="44"/>
      <c r="U502" s="44"/>
      <c r="V502" s="44"/>
      <c r="W502" s="44"/>
      <c r="X502" s="44"/>
      <c r="Y502" s="44"/>
      <c r="Z502" s="44"/>
    </row>
    <row r="503" spans="1:26" ht="15.75" customHeight="1">
      <c r="A503" s="44"/>
      <c r="B503" s="44"/>
      <c r="C503" s="44"/>
      <c r="D503" s="44"/>
      <c r="E503" s="44"/>
      <c r="F503" s="44"/>
      <c r="G503" s="44"/>
      <c r="H503" s="44"/>
      <c r="I503" s="190"/>
      <c r="J503" s="48"/>
      <c r="K503" s="48"/>
      <c r="L503" s="44"/>
      <c r="M503" s="44"/>
      <c r="N503" s="44"/>
      <c r="O503" s="44"/>
      <c r="P503" s="44"/>
      <c r="Q503" s="44"/>
      <c r="R503" s="44"/>
      <c r="S503" s="44"/>
      <c r="T503" s="44"/>
      <c r="U503" s="44"/>
      <c r="V503" s="44"/>
      <c r="W503" s="44"/>
      <c r="X503" s="44"/>
      <c r="Y503" s="44"/>
      <c r="Z503" s="44"/>
    </row>
    <row r="504" spans="1:26" ht="15.75" customHeight="1">
      <c r="A504" s="44"/>
      <c r="B504" s="44"/>
      <c r="C504" s="44"/>
      <c r="D504" s="44"/>
      <c r="E504" s="44"/>
      <c r="F504" s="44"/>
      <c r="G504" s="44"/>
      <c r="H504" s="44"/>
      <c r="I504" s="190"/>
      <c r="J504" s="48"/>
      <c r="K504" s="48"/>
      <c r="L504" s="44"/>
      <c r="M504" s="44"/>
      <c r="N504" s="44"/>
      <c r="O504" s="44"/>
      <c r="P504" s="44"/>
      <c r="Q504" s="44"/>
      <c r="R504" s="44"/>
      <c r="S504" s="44"/>
      <c r="T504" s="44"/>
      <c r="U504" s="44"/>
      <c r="V504" s="44"/>
      <c r="W504" s="44"/>
      <c r="X504" s="44"/>
      <c r="Y504" s="44"/>
      <c r="Z504" s="44"/>
    </row>
    <row r="505" spans="1:26" ht="15.75" customHeight="1">
      <c r="A505" s="44"/>
      <c r="B505" s="44"/>
      <c r="C505" s="44"/>
      <c r="D505" s="44"/>
      <c r="E505" s="44"/>
      <c r="F505" s="44"/>
      <c r="G505" s="44"/>
      <c r="H505" s="44"/>
      <c r="I505" s="190"/>
      <c r="J505" s="48"/>
      <c r="K505" s="48"/>
      <c r="L505" s="44"/>
      <c r="M505" s="44"/>
      <c r="N505" s="44"/>
      <c r="O505" s="44"/>
      <c r="P505" s="44"/>
      <c r="Q505" s="44"/>
      <c r="R505" s="44"/>
      <c r="S505" s="44"/>
      <c r="T505" s="44"/>
      <c r="U505" s="44"/>
      <c r="V505" s="44"/>
      <c r="W505" s="44"/>
      <c r="X505" s="44"/>
      <c r="Y505" s="44"/>
      <c r="Z505" s="44"/>
    </row>
    <row r="506" spans="1:26" ht="15.75" customHeight="1">
      <c r="A506" s="44"/>
      <c r="B506" s="44"/>
      <c r="C506" s="44"/>
      <c r="D506" s="44"/>
      <c r="E506" s="44"/>
      <c r="F506" s="44"/>
      <c r="G506" s="44"/>
      <c r="H506" s="44"/>
      <c r="I506" s="190"/>
      <c r="J506" s="48"/>
      <c r="K506" s="48"/>
      <c r="L506" s="44"/>
      <c r="M506" s="44"/>
      <c r="N506" s="44"/>
      <c r="O506" s="44"/>
      <c r="P506" s="44"/>
      <c r="Q506" s="44"/>
      <c r="R506" s="44"/>
      <c r="S506" s="44"/>
      <c r="T506" s="44"/>
      <c r="U506" s="44"/>
      <c r="V506" s="44"/>
      <c r="W506" s="44"/>
      <c r="X506" s="44"/>
      <c r="Y506" s="44"/>
      <c r="Z506" s="44"/>
    </row>
    <row r="507" spans="1:26" ht="15.75" customHeight="1">
      <c r="A507" s="44"/>
      <c r="B507" s="44"/>
      <c r="C507" s="44"/>
      <c r="D507" s="44"/>
      <c r="E507" s="44"/>
      <c r="F507" s="44"/>
      <c r="G507" s="44"/>
      <c r="H507" s="44"/>
      <c r="I507" s="190"/>
      <c r="J507" s="48"/>
      <c r="K507" s="48"/>
      <c r="L507" s="44"/>
      <c r="M507" s="44"/>
      <c r="N507" s="44"/>
      <c r="O507" s="44"/>
      <c r="P507" s="44"/>
      <c r="Q507" s="44"/>
      <c r="R507" s="44"/>
      <c r="S507" s="44"/>
      <c r="T507" s="44"/>
      <c r="U507" s="44"/>
      <c r="V507" s="44"/>
      <c r="W507" s="44"/>
      <c r="X507" s="44"/>
      <c r="Y507" s="44"/>
      <c r="Z507" s="44"/>
    </row>
    <row r="508" spans="1:26" ht="15.75" customHeight="1">
      <c r="A508" s="44"/>
      <c r="B508" s="44"/>
      <c r="C508" s="44"/>
      <c r="D508" s="44"/>
      <c r="E508" s="44"/>
      <c r="F508" s="44"/>
      <c r="G508" s="44"/>
      <c r="H508" s="44"/>
      <c r="I508" s="190"/>
      <c r="J508" s="48"/>
      <c r="K508" s="48"/>
      <c r="L508" s="44"/>
      <c r="M508" s="44"/>
      <c r="N508" s="44"/>
      <c r="O508" s="44"/>
      <c r="P508" s="44"/>
      <c r="Q508" s="44"/>
      <c r="R508" s="44"/>
      <c r="S508" s="44"/>
      <c r="T508" s="44"/>
      <c r="U508" s="44"/>
      <c r="V508" s="44"/>
      <c r="W508" s="44"/>
      <c r="X508" s="44"/>
      <c r="Y508" s="44"/>
      <c r="Z508" s="44"/>
    </row>
    <row r="509" spans="1:26" ht="15.75" customHeight="1">
      <c r="A509" s="44"/>
      <c r="B509" s="44"/>
      <c r="C509" s="44"/>
      <c r="D509" s="44"/>
      <c r="E509" s="44"/>
      <c r="F509" s="44"/>
      <c r="G509" s="44"/>
      <c r="H509" s="44"/>
      <c r="I509" s="190"/>
      <c r="J509" s="48"/>
      <c r="K509" s="48"/>
      <c r="L509" s="44"/>
      <c r="M509" s="44"/>
      <c r="N509" s="44"/>
      <c r="O509" s="44"/>
      <c r="P509" s="44"/>
      <c r="Q509" s="44"/>
      <c r="R509" s="44"/>
      <c r="S509" s="44"/>
      <c r="T509" s="44"/>
      <c r="U509" s="44"/>
      <c r="V509" s="44"/>
      <c r="W509" s="44"/>
      <c r="X509" s="44"/>
      <c r="Y509" s="44"/>
      <c r="Z509" s="44"/>
    </row>
    <row r="510" spans="1:26" ht="15.75" customHeight="1">
      <c r="A510" s="44"/>
      <c r="B510" s="44"/>
      <c r="C510" s="44"/>
      <c r="D510" s="44"/>
      <c r="E510" s="44"/>
      <c r="F510" s="44"/>
      <c r="G510" s="44"/>
      <c r="H510" s="44"/>
      <c r="I510" s="190"/>
      <c r="J510" s="48"/>
      <c r="K510" s="48"/>
      <c r="L510" s="44"/>
      <c r="M510" s="44"/>
      <c r="N510" s="44"/>
      <c r="O510" s="44"/>
      <c r="P510" s="44"/>
      <c r="Q510" s="44"/>
      <c r="R510" s="44"/>
      <c r="S510" s="44"/>
      <c r="T510" s="44"/>
      <c r="U510" s="44"/>
      <c r="V510" s="44"/>
      <c r="W510" s="44"/>
      <c r="X510" s="44"/>
      <c r="Y510" s="44"/>
      <c r="Z510" s="44"/>
    </row>
    <row r="511" spans="1:26" ht="15.75" customHeight="1">
      <c r="A511" s="44"/>
      <c r="B511" s="44"/>
      <c r="C511" s="44"/>
      <c r="D511" s="44"/>
      <c r="E511" s="44"/>
      <c r="F511" s="44"/>
      <c r="G511" s="44"/>
      <c r="H511" s="44"/>
      <c r="I511" s="190"/>
      <c r="J511" s="48"/>
      <c r="K511" s="48"/>
      <c r="L511" s="44"/>
      <c r="M511" s="44"/>
      <c r="N511" s="44"/>
      <c r="O511" s="44"/>
      <c r="P511" s="44"/>
      <c r="Q511" s="44"/>
      <c r="R511" s="44"/>
      <c r="S511" s="44"/>
      <c r="T511" s="44"/>
      <c r="U511" s="44"/>
      <c r="V511" s="44"/>
      <c r="W511" s="44"/>
      <c r="X511" s="44"/>
      <c r="Y511" s="44"/>
      <c r="Z511" s="44"/>
    </row>
    <row r="512" spans="1:26" ht="15.75" customHeight="1">
      <c r="A512" s="44"/>
      <c r="B512" s="44"/>
      <c r="C512" s="44"/>
      <c r="D512" s="44"/>
      <c r="E512" s="44"/>
      <c r="F512" s="44"/>
      <c r="G512" s="44"/>
      <c r="H512" s="44"/>
      <c r="I512" s="190"/>
      <c r="J512" s="48"/>
      <c r="K512" s="48"/>
      <c r="L512" s="44"/>
      <c r="M512" s="44"/>
      <c r="N512" s="44"/>
      <c r="O512" s="44"/>
      <c r="P512" s="44"/>
      <c r="Q512" s="44"/>
      <c r="R512" s="44"/>
      <c r="S512" s="44"/>
      <c r="T512" s="44"/>
      <c r="U512" s="44"/>
      <c r="V512" s="44"/>
      <c r="W512" s="44"/>
      <c r="X512" s="44"/>
      <c r="Y512" s="44"/>
      <c r="Z512" s="44"/>
    </row>
    <row r="513" spans="1:26" ht="15.75" customHeight="1">
      <c r="A513" s="44"/>
      <c r="B513" s="44"/>
      <c r="C513" s="44"/>
      <c r="D513" s="44"/>
      <c r="E513" s="44"/>
      <c r="F513" s="44"/>
      <c r="G513" s="44"/>
      <c r="H513" s="44"/>
      <c r="I513" s="190"/>
      <c r="J513" s="48"/>
      <c r="K513" s="48"/>
      <c r="L513" s="44"/>
      <c r="M513" s="44"/>
      <c r="N513" s="44"/>
      <c r="O513" s="44"/>
      <c r="P513" s="44"/>
      <c r="Q513" s="44"/>
      <c r="R513" s="44"/>
      <c r="S513" s="44"/>
      <c r="T513" s="44"/>
      <c r="U513" s="44"/>
      <c r="V513" s="44"/>
      <c r="W513" s="44"/>
      <c r="X513" s="44"/>
      <c r="Y513" s="44"/>
      <c r="Z513" s="44"/>
    </row>
    <row r="514" spans="1:26" ht="15.75" customHeight="1">
      <c r="A514" s="44"/>
      <c r="B514" s="44"/>
      <c r="C514" s="44"/>
      <c r="D514" s="44"/>
      <c r="E514" s="44"/>
      <c r="F514" s="44"/>
      <c r="G514" s="44"/>
      <c r="H514" s="44"/>
      <c r="I514" s="190"/>
      <c r="J514" s="48"/>
      <c r="K514" s="48"/>
      <c r="L514" s="44"/>
      <c r="M514" s="44"/>
      <c r="N514" s="44"/>
      <c r="O514" s="44"/>
      <c r="P514" s="44"/>
      <c r="Q514" s="44"/>
      <c r="R514" s="44"/>
      <c r="S514" s="44"/>
      <c r="T514" s="44"/>
      <c r="U514" s="44"/>
      <c r="V514" s="44"/>
      <c r="W514" s="44"/>
      <c r="X514" s="44"/>
      <c r="Y514" s="44"/>
      <c r="Z514" s="44"/>
    </row>
    <row r="515" spans="1:26" ht="15.75" customHeight="1">
      <c r="A515" s="44"/>
      <c r="B515" s="44"/>
      <c r="C515" s="44"/>
      <c r="D515" s="44"/>
      <c r="E515" s="44"/>
      <c r="F515" s="44"/>
      <c r="G515" s="44"/>
      <c r="H515" s="44"/>
      <c r="I515" s="190"/>
      <c r="J515" s="48"/>
      <c r="K515" s="48"/>
      <c r="L515" s="44"/>
      <c r="M515" s="44"/>
      <c r="N515" s="44"/>
      <c r="O515" s="44"/>
      <c r="P515" s="44"/>
      <c r="Q515" s="44"/>
      <c r="R515" s="44"/>
      <c r="S515" s="44"/>
      <c r="T515" s="44"/>
      <c r="U515" s="44"/>
      <c r="V515" s="44"/>
      <c r="W515" s="44"/>
      <c r="X515" s="44"/>
      <c r="Y515" s="44"/>
      <c r="Z515" s="44"/>
    </row>
    <row r="516" spans="1:26" ht="15.75" customHeight="1">
      <c r="A516" s="44"/>
      <c r="B516" s="44"/>
      <c r="C516" s="44"/>
      <c r="D516" s="44"/>
      <c r="E516" s="44"/>
      <c r="F516" s="44"/>
      <c r="G516" s="44"/>
      <c r="H516" s="44"/>
      <c r="I516" s="190"/>
      <c r="J516" s="48"/>
      <c r="K516" s="48"/>
      <c r="L516" s="44"/>
      <c r="M516" s="44"/>
      <c r="N516" s="44"/>
      <c r="O516" s="44"/>
      <c r="P516" s="44"/>
      <c r="Q516" s="44"/>
      <c r="R516" s="44"/>
      <c r="S516" s="44"/>
      <c r="T516" s="44"/>
      <c r="U516" s="44"/>
      <c r="V516" s="44"/>
      <c r="W516" s="44"/>
      <c r="X516" s="44"/>
      <c r="Y516" s="44"/>
      <c r="Z516" s="44"/>
    </row>
    <row r="517" spans="1:26" ht="15.75" customHeight="1">
      <c r="A517" s="44"/>
      <c r="B517" s="44"/>
      <c r="C517" s="44"/>
      <c r="D517" s="44"/>
      <c r="E517" s="44"/>
      <c r="F517" s="44"/>
      <c r="G517" s="44"/>
      <c r="H517" s="44"/>
      <c r="I517" s="190"/>
      <c r="J517" s="48"/>
      <c r="K517" s="48"/>
      <c r="L517" s="44"/>
      <c r="M517" s="44"/>
      <c r="N517" s="44"/>
      <c r="O517" s="44"/>
      <c r="P517" s="44"/>
      <c r="Q517" s="44"/>
      <c r="R517" s="44"/>
      <c r="S517" s="44"/>
      <c r="T517" s="44"/>
      <c r="U517" s="44"/>
      <c r="V517" s="44"/>
      <c r="W517" s="44"/>
      <c r="X517" s="44"/>
      <c r="Y517" s="44"/>
      <c r="Z517" s="44"/>
    </row>
    <row r="518" spans="1:26" ht="15.75" customHeight="1">
      <c r="A518" s="44"/>
      <c r="B518" s="44"/>
      <c r="C518" s="44"/>
      <c r="D518" s="44"/>
      <c r="E518" s="44"/>
      <c r="F518" s="44"/>
      <c r="G518" s="44"/>
      <c r="H518" s="44"/>
      <c r="I518" s="190"/>
      <c r="J518" s="48"/>
      <c r="K518" s="48"/>
      <c r="L518" s="44"/>
      <c r="M518" s="44"/>
      <c r="N518" s="44"/>
      <c r="O518" s="44"/>
      <c r="P518" s="44"/>
      <c r="Q518" s="44"/>
      <c r="R518" s="44"/>
      <c r="S518" s="44"/>
      <c r="T518" s="44"/>
      <c r="U518" s="44"/>
      <c r="V518" s="44"/>
      <c r="W518" s="44"/>
      <c r="X518" s="44"/>
      <c r="Y518" s="44"/>
      <c r="Z518" s="44"/>
    </row>
    <row r="519" spans="1:26" ht="15.75" customHeight="1">
      <c r="A519" s="44"/>
      <c r="B519" s="44"/>
      <c r="C519" s="44"/>
      <c r="D519" s="44"/>
      <c r="E519" s="44"/>
      <c r="F519" s="44"/>
      <c r="G519" s="44"/>
      <c r="H519" s="44"/>
      <c r="I519" s="190"/>
      <c r="J519" s="48"/>
      <c r="K519" s="48"/>
      <c r="L519" s="44"/>
      <c r="M519" s="44"/>
      <c r="N519" s="44"/>
      <c r="O519" s="44"/>
      <c r="P519" s="44"/>
      <c r="Q519" s="44"/>
      <c r="R519" s="44"/>
      <c r="S519" s="44"/>
      <c r="T519" s="44"/>
      <c r="U519" s="44"/>
      <c r="V519" s="44"/>
      <c r="W519" s="44"/>
      <c r="X519" s="44"/>
      <c r="Y519" s="44"/>
      <c r="Z519" s="44"/>
    </row>
    <row r="520" spans="1:26" ht="15.75" customHeight="1">
      <c r="A520" s="44"/>
      <c r="B520" s="44"/>
      <c r="C520" s="44"/>
      <c r="D520" s="44"/>
      <c r="E520" s="44"/>
      <c r="F520" s="44"/>
      <c r="G520" s="44"/>
      <c r="H520" s="44"/>
      <c r="I520" s="190"/>
      <c r="J520" s="48"/>
      <c r="K520" s="48"/>
      <c r="L520" s="44"/>
      <c r="M520" s="44"/>
      <c r="N520" s="44"/>
      <c r="O520" s="44"/>
      <c r="P520" s="44"/>
      <c r="Q520" s="44"/>
      <c r="R520" s="44"/>
      <c r="S520" s="44"/>
      <c r="T520" s="44"/>
      <c r="U520" s="44"/>
      <c r="V520" s="44"/>
      <c r="W520" s="44"/>
      <c r="X520" s="44"/>
      <c r="Y520" s="44"/>
      <c r="Z520" s="44"/>
    </row>
    <row r="521" spans="1:26" ht="15.75" customHeight="1">
      <c r="A521" s="44"/>
      <c r="B521" s="44"/>
      <c r="C521" s="44"/>
      <c r="D521" s="44"/>
      <c r="E521" s="44"/>
      <c r="F521" s="44"/>
      <c r="G521" s="44"/>
      <c r="H521" s="44"/>
      <c r="I521" s="190"/>
      <c r="J521" s="48"/>
      <c r="K521" s="48"/>
      <c r="L521" s="44"/>
      <c r="M521" s="44"/>
      <c r="N521" s="44"/>
      <c r="O521" s="44"/>
      <c r="P521" s="44"/>
      <c r="Q521" s="44"/>
      <c r="R521" s="44"/>
      <c r="S521" s="44"/>
      <c r="T521" s="44"/>
      <c r="U521" s="44"/>
      <c r="V521" s="44"/>
      <c r="W521" s="44"/>
      <c r="X521" s="44"/>
      <c r="Y521" s="44"/>
      <c r="Z521" s="44"/>
    </row>
    <row r="522" spans="1:26" ht="15.75" customHeight="1">
      <c r="A522" s="44"/>
      <c r="B522" s="44"/>
      <c r="C522" s="44"/>
      <c r="D522" s="44"/>
      <c r="E522" s="44"/>
      <c r="F522" s="44"/>
      <c r="G522" s="44"/>
      <c r="H522" s="44"/>
      <c r="I522" s="190"/>
      <c r="J522" s="48"/>
      <c r="K522" s="48"/>
      <c r="L522" s="44"/>
      <c r="M522" s="44"/>
      <c r="N522" s="44"/>
      <c r="O522" s="44"/>
      <c r="P522" s="44"/>
      <c r="Q522" s="44"/>
      <c r="R522" s="44"/>
      <c r="S522" s="44"/>
      <c r="T522" s="44"/>
      <c r="U522" s="44"/>
      <c r="V522" s="44"/>
      <c r="W522" s="44"/>
      <c r="X522" s="44"/>
      <c r="Y522" s="44"/>
      <c r="Z522" s="44"/>
    </row>
    <row r="523" spans="1:26" ht="15.75" customHeight="1">
      <c r="A523" s="44"/>
      <c r="B523" s="44"/>
      <c r="C523" s="44"/>
      <c r="D523" s="44"/>
      <c r="E523" s="44"/>
      <c r="F523" s="44"/>
      <c r="G523" s="44"/>
      <c r="H523" s="44"/>
      <c r="I523" s="190"/>
      <c r="J523" s="48"/>
      <c r="K523" s="48"/>
      <c r="L523" s="44"/>
      <c r="M523" s="44"/>
      <c r="N523" s="44"/>
      <c r="O523" s="44"/>
      <c r="P523" s="44"/>
      <c r="Q523" s="44"/>
      <c r="R523" s="44"/>
      <c r="S523" s="44"/>
      <c r="T523" s="44"/>
      <c r="U523" s="44"/>
      <c r="V523" s="44"/>
      <c r="W523" s="44"/>
      <c r="X523" s="44"/>
      <c r="Y523" s="44"/>
      <c r="Z523" s="44"/>
    </row>
    <row r="524" spans="1:26" ht="15.75" customHeight="1">
      <c r="A524" s="44"/>
      <c r="B524" s="44"/>
      <c r="C524" s="44"/>
      <c r="D524" s="44"/>
      <c r="E524" s="44"/>
      <c r="F524" s="44"/>
      <c r="G524" s="44"/>
      <c r="H524" s="44"/>
      <c r="I524" s="190"/>
      <c r="J524" s="48"/>
      <c r="K524" s="48"/>
      <c r="L524" s="44"/>
      <c r="M524" s="44"/>
      <c r="N524" s="44"/>
      <c r="O524" s="44"/>
      <c r="P524" s="44"/>
      <c r="Q524" s="44"/>
      <c r="R524" s="44"/>
      <c r="S524" s="44"/>
      <c r="T524" s="44"/>
      <c r="U524" s="44"/>
      <c r="V524" s="44"/>
      <c r="W524" s="44"/>
      <c r="X524" s="44"/>
      <c r="Y524" s="44"/>
      <c r="Z524" s="44"/>
    </row>
    <row r="525" spans="1:26" ht="15.75" customHeight="1">
      <c r="A525" s="44"/>
      <c r="B525" s="44"/>
      <c r="C525" s="44"/>
      <c r="D525" s="44"/>
      <c r="E525" s="44"/>
      <c r="F525" s="44"/>
      <c r="G525" s="44"/>
      <c r="H525" s="44"/>
      <c r="I525" s="190"/>
      <c r="J525" s="48"/>
      <c r="K525" s="48"/>
      <c r="L525" s="44"/>
      <c r="M525" s="44"/>
      <c r="N525" s="44"/>
      <c r="O525" s="44"/>
      <c r="P525" s="44"/>
      <c r="Q525" s="44"/>
      <c r="R525" s="44"/>
      <c r="S525" s="44"/>
      <c r="T525" s="44"/>
      <c r="U525" s="44"/>
      <c r="V525" s="44"/>
      <c r="W525" s="44"/>
      <c r="X525" s="44"/>
      <c r="Y525" s="44"/>
      <c r="Z525" s="44"/>
    </row>
    <row r="526" spans="1:26" ht="15.75" customHeight="1">
      <c r="A526" s="44"/>
      <c r="B526" s="44"/>
      <c r="C526" s="44"/>
      <c r="D526" s="44"/>
      <c r="E526" s="44"/>
      <c r="F526" s="44"/>
      <c r="G526" s="44"/>
      <c r="H526" s="44"/>
      <c r="I526" s="190"/>
      <c r="J526" s="48"/>
      <c r="K526" s="48"/>
      <c r="L526" s="44"/>
      <c r="M526" s="44"/>
      <c r="N526" s="44"/>
      <c r="O526" s="44"/>
      <c r="P526" s="44"/>
      <c r="Q526" s="44"/>
      <c r="R526" s="44"/>
      <c r="S526" s="44"/>
      <c r="T526" s="44"/>
      <c r="U526" s="44"/>
      <c r="V526" s="44"/>
      <c r="W526" s="44"/>
      <c r="X526" s="44"/>
      <c r="Y526" s="44"/>
      <c r="Z526" s="44"/>
    </row>
    <row r="527" spans="1:26" ht="15.75" customHeight="1">
      <c r="A527" s="44"/>
      <c r="B527" s="44"/>
      <c r="C527" s="44"/>
      <c r="D527" s="44"/>
      <c r="E527" s="44"/>
      <c r="F527" s="44"/>
      <c r="G527" s="44"/>
      <c r="H527" s="44"/>
      <c r="I527" s="190"/>
      <c r="J527" s="48"/>
      <c r="K527" s="48"/>
      <c r="L527" s="44"/>
      <c r="M527" s="44"/>
      <c r="N527" s="44"/>
      <c r="O527" s="44"/>
      <c r="P527" s="44"/>
      <c r="Q527" s="44"/>
      <c r="R527" s="44"/>
      <c r="S527" s="44"/>
      <c r="T527" s="44"/>
      <c r="U527" s="44"/>
      <c r="V527" s="44"/>
      <c r="W527" s="44"/>
      <c r="X527" s="44"/>
      <c r="Y527" s="44"/>
      <c r="Z527" s="44"/>
    </row>
    <row r="528" spans="1:26" ht="15.75" customHeight="1">
      <c r="A528" s="44"/>
      <c r="B528" s="44"/>
      <c r="C528" s="44"/>
      <c r="D528" s="44"/>
      <c r="E528" s="44"/>
      <c r="F528" s="44"/>
      <c r="G528" s="44"/>
      <c r="H528" s="44"/>
      <c r="I528" s="190"/>
      <c r="J528" s="48"/>
      <c r="K528" s="48"/>
      <c r="L528" s="44"/>
      <c r="M528" s="44"/>
      <c r="N528" s="44"/>
      <c r="O528" s="44"/>
      <c r="P528" s="44"/>
      <c r="Q528" s="44"/>
      <c r="R528" s="44"/>
      <c r="S528" s="44"/>
      <c r="T528" s="44"/>
      <c r="U528" s="44"/>
      <c r="V528" s="44"/>
      <c r="W528" s="44"/>
      <c r="X528" s="44"/>
      <c r="Y528" s="44"/>
      <c r="Z528" s="44"/>
    </row>
    <row r="529" spans="1:26" ht="15.75" customHeight="1">
      <c r="A529" s="44"/>
      <c r="B529" s="44"/>
      <c r="C529" s="44"/>
      <c r="D529" s="44"/>
      <c r="E529" s="44"/>
      <c r="F529" s="44"/>
      <c r="G529" s="44"/>
      <c r="H529" s="44"/>
      <c r="I529" s="190"/>
      <c r="J529" s="48"/>
      <c r="K529" s="48"/>
      <c r="L529" s="44"/>
      <c r="M529" s="44"/>
      <c r="N529" s="44"/>
      <c r="O529" s="44"/>
      <c r="P529" s="44"/>
      <c r="Q529" s="44"/>
      <c r="R529" s="44"/>
      <c r="S529" s="44"/>
      <c r="T529" s="44"/>
      <c r="U529" s="44"/>
      <c r="V529" s="44"/>
      <c r="W529" s="44"/>
      <c r="X529" s="44"/>
      <c r="Y529" s="44"/>
      <c r="Z529" s="44"/>
    </row>
    <row r="530" spans="1:26" ht="15.75" customHeight="1">
      <c r="A530" s="44"/>
      <c r="B530" s="44"/>
      <c r="C530" s="44"/>
      <c r="D530" s="44"/>
      <c r="E530" s="44"/>
      <c r="F530" s="44"/>
      <c r="G530" s="44"/>
      <c r="H530" s="44"/>
      <c r="I530" s="190"/>
      <c r="J530" s="48"/>
      <c r="K530" s="48"/>
      <c r="L530" s="44"/>
      <c r="M530" s="44"/>
      <c r="N530" s="44"/>
      <c r="O530" s="44"/>
      <c r="P530" s="44"/>
      <c r="Q530" s="44"/>
      <c r="R530" s="44"/>
      <c r="S530" s="44"/>
      <c r="T530" s="44"/>
      <c r="U530" s="44"/>
      <c r="V530" s="44"/>
      <c r="W530" s="44"/>
      <c r="X530" s="44"/>
      <c r="Y530" s="44"/>
      <c r="Z530" s="44"/>
    </row>
    <row r="531" spans="1:26" ht="15.75" customHeight="1">
      <c r="A531" s="44"/>
      <c r="B531" s="44"/>
      <c r="C531" s="44"/>
      <c r="D531" s="44"/>
      <c r="E531" s="44"/>
      <c r="F531" s="44"/>
      <c r="G531" s="44"/>
      <c r="H531" s="44"/>
      <c r="I531" s="190"/>
      <c r="J531" s="48"/>
      <c r="K531" s="48"/>
      <c r="L531" s="44"/>
      <c r="M531" s="44"/>
      <c r="N531" s="44"/>
      <c r="O531" s="44"/>
      <c r="P531" s="44"/>
      <c r="Q531" s="44"/>
      <c r="R531" s="44"/>
      <c r="S531" s="44"/>
      <c r="T531" s="44"/>
      <c r="U531" s="44"/>
      <c r="V531" s="44"/>
      <c r="W531" s="44"/>
      <c r="X531" s="44"/>
      <c r="Y531" s="44"/>
      <c r="Z531" s="44"/>
    </row>
    <row r="532" spans="1:26" ht="15.75" customHeight="1">
      <c r="A532" s="44"/>
      <c r="B532" s="44"/>
      <c r="C532" s="44"/>
      <c r="D532" s="44"/>
      <c r="E532" s="44"/>
      <c r="F532" s="44"/>
      <c r="G532" s="44"/>
      <c r="H532" s="44"/>
      <c r="I532" s="190"/>
      <c r="J532" s="48"/>
      <c r="K532" s="48"/>
      <c r="L532" s="44"/>
      <c r="M532" s="44"/>
      <c r="N532" s="44"/>
      <c r="O532" s="44"/>
      <c r="P532" s="44"/>
      <c r="Q532" s="44"/>
      <c r="R532" s="44"/>
      <c r="S532" s="44"/>
      <c r="T532" s="44"/>
      <c r="U532" s="44"/>
      <c r="V532" s="44"/>
      <c r="W532" s="44"/>
      <c r="X532" s="44"/>
      <c r="Y532" s="44"/>
      <c r="Z532" s="44"/>
    </row>
    <row r="533" spans="1:26" ht="15.75" customHeight="1">
      <c r="A533" s="44"/>
      <c r="B533" s="44"/>
      <c r="C533" s="44"/>
      <c r="D533" s="44"/>
      <c r="E533" s="44"/>
      <c r="F533" s="44"/>
      <c r="G533" s="44"/>
      <c r="H533" s="44"/>
      <c r="I533" s="190"/>
      <c r="J533" s="48"/>
      <c r="K533" s="48"/>
      <c r="L533" s="44"/>
      <c r="M533" s="44"/>
      <c r="N533" s="44"/>
      <c r="O533" s="44"/>
      <c r="P533" s="44"/>
      <c r="Q533" s="44"/>
      <c r="R533" s="44"/>
      <c r="S533" s="44"/>
      <c r="T533" s="44"/>
      <c r="U533" s="44"/>
      <c r="V533" s="44"/>
      <c r="W533" s="44"/>
      <c r="X533" s="44"/>
      <c r="Y533" s="44"/>
      <c r="Z533" s="44"/>
    </row>
    <row r="534" spans="1:26" ht="15.75" customHeight="1">
      <c r="A534" s="44"/>
      <c r="B534" s="44"/>
      <c r="C534" s="44"/>
      <c r="D534" s="44"/>
      <c r="E534" s="44"/>
      <c r="F534" s="44"/>
      <c r="G534" s="44"/>
      <c r="H534" s="44"/>
      <c r="I534" s="190"/>
      <c r="J534" s="48"/>
      <c r="K534" s="48"/>
      <c r="L534" s="44"/>
      <c r="M534" s="44"/>
      <c r="N534" s="44"/>
      <c r="O534" s="44"/>
      <c r="P534" s="44"/>
      <c r="Q534" s="44"/>
      <c r="R534" s="44"/>
      <c r="S534" s="44"/>
      <c r="T534" s="44"/>
      <c r="U534" s="44"/>
      <c r="V534" s="44"/>
      <c r="W534" s="44"/>
      <c r="X534" s="44"/>
      <c r="Y534" s="44"/>
      <c r="Z534" s="44"/>
    </row>
    <row r="535" spans="1:26" ht="15.75" customHeight="1">
      <c r="A535" s="44"/>
      <c r="B535" s="44"/>
      <c r="C535" s="44"/>
      <c r="D535" s="44"/>
      <c r="E535" s="44"/>
      <c r="F535" s="44"/>
      <c r="G535" s="44"/>
      <c r="H535" s="44"/>
      <c r="I535" s="190"/>
      <c r="J535" s="48"/>
      <c r="K535" s="48"/>
      <c r="L535" s="44"/>
      <c r="M535" s="44"/>
      <c r="N535" s="44"/>
      <c r="O535" s="44"/>
      <c r="P535" s="44"/>
      <c r="Q535" s="44"/>
      <c r="R535" s="44"/>
      <c r="S535" s="44"/>
      <c r="T535" s="44"/>
      <c r="U535" s="44"/>
      <c r="V535" s="44"/>
      <c r="W535" s="44"/>
      <c r="X535" s="44"/>
      <c r="Y535" s="44"/>
      <c r="Z535" s="44"/>
    </row>
    <row r="536" spans="1:26" ht="15.75" customHeight="1">
      <c r="A536" s="44"/>
      <c r="B536" s="44"/>
      <c r="C536" s="44"/>
      <c r="D536" s="44"/>
      <c r="E536" s="44"/>
      <c r="F536" s="44"/>
      <c r="G536" s="44"/>
      <c r="H536" s="44"/>
      <c r="I536" s="190"/>
      <c r="J536" s="48"/>
      <c r="K536" s="48"/>
      <c r="L536" s="44"/>
      <c r="M536" s="44"/>
      <c r="N536" s="44"/>
      <c r="O536" s="44"/>
      <c r="P536" s="44"/>
      <c r="Q536" s="44"/>
      <c r="R536" s="44"/>
      <c r="S536" s="44"/>
      <c r="T536" s="44"/>
      <c r="U536" s="44"/>
      <c r="V536" s="44"/>
      <c r="W536" s="44"/>
      <c r="X536" s="44"/>
      <c r="Y536" s="44"/>
      <c r="Z536" s="44"/>
    </row>
    <row r="537" spans="1:26" ht="15.75" customHeight="1">
      <c r="A537" s="44"/>
      <c r="B537" s="44"/>
      <c r="C537" s="44"/>
      <c r="D537" s="44"/>
      <c r="E537" s="44"/>
      <c r="F537" s="44"/>
      <c r="G537" s="44"/>
      <c r="H537" s="44"/>
      <c r="I537" s="190"/>
      <c r="J537" s="48"/>
      <c r="K537" s="48"/>
      <c r="L537" s="44"/>
      <c r="M537" s="44"/>
      <c r="N537" s="44"/>
      <c r="O537" s="44"/>
      <c r="P537" s="44"/>
      <c r="Q537" s="44"/>
      <c r="R537" s="44"/>
      <c r="S537" s="44"/>
      <c r="T537" s="44"/>
      <c r="U537" s="44"/>
      <c r="V537" s="44"/>
      <c r="W537" s="44"/>
      <c r="X537" s="44"/>
      <c r="Y537" s="44"/>
      <c r="Z537" s="44"/>
    </row>
    <row r="538" spans="1:26" ht="15.75" customHeight="1">
      <c r="A538" s="44"/>
      <c r="B538" s="44"/>
      <c r="C538" s="44"/>
      <c r="D538" s="44"/>
      <c r="E538" s="44"/>
      <c r="F538" s="44"/>
      <c r="G538" s="44"/>
      <c r="H538" s="44"/>
      <c r="I538" s="190"/>
      <c r="J538" s="48"/>
      <c r="K538" s="48"/>
      <c r="L538" s="44"/>
      <c r="M538" s="44"/>
      <c r="N538" s="44"/>
      <c r="O538" s="44"/>
      <c r="P538" s="44"/>
      <c r="Q538" s="44"/>
      <c r="R538" s="44"/>
      <c r="S538" s="44"/>
      <c r="T538" s="44"/>
      <c r="U538" s="44"/>
      <c r="V538" s="44"/>
      <c r="W538" s="44"/>
      <c r="X538" s="44"/>
      <c r="Y538" s="44"/>
      <c r="Z538" s="44"/>
    </row>
    <row r="539" spans="1:26" ht="15.75" customHeight="1">
      <c r="A539" s="44"/>
      <c r="B539" s="44"/>
      <c r="C539" s="44"/>
      <c r="D539" s="44"/>
      <c r="E539" s="44"/>
      <c r="F539" s="44"/>
      <c r="G539" s="44"/>
      <c r="H539" s="44"/>
      <c r="I539" s="190"/>
      <c r="J539" s="48"/>
      <c r="K539" s="48"/>
      <c r="L539" s="44"/>
      <c r="M539" s="44"/>
      <c r="N539" s="44"/>
      <c r="O539" s="44"/>
      <c r="P539" s="44"/>
      <c r="Q539" s="44"/>
      <c r="R539" s="44"/>
      <c r="S539" s="44"/>
      <c r="T539" s="44"/>
      <c r="U539" s="44"/>
      <c r="V539" s="44"/>
      <c r="W539" s="44"/>
      <c r="X539" s="44"/>
      <c r="Y539" s="44"/>
      <c r="Z539" s="44"/>
    </row>
    <row r="540" spans="1:26" ht="15.75" customHeight="1">
      <c r="A540" s="44"/>
      <c r="B540" s="44"/>
      <c r="C540" s="44"/>
      <c r="D540" s="44"/>
      <c r="E540" s="44"/>
      <c r="F540" s="44"/>
      <c r="G540" s="44"/>
      <c r="H540" s="44"/>
      <c r="I540" s="190"/>
      <c r="J540" s="48"/>
      <c r="K540" s="48"/>
      <c r="L540" s="44"/>
      <c r="M540" s="44"/>
      <c r="N540" s="44"/>
      <c r="O540" s="44"/>
      <c r="P540" s="44"/>
      <c r="Q540" s="44"/>
      <c r="R540" s="44"/>
      <c r="S540" s="44"/>
      <c r="T540" s="44"/>
      <c r="U540" s="44"/>
      <c r="V540" s="44"/>
      <c r="W540" s="44"/>
      <c r="X540" s="44"/>
      <c r="Y540" s="44"/>
      <c r="Z540" s="44"/>
    </row>
    <row r="541" spans="1:26" ht="15.75" customHeight="1">
      <c r="A541" s="44"/>
      <c r="B541" s="44"/>
      <c r="C541" s="44"/>
      <c r="D541" s="44"/>
      <c r="E541" s="44"/>
      <c r="F541" s="44"/>
      <c r="G541" s="44"/>
      <c r="H541" s="44"/>
      <c r="I541" s="190"/>
      <c r="J541" s="48"/>
      <c r="K541" s="48"/>
      <c r="L541" s="44"/>
      <c r="M541" s="44"/>
      <c r="N541" s="44"/>
      <c r="O541" s="44"/>
      <c r="P541" s="44"/>
      <c r="Q541" s="44"/>
      <c r="R541" s="44"/>
      <c r="S541" s="44"/>
      <c r="T541" s="44"/>
      <c r="U541" s="44"/>
      <c r="V541" s="44"/>
      <c r="W541" s="44"/>
      <c r="X541" s="44"/>
      <c r="Y541" s="44"/>
      <c r="Z541" s="44"/>
    </row>
    <row r="542" spans="1:26" ht="15.75" customHeight="1">
      <c r="A542" s="44"/>
      <c r="B542" s="44"/>
      <c r="C542" s="44"/>
      <c r="D542" s="44"/>
      <c r="E542" s="44"/>
      <c r="F542" s="44"/>
      <c r="G542" s="44"/>
      <c r="H542" s="44"/>
      <c r="I542" s="190"/>
      <c r="J542" s="48"/>
      <c r="K542" s="48"/>
      <c r="L542" s="44"/>
      <c r="M542" s="44"/>
      <c r="N542" s="44"/>
      <c r="O542" s="44"/>
      <c r="P542" s="44"/>
      <c r="Q542" s="44"/>
      <c r="R542" s="44"/>
      <c r="S542" s="44"/>
      <c r="T542" s="44"/>
      <c r="U542" s="44"/>
      <c r="V542" s="44"/>
      <c r="W542" s="44"/>
      <c r="X542" s="44"/>
      <c r="Y542" s="44"/>
      <c r="Z542" s="44"/>
    </row>
    <row r="543" spans="1:26" ht="15.75" customHeight="1">
      <c r="A543" s="44"/>
      <c r="B543" s="44"/>
      <c r="C543" s="44"/>
      <c r="D543" s="44"/>
      <c r="E543" s="44"/>
      <c r="F543" s="44"/>
      <c r="G543" s="44"/>
      <c r="H543" s="44"/>
      <c r="I543" s="190"/>
      <c r="J543" s="48"/>
      <c r="K543" s="48"/>
      <c r="L543" s="44"/>
      <c r="M543" s="44"/>
      <c r="N543" s="44"/>
      <c r="O543" s="44"/>
      <c r="P543" s="44"/>
      <c r="Q543" s="44"/>
      <c r="R543" s="44"/>
      <c r="S543" s="44"/>
      <c r="T543" s="44"/>
      <c r="U543" s="44"/>
      <c r="V543" s="44"/>
      <c r="W543" s="44"/>
      <c r="X543" s="44"/>
      <c r="Y543" s="44"/>
      <c r="Z543" s="44"/>
    </row>
    <row r="544" spans="1:26" ht="15.75" customHeight="1">
      <c r="A544" s="44"/>
      <c r="B544" s="44"/>
      <c r="C544" s="44"/>
      <c r="D544" s="44"/>
      <c r="E544" s="44"/>
      <c r="F544" s="44"/>
      <c r="G544" s="44"/>
      <c r="H544" s="44"/>
      <c r="I544" s="190"/>
      <c r="J544" s="48"/>
      <c r="K544" s="48"/>
      <c r="L544" s="44"/>
      <c r="M544" s="44"/>
      <c r="N544" s="44"/>
      <c r="O544" s="44"/>
      <c r="P544" s="44"/>
      <c r="Q544" s="44"/>
      <c r="R544" s="44"/>
      <c r="S544" s="44"/>
      <c r="T544" s="44"/>
      <c r="U544" s="44"/>
      <c r="V544" s="44"/>
      <c r="W544" s="44"/>
      <c r="X544" s="44"/>
      <c r="Y544" s="44"/>
      <c r="Z544" s="44"/>
    </row>
    <row r="545" spans="1:26" ht="15.75" customHeight="1">
      <c r="A545" s="44"/>
      <c r="B545" s="44"/>
      <c r="C545" s="44"/>
      <c r="D545" s="44"/>
      <c r="E545" s="44"/>
      <c r="F545" s="44"/>
      <c r="G545" s="44"/>
      <c r="H545" s="44"/>
      <c r="I545" s="190"/>
      <c r="J545" s="48"/>
      <c r="K545" s="48"/>
      <c r="L545" s="44"/>
      <c r="M545" s="44"/>
      <c r="N545" s="44"/>
      <c r="O545" s="44"/>
      <c r="P545" s="44"/>
      <c r="Q545" s="44"/>
      <c r="R545" s="44"/>
      <c r="S545" s="44"/>
      <c r="T545" s="44"/>
      <c r="U545" s="44"/>
      <c r="V545" s="44"/>
      <c r="W545" s="44"/>
      <c r="X545" s="44"/>
      <c r="Y545" s="44"/>
      <c r="Z545" s="44"/>
    </row>
    <row r="546" spans="1:26" ht="15.75" customHeight="1">
      <c r="A546" s="44"/>
      <c r="B546" s="44"/>
      <c r="C546" s="44"/>
      <c r="D546" s="44"/>
      <c r="E546" s="44"/>
      <c r="F546" s="44"/>
      <c r="G546" s="44"/>
      <c r="H546" s="44"/>
      <c r="I546" s="190"/>
      <c r="J546" s="48"/>
      <c r="K546" s="48"/>
      <c r="L546" s="44"/>
      <c r="M546" s="44"/>
      <c r="N546" s="44"/>
      <c r="O546" s="44"/>
      <c r="P546" s="44"/>
      <c r="Q546" s="44"/>
      <c r="R546" s="44"/>
      <c r="S546" s="44"/>
      <c r="T546" s="44"/>
      <c r="U546" s="44"/>
      <c r="V546" s="44"/>
      <c r="W546" s="44"/>
      <c r="X546" s="44"/>
      <c r="Y546" s="44"/>
      <c r="Z546" s="44"/>
    </row>
    <row r="547" spans="1:26" ht="15.75" customHeight="1">
      <c r="A547" s="44"/>
      <c r="B547" s="44"/>
      <c r="C547" s="44"/>
      <c r="D547" s="44"/>
      <c r="E547" s="44"/>
      <c r="F547" s="44"/>
      <c r="G547" s="44"/>
      <c r="H547" s="44"/>
      <c r="I547" s="190"/>
      <c r="J547" s="48"/>
      <c r="K547" s="48"/>
      <c r="L547" s="44"/>
      <c r="M547" s="44"/>
      <c r="N547" s="44"/>
      <c r="O547" s="44"/>
      <c r="P547" s="44"/>
      <c r="Q547" s="44"/>
      <c r="R547" s="44"/>
      <c r="S547" s="44"/>
      <c r="T547" s="44"/>
      <c r="U547" s="44"/>
      <c r="V547" s="44"/>
      <c r="W547" s="44"/>
      <c r="X547" s="44"/>
      <c r="Y547" s="44"/>
      <c r="Z547" s="44"/>
    </row>
    <row r="548" spans="1:26" ht="15.75" customHeight="1">
      <c r="A548" s="44"/>
      <c r="B548" s="44"/>
      <c r="C548" s="44"/>
      <c r="D548" s="44"/>
      <c r="E548" s="44"/>
      <c r="F548" s="44"/>
      <c r="G548" s="44"/>
      <c r="H548" s="44"/>
      <c r="I548" s="190"/>
      <c r="J548" s="48"/>
      <c r="K548" s="48"/>
      <c r="L548" s="44"/>
      <c r="M548" s="44"/>
      <c r="N548" s="44"/>
      <c r="O548" s="44"/>
      <c r="P548" s="44"/>
      <c r="Q548" s="44"/>
      <c r="R548" s="44"/>
      <c r="S548" s="44"/>
      <c r="T548" s="44"/>
      <c r="U548" s="44"/>
      <c r="V548" s="44"/>
      <c r="W548" s="44"/>
      <c r="X548" s="44"/>
      <c r="Y548" s="44"/>
      <c r="Z548" s="44"/>
    </row>
    <row r="549" spans="1:26" ht="15.75" customHeight="1">
      <c r="A549" s="44"/>
      <c r="B549" s="44"/>
      <c r="C549" s="44"/>
      <c r="D549" s="44"/>
      <c r="E549" s="44"/>
      <c r="F549" s="44"/>
      <c r="G549" s="44"/>
      <c r="H549" s="44"/>
      <c r="I549" s="190"/>
      <c r="J549" s="48"/>
      <c r="K549" s="48"/>
      <c r="L549" s="44"/>
      <c r="M549" s="44"/>
      <c r="N549" s="44"/>
      <c r="O549" s="44"/>
      <c r="P549" s="44"/>
      <c r="Q549" s="44"/>
      <c r="R549" s="44"/>
      <c r="S549" s="44"/>
      <c r="T549" s="44"/>
      <c r="U549" s="44"/>
      <c r="V549" s="44"/>
      <c r="W549" s="44"/>
      <c r="X549" s="44"/>
      <c r="Y549" s="44"/>
      <c r="Z549" s="44"/>
    </row>
    <row r="550" spans="1:26" ht="15.75" customHeight="1">
      <c r="A550" s="44"/>
      <c r="B550" s="44"/>
      <c r="C550" s="44"/>
      <c r="D550" s="44"/>
      <c r="E550" s="44"/>
      <c r="F550" s="44"/>
      <c r="G550" s="44"/>
      <c r="H550" s="44"/>
      <c r="I550" s="190"/>
      <c r="J550" s="48"/>
      <c r="K550" s="48"/>
      <c r="L550" s="44"/>
      <c r="M550" s="44"/>
      <c r="N550" s="44"/>
      <c r="O550" s="44"/>
      <c r="P550" s="44"/>
      <c r="Q550" s="44"/>
      <c r="R550" s="44"/>
      <c r="S550" s="44"/>
      <c r="T550" s="44"/>
      <c r="U550" s="44"/>
      <c r="V550" s="44"/>
      <c r="W550" s="44"/>
      <c r="X550" s="44"/>
      <c r="Y550" s="44"/>
      <c r="Z550" s="44"/>
    </row>
    <row r="551" spans="1:26" ht="15.75" customHeight="1">
      <c r="A551" s="44"/>
      <c r="B551" s="44"/>
      <c r="C551" s="44"/>
      <c r="D551" s="44"/>
      <c r="E551" s="44"/>
      <c r="F551" s="44"/>
      <c r="G551" s="44"/>
      <c r="H551" s="44"/>
      <c r="I551" s="190"/>
      <c r="J551" s="48"/>
      <c r="K551" s="48"/>
      <c r="L551" s="44"/>
      <c r="M551" s="44"/>
      <c r="N551" s="44"/>
      <c r="O551" s="44"/>
      <c r="P551" s="44"/>
      <c r="Q551" s="44"/>
      <c r="R551" s="44"/>
      <c r="S551" s="44"/>
      <c r="T551" s="44"/>
      <c r="U551" s="44"/>
      <c r="V551" s="44"/>
      <c r="W551" s="44"/>
      <c r="X551" s="44"/>
      <c r="Y551" s="44"/>
      <c r="Z551" s="44"/>
    </row>
    <row r="552" spans="1:26" ht="15.75" customHeight="1">
      <c r="A552" s="44"/>
      <c r="B552" s="44"/>
      <c r="C552" s="44"/>
      <c r="D552" s="44"/>
      <c r="E552" s="44"/>
      <c r="F552" s="44"/>
      <c r="G552" s="44"/>
      <c r="H552" s="44"/>
      <c r="I552" s="190"/>
      <c r="J552" s="48"/>
      <c r="K552" s="48"/>
      <c r="L552" s="44"/>
      <c r="M552" s="44"/>
      <c r="N552" s="44"/>
      <c r="O552" s="44"/>
      <c r="P552" s="44"/>
      <c r="Q552" s="44"/>
      <c r="R552" s="44"/>
      <c r="S552" s="44"/>
      <c r="T552" s="44"/>
      <c r="U552" s="44"/>
      <c r="V552" s="44"/>
      <c r="W552" s="44"/>
      <c r="X552" s="44"/>
      <c r="Y552" s="44"/>
      <c r="Z552" s="44"/>
    </row>
    <row r="553" spans="1:26" ht="15.75" customHeight="1">
      <c r="A553" s="44"/>
      <c r="B553" s="44"/>
      <c r="C553" s="44"/>
      <c r="D553" s="44"/>
      <c r="E553" s="44"/>
      <c r="F553" s="44"/>
      <c r="G553" s="44"/>
      <c r="H553" s="44"/>
      <c r="I553" s="190"/>
      <c r="J553" s="48"/>
      <c r="K553" s="48"/>
      <c r="L553" s="44"/>
      <c r="M553" s="44"/>
      <c r="N553" s="44"/>
      <c r="O553" s="44"/>
      <c r="P553" s="44"/>
      <c r="Q553" s="44"/>
      <c r="R553" s="44"/>
      <c r="S553" s="44"/>
      <c r="T553" s="44"/>
      <c r="U553" s="44"/>
      <c r="V553" s="44"/>
      <c r="W553" s="44"/>
      <c r="X553" s="44"/>
      <c r="Y553" s="44"/>
      <c r="Z553" s="44"/>
    </row>
    <row r="554" spans="1:26" ht="15.75" customHeight="1">
      <c r="A554" s="44"/>
      <c r="B554" s="44"/>
      <c r="C554" s="44"/>
      <c r="D554" s="44"/>
      <c r="E554" s="44"/>
      <c r="F554" s="44"/>
      <c r="G554" s="44"/>
      <c r="H554" s="44"/>
      <c r="I554" s="190"/>
      <c r="J554" s="48"/>
      <c r="K554" s="48"/>
      <c r="L554" s="44"/>
      <c r="M554" s="44"/>
      <c r="N554" s="44"/>
      <c r="O554" s="44"/>
      <c r="P554" s="44"/>
      <c r="Q554" s="44"/>
      <c r="R554" s="44"/>
      <c r="S554" s="44"/>
      <c r="T554" s="44"/>
      <c r="U554" s="44"/>
      <c r="V554" s="44"/>
      <c r="W554" s="44"/>
      <c r="X554" s="44"/>
      <c r="Y554" s="44"/>
      <c r="Z554" s="44"/>
    </row>
    <row r="555" spans="1:26" ht="15.75" customHeight="1">
      <c r="A555" s="44"/>
      <c r="B555" s="44"/>
      <c r="C555" s="44"/>
      <c r="D555" s="44"/>
      <c r="E555" s="44"/>
      <c r="F555" s="44"/>
      <c r="G555" s="44"/>
      <c r="H555" s="44"/>
      <c r="I555" s="190"/>
      <c r="J555" s="48"/>
      <c r="K555" s="48"/>
      <c r="L555" s="44"/>
      <c r="M555" s="44"/>
      <c r="N555" s="44"/>
      <c r="O555" s="44"/>
      <c r="P555" s="44"/>
      <c r="Q555" s="44"/>
      <c r="R555" s="44"/>
      <c r="S555" s="44"/>
      <c r="T555" s="44"/>
      <c r="U555" s="44"/>
      <c r="V555" s="44"/>
      <c r="W555" s="44"/>
      <c r="X555" s="44"/>
      <c r="Y555" s="44"/>
      <c r="Z555" s="44"/>
    </row>
    <row r="556" spans="1:26" ht="15.75" customHeight="1">
      <c r="A556" s="44"/>
      <c r="B556" s="44"/>
      <c r="C556" s="44"/>
      <c r="D556" s="44"/>
      <c r="E556" s="44"/>
      <c r="F556" s="44"/>
      <c r="G556" s="44"/>
      <c r="H556" s="44"/>
      <c r="I556" s="190"/>
      <c r="J556" s="48"/>
      <c r="K556" s="48"/>
      <c r="L556" s="44"/>
      <c r="M556" s="44"/>
      <c r="N556" s="44"/>
      <c r="O556" s="44"/>
      <c r="P556" s="44"/>
      <c r="Q556" s="44"/>
      <c r="R556" s="44"/>
      <c r="S556" s="44"/>
      <c r="T556" s="44"/>
      <c r="U556" s="44"/>
      <c r="V556" s="44"/>
      <c r="W556" s="44"/>
      <c r="X556" s="44"/>
      <c r="Y556" s="44"/>
      <c r="Z556" s="44"/>
    </row>
    <row r="557" spans="1:26" ht="15.75" customHeight="1">
      <c r="A557" s="44"/>
      <c r="B557" s="44"/>
      <c r="C557" s="44"/>
      <c r="D557" s="44"/>
      <c r="E557" s="44"/>
      <c r="F557" s="44"/>
      <c r="G557" s="44"/>
      <c r="H557" s="44"/>
      <c r="I557" s="190"/>
      <c r="J557" s="48"/>
      <c r="K557" s="48"/>
      <c r="L557" s="44"/>
      <c r="M557" s="44"/>
      <c r="N557" s="44"/>
      <c r="O557" s="44"/>
      <c r="P557" s="44"/>
      <c r="Q557" s="44"/>
      <c r="R557" s="44"/>
      <c r="S557" s="44"/>
      <c r="T557" s="44"/>
      <c r="U557" s="44"/>
      <c r="V557" s="44"/>
      <c r="W557" s="44"/>
      <c r="X557" s="44"/>
      <c r="Y557" s="44"/>
      <c r="Z557" s="44"/>
    </row>
    <row r="558" spans="1:26" ht="15.75" customHeight="1">
      <c r="A558" s="44"/>
      <c r="B558" s="44"/>
      <c r="C558" s="44"/>
      <c r="D558" s="44"/>
      <c r="E558" s="44"/>
      <c r="F558" s="44"/>
      <c r="G558" s="44"/>
      <c r="H558" s="44"/>
      <c r="I558" s="190"/>
      <c r="J558" s="48"/>
      <c r="K558" s="48"/>
      <c r="L558" s="44"/>
      <c r="M558" s="44"/>
      <c r="N558" s="44"/>
      <c r="O558" s="44"/>
      <c r="P558" s="44"/>
      <c r="Q558" s="44"/>
      <c r="R558" s="44"/>
      <c r="S558" s="44"/>
      <c r="T558" s="44"/>
      <c r="U558" s="44"/>
      <c r="V558" s="44"/>
      <c r="W558" s="44"/>
      <c r="X558" s="44"/>
      <c r="Y558" s="44"/>
      <c r="Z558" s="44"/>
    </row>
    <row r="559" spans="1:26" ht="15.75" customHeight="1">
      <c r="A559" s="44"/>
      <c r="B559" s="44"/>
      <c r="C559" s="44"/>
      <c r="D559" s="44"/>
      <c r="E559" s="44"/>
      <c r="F559" s="44"/>
      <c r="G559" s="44"/>
      <c r="H559" s="44"/>
      <c r="I559" s="190"/>
      <c r="J559" s="48"/>
      <c r="K559" s="48"/>
      <c r="L559" s="44"/>
      <c r="M559" s="44"/>
      <c r="N559" s="44"/>
      <c r="O559" s="44"/>
      <c r="P559" s="44"/>
      <c r="Q559" s="44"/>
      <c r="R559" s="44"/>
      <c r="S559" s="44"/>
      <c r="T559" s="44"/>
      <c r="U559" s="44"/>
      <c r="V559" s="44"/>
      <c r="W559" s="44"/>
      <c r="X559" s="44"/>
      <c r="Y559" s="44"/>
      <c r="Z559" s="44"/>
    </row>
    <row r="560" spans="1:26" ht="15.75" customHeight="1">
      <c r="A560" s="44"/>
      <c r="B560" s="44"/>
      <c r="C560" s="44"/>
      <c r="D560" s="44"/>
      <c r="E560" s="44"/>
      <c r="F560" s="44"/>
      <c r="G560" s="44"/>
      <c r="H560" s="44"/>
      <c r="I560" s="190"/>
      <c r="J560" s="48"/>
      <c r="K560" s="48"/>
      <c r="L560" s="44"/>
      <c r="M560" s="44"/>
      <c r="N560" s="44"/>
      <c r="O560" s="44"/>
      <c r="P560" s="44"/>
      <c r="Q560" s="44"/>
      <c r="R560" s="44"/>
      <c r="S560" s="44"/>
      <c r="T560" s="44"/>
      <c r="U560" s="44"/>
      <c r="V560" s="44"/>
      <c r="W560" s="44"/>
      <c r="X560" s="44"/>
      <c r="Y560" s="44"/>
      <c r="Z560" s="44"/>
    </row>
    <row r="561" spans="1:26" ht="15.75" customHeight="1">
      <c r="A561" s="44"/>
      <c r="B561" s="44"/>
      <c r="C561" s="44"/>
      <c r="D561" s="44"/>
      <c r="E561" s="44"/>
      <c r="F561" s="44"/>
      <c r="G561" s="44"/>
      <c r="H561" s="44"/>
      <c r="I561" s="190"/>
      <c r="J561" s="48"/>
      <c r="K561" s="48"/>
      <c r="L561" s="44"/>
      <c r="M561" s="44"/>
      <c r="N561" s="44"/>
      <c r="O561" s="44"/>
      <c r="P561" s="44"/>
      <c r="Q561" s="44"/>
      <c r="R561" s="44"/>
      <c r="S561" s="44"/>
      <c r="T561" s="44"/>
      <c r="U561" s="44"/>
      <c r="V561" s="44"/>
      <c r="W561" s="44"/>
      <c r="X561" s="44"/>
      <c r="Y561" s="44"/>
      <c r="Z561" s="44"/>
    </row>
    <row r="562" spans="1:26" ht="15.75" customHeight="1">
      <c r="A562" s="44"/>
      <c r="B562" s="44"/>
      <c r="C562" s="44"/>
      <c r="D562" s="44"/>
      <c r="E562" s="44"/>
      <c r="F562" s="44"/>
      <c r="G562" s="44"/>
      <c r="H562" s="44"/>
      <c r="I562" s="190"/>
      <c r="J562" s="48"/>
      <c r="K562" s="48"/>
      <c r="L562" s="44"/>
      <c r="M562" s="44"/>
      <c r="N562" s="44"/>
      <c r="O562" s="44"/>
      <c r="P562" s="44"/>
      <c r="Q562" s="44"/>
      <c r="R562" s="44"/>
      <c r="S562" s="44"/>
      <c r="T562" s="44"/>
      <c r="U562" s="44"/>
      <c r="V562" s="44"/>
      <c r="W562" s="44"/>
      <c r="X562" s="44"/>
      <c r="Y562" s="44"/>
      <c r="Z562" s="44"/>
    </row>
    <row r="563" spans="1:26" ht="15.75" customHeight="1">
      <c r="A563" s="44"/>
      <c r="B563" s="44"/>
      <c r="C563" s="44"/>
      <c r="D563" s="44"/>
      <c r="E563" s="44"/>
      <c r="F563" s="44"/>
      <c r="G563" s="44"/>
      <c r="H563" s="44"/>
      <c r="I563" s="190"/>
      <c r="J563" s="48"/>
      <c r="K563" s="48"/>
      <c r="L563" s="44"/>
      <c r="M563" s="44"/>
      <c r="N563" s="44"/>
      <c r="O563" s="44"/>
      <c r="P563" s="44"/>
      <c r="Q563" s="44"/>
      <c r="R563" s="44"/>
      <c r="S563" s="44"/>
      <c r="T563" s="44"/>
      <c r="U563" s="44"/>
      <c r="V563" s="44"/>
      <c r="W563" s="44"/>
      <c r="X563" s="44"/>
      <c r="Y563" s="44"/>
      <c r="Z563" s="44"/>
    </row>
    <row r="564" spans="1:26" ht="15.75" customHeight="1">
      <c r="A564" s="44"/>
      <c r="B564" s="44"/>
      <c r="C564" s="44"/>
      <c r="D564" s="44"/>
      <c r="E564" s="44"/>
      <c r="F564" s="44"/>
      <c r="G564" s="44"/>
      <c r="H564" s="44"/>
      <c r="I564" s="190"/>
      <c r="J564" s="48"/>
      <c r="K564" s="48"/>
      <c r="L564" s="44"/>
      <c r="M564" s="44"/>
      <c r="N564" s="44"/>
      <c r="O564" s="44"/>
      <c r="P564" s="44"/>
      <c r="Q564" s="44"/>
      <c r="R564" s="44"/>
      <c r="S564" s="44"/>
      <c r="T564" s="44"/>
      <c r="U564" s="44"/>
      <c r="V564" s="44"/>
      <c r="W564" s="44"/>
      <c r="X564" s="44"/>
      <c r="Y564" s="44"/>
      <c r="Z564" s="44"/>
    </row>
    <row r="565" spans="1:26" ht="15.75" customHeight="1">
      <c r="A565" s="44"/>
      <c r="B565" s="44"/>
      <c r="C565" s="44"/>
      <c r="D565" s="44"/>
      <c r="E565" s="44"/>
      <c r="F565" s="44"/>
      <c r="G565" s="44"/>
      <c r="H565" s="44"/>
      <c r="I565" s="190"/>
      <c r="J565" s="48"/>
      <c r="K565" s="48"/>
      <c r="L565" s="44"/>
      <c r="M565" s="44"/>
      <c r="N565" s="44"/>
      <c r="O565" s="44"/>
      <c r="P565" s="44"/>
      <c r="Q565" s="44"/>
      <c r="R565" s="44"/>
      <c r="S565" s="44"/>
      <c r="T565" s="44"/>
      <c r="U565" s="44"/>
      <c r="V565" s="44"/>
      <c r="W565" s="44"/>
      <c r="X565" s="44"/>
      <c r="Y565" s="44"/>
      <c r="Z565" s="44"/>
    </row>
    <row r="566" spans="1:26" ht="15.75" customHeight="1">
      <c r="A566" s="44"/>
      <c r="B566" s="44"/>
      <c r="C566" s="44"/>
      <c r="D566" s="44"/>
      <c r="E566" s="44"/>
      <c r="F566" s="44"/>
      <c r="G566" s="44"/>
      <c r="H566" s="44"/>
      <c r="I566" s="190"/>
      <c r="J566" s="48"/>
      <c r="K566" s="48"/>
      <c r="L566" s="44"/>
      <c r="M566" s="44"/>
      <c r="N566" s="44"/>
      <c r="O566" s="44"/>
      <c r="P566" s="44"/>
      <c r="Q566" s="44"/>
      <c r="R566" s="44"/>
      <c r="S566" s="44"/>
      <c r="T566" s="44"/>
      <c r="U566" s="44"/>
      <c r="V566" s="44"/>
      <c r="W566" s="44"/>
      <c r="X566" s="44"/>
      <c r="Y566" s="44"/>
      <c r="Z566" s="44"/>
    </row>
    <row r="567" spans="1:26" ht="15.75" customHeight="1">
      <c r="A567" s="44"/>
      <c r="B567" s="44"/>
      <c r="C567" s="44"/>
      <c r="D567" s="44"/>
      <c r="E567" s="44"/>
      <c r="F567" s="44"/>
      <c r="G567" s="44"/>
      <c r="H567" s="44"/>
      <c r="I567" s="190"/>
      <c r="J567" s="48"/>
      <c r="K567" s="48"/>
      <c r="L567" s="44"/>
      <c r="M567" s="44"/>
      <c r="N567" s="44"/>
      <c r="O567" s="44"/>
      <c r="P567" s="44"/>
      <c r="Q567" s="44"/>
      <c r="R567" s="44"/>
      <c r="S567" s="44"/>
      <c r="T567" s="44"/>
      <c r="U567" s="44"/>
      <c r="V567" s="44"/>
      <c r="W567" s="44"/>
      <c r="X567" s="44"/>
      <c r="Y567" s="44"/>
      <c r="Z567" s="44"/>
    </row>
    <row r="568" spans="1:26" ht="15.75" customHeight="1">
      <c r="A568" s="44"/>
      <c r="B568" s="44"/>
      <c r="C568" s="44"/>
      <c r="D568" s="44"/>
      <c r="E568" s="44"/>
      <c r="F568" s="44"/>
      <c r="G568" s="44"/>
      <c r="H568" s="44"/>
      <c r="I568" s="190"/>
      <c r="J568" s="48"/>
      <c r="K568" s="48"/>
      <c r="L568" s="44"/>
      <c r="M568" s="44"/>
      <c r="N568" s="44"/>
      <c r="O568" s="44"/>
      <c r="P568" s="44"/>
      <c r="Q568" s="44"/>
      <c r="R568" s="44"/>
      <c r="S568" s="44"/>
      <c r="T568" s="44"/>
      <c r="U568" s="44"/>
      <c r="V568" s="44"/>
      <c r="W568" s="44"/>
      <c r="X568" s="44"/>
      <c r="Y568" s="44"/>
      <c r="Z568" s="44"/>
    </row>
    <row r="569" spans="1:26" ht="15.75" customHeight="1">
      <c r="A569" s="44"/>
      <c r="B569" s="44"/>
      <c r="C569" s="44"/>
      <c r="D569" s="44"/>
      <c r="E569" s="44"/>
      <c r="F569" s="44"/>
      <c r="G569" s="44"/>
      <c r="H569" s="44"/>
      <c r="I569" s="190"/>
      <c r="J569" s="48"/>
      <c r="K569" s="48"/>
      <c r="L569" s="44"/>
      <c r="M569" s="44"/>
      <c r="N569" s="44"/>
      <c r="O569" s="44"/>
      <c r="P569" s="44"/>
      <c r="Q569" s="44"/>
      <c r="R569" s="44"/>
      <c r="S569" s="44"/>
      <c r="T569" s="44"/>
      <c r="U569" s="44"/>
      <c r="V569" s="44"/>
      <c r="W569" s="44"/>
      <c r="X569" s="44"/>
      <c r="Y569" s="44"/>
      <c r="Z569" s="44"/>
    </row>
    <row r="570" spans="1:26" ht="15.75" customHeight="1">
      <c r="A570" s="44"/>
      <c r="B570" s="44"/>
      <c r="C570" s="44"/>
      <c r="D570" s="44"/>
      <c r="E570" s="44"/>
      <c r="F570" s="44"/>
      <c r="G570" s="44"/>
      <c r="H570" s="44"/>
      <c r="I570" s="190"/>
      <c r="J570" s="48"/>
      <c r="K570" s="48"/>
      <c r="L570" s="44"/>
      <c r="M570" s="44"/>
      <c r="N570" s="44"/>
      <c r="O570" s="44"/>
      <c r="P570" s="44"/>
      <c r="Q570" s="44"/>
      <c r="R570" s="44"/>
      <c r="S570" s="44"/>
      <c r="T570" s="44"/>
      <c r="U570" s="44"/>
      <c r="V570" s="44"/>
      <c r="W570" s="44"/>
      <c r="X570" s="44"/>
      <c r="Y570" s="44"/>
      <c r="Z570" s="44"/>
    </row>
    <row r="571" spans="1:26" ht="15.75" customHeight="1">
      <c r="A571" s="44"/>
      <c r="B571" s="44"/>
      <c r="C571" s="44"/>
      <c r="D571" s="44"/>
      <c r="E571" s="44"/>
      <c r="F571" s="44"/>
      <c r="G571" s="44"/>
      <c r="H571" s="44"/>
      <c r="I571" s="190"/>
      <c r="J571" s="48"/>
      <c r="K571" s="48"/>
      <c r="L571" s="44"/>
      <c r="M571" s="44"/>
      <c r="N571" s="44"/>
      <c r="O571" s="44"/>
      <c r="P571" s="44"/>
      <c r="Q571" s="44"/>
      <c r="R571" s="44"/>
      <c r="S571" s="44"/>
      <c r="T571" s="44"/>
      <c r="U571" s="44"/>
      <c r="V571" s="44"/>
      <c r="W571" s="44"/>
      <c r="X571" s="44"/>
      <c r="Y571" s="44"/>
      <c r="Z571" s="44"/>
    </row>
    <row r="572" spans="1:26" ht="15.75" customHeight="1">
      <c r="A572" s="44"/>
      <c r="B572" s="44"/>
      <c r="C572" s="44"/>
      <c r="D572" s="44"/>
      <c r="E572" s="44"/>
      <c r="F572" s="44"/>
      <c r="G572" s="44"/>
      <c r="H572" s="44"/>
      <c r="I572" s="190"/>
      <c r="J572" s="48"/>
      <c r="K572" s="48"/>
      <c r="L572" s="44"/>
      <c r="M572" s="44"/>
      <c r="N572" s="44"/>
      <c r="O572" s="44"/>
      <c r="P572" s="44"/>
      <c r="Q572" s="44"/>
      <c r="R572" s="44"/>
      <c r="S572" s="44"/>
      <c r="T572" s="44"/>
      <c r="U572" s="44"/>
      <c r="V572" s="44"/>
      <c r="W572" s="44"/>
      <c r="X572" s="44"/>
      <c r="Y572" s="44"/>
      <c r="Z572" s="44"/>
    </row>
    <row r="573" spans="1:26" ht="15.75" customHeight="1">
      <c r="A573" s="44"/>
      <c r="B573" s="44"/>
      <c r="C573" s="44"/>
      <c r="D573" s="44"/>
      <c r="E573" s="44"/>
      <c r="F573" s="44"/>
      <c r="G573" s="44"/>
      <c r="H573" s="44"/>
      <c r="I573" s="190"/>
      <c r="J573" s="48"/>
      <c r="K573" s="48"/>
      <c r="L573" s="44"/>
      <c r="M573" s="44"/>
      <c r="N573" s="44"/>
      <c r="O573" s="44"/>
      <c r="P573" s="44"/>
      <c r="Q573" s="44"/>
      <c r="R573" s="44"/>
      <c r="S573" s="44"/>
      <c r="T573" s="44"/>
      <c r="U573" s="44"/>
      <c r="V573" s="44"/>
      <c r="W573" s="44"/>
      <c r="X573" s="44"/>
      <c r="Y573" s="44"/>
      <c r="Z573" s="44"/>
    </row>
    <row r="574" spans="1:26" ht="15.75" customHeight="1">
      <c r="A574" s="44"/>
      <c r="B574" s="44"/>
      <c r="C574" s="44"/>
      <c r="D574" s="44"/>
      <c r="E574" s="44"/>
      <c r="F574" s="44"/>
      <c r="G574" s="44"/>
      <c r="H574" s="44"/>
      <c r="I574" s="190"/>
      <c r="J574" s="48"/>
      <c r="K574" s="48"/>
      <c r="L574" s="44"/>
      <c r="M574" s="44"/>
      <c r="N574" s="44"/>
      <c r="O574" s="44"/>
      <c r="P574" s="44"/>
      <c r="Q574" s="44"/>
      <c r="R574" s="44"/>
      <c r="S574" s="44"/>
      <c r="T574" s="44"/>
      <c r="U574" s="44"/>
      <c r="V574" s="44"/>
      <c r="W574" s="44"/>
      <c r="X574" s="44"/>
      <c r="Y574" s="44"/>
      <c r="Z574" s="44"/>
    </row>
    <row r="575" spans="1:26" ht="15.75" customHeight="1">
      <c r="A575" s="44"/>
      <c r="B575" s="44"/>
      <c r="C575" s="44"/>
      <c r="D575" s="44"/>
      <c r="E575" s="44"/>
      <c r="F575" s="44"/>
      <c r="G575" s="44"/>
      <c r="H575" s="44"/>
      <c r="I575" s="190"/>
      <c r="J575" s="48"/>
      <c r="K575" s="48"/>
      <c r="L575" s="44"/>
      <c r="M575" s="44"/>
      <c r="N575" s="44"/>
      <c r="O575" s="44"/>
      <c r="P575" s="44"/>
      <c r="Q575" s="44"/>
      <c r="R575" s="44"/>
      <c r="S575" s="44"/>
      <c r="T575" s="44"/>
      <c r="U575" s="44"/>
      <c r="V575" s="44"/>
      <c r="W575" s="44"/>
      <c r="X575" s="44"/>
      <c r="Y575" s="44"/>
      <c r="Z575" s="44"/>
    </row>
    <row r="576" spans="1:26" ht="15.75" customHeight="1">
      <c r="A576" s="44"/>
      <c r="B576" s="44"/>
      <c r="C576" s="44"/>
      <c r="D576" s="44"/>
      <c r="E576" s="44"/>
      <c r="F576" s="44"/>
      <c r="G576" s="44"/>
      <c r="H576" s="44"/>
      <c r="I576" s="190"/>
      <c r="J576" s="48"/>
      <c r="K576" s="48"/>
      <c r="L576" s="44"/>
      <c r="M576" s="44"/>
      <c r="N576" s="44"/>
      <c r="O576" s="44"/>
      <c r="P576" s="44"/>
      <c r="Q576" s="44"/>
      <c r="R576" s="44"/>
      <c r="S576" s="44"/>
      <c r="T576" s="44"/>
      <c r="U576" s="44"/>
      <c r="V576" s="44"/>
      <c r="W576" s="44"/>
      <c r="X576" s="44"/>
      <c r="Y576" s="44"/>
      <c r="Z576" s="44"/>
    </row>
    <row r="577" spans="1:26" ht="15.75" customHeight="1">
      <c r="A577" s="44"/>
      <c r="B577" s="44"/>
      <c r="C577" s="44"/>
      <c r="D577" s="44"/>
      <c r="E577" s="44"/>
      <c r="F577" s="44"/>
      <c r="G577" s="44"/>
      <c r="H577" s="44"/>
      <c r="I577" s="190"/>
      <c r="J577" s="48"/>
      <c r="K577" s="48"/>
      <c r="L577" s="44"/>
      <c r="M577" s="44"/>
      <c r="N577" s="44"/>
      <c r="O577" s="44"/>
      <c r="P577" s="44"/>
      <c r="Q577" s="44"/>
      <c r="R577" s="44"/>
      <c r="S577" s="44"/>
      <c r="T577" s="44"/>
      <c r="U577" s="44"/>
      <c r="V577" s="44"/>
      <c r="W577" s="44"/>
      <c r="X577" s="44"/>
      <c r="Y577" s="44"/>
      <c r="Z577" s="44"/>
    </row>
    <row r="578" spans="1:26" ht="15.75" customHeight="1">
      <c r="A578" s="44"/>
      <c r="B578" s="44"/>
      <c r="C578" s="44"/>
      <c r="D578" s="44"/>
      <c r="E578" s="44"/>
      <c r="F578" s="44"/>
      <c r="G578" s="44"/>
      <c r="H578" s="44"/>
      <c r="I578" s="190"/>
      <c r="J578" s="48"/>
      <c r="K578" s="48"/>
      <c r="L578" s="44"/>
      <c r="M578" s="44"/>
      <c r="N578" s="44"/>
      <c r="O578" s="44"/>
      <c r="P578" s="44"/>
      <c r="Q578" s="44"/>
      <c r="R578" s="44"/>
      <c r="S578" s="44"/>
      <c r="T578" s="44"/>
      <c r="U578" s="44"/>
      <c r="V578" s="44"/>
      <c r="W578" s="44"/>
      <c r="X578" s="44"/>
      <c r="Y578" s="44"/>
      <c r="Z578" s="44"/>
    </row>
    <row r="579" spans="1:26" ht="15.75" customHeight="1">
      <c r="A579" s="44"/>
      <c r="B579" s="44"/>
      <c r="C579" s="44"/>
      <c r="D579" s="44"/>
      <c r="E579" s="44"/>
      <c r="F579" s="44"/>
      <c r="G579" s="44"/>
      <c r="H579" s="44"/>
      <c r="I579" s="190"/>
      <c r="J579" s="48"/>
      <c r="K579" s="48"/>
      <c r="L579" s="44"/>
      <c r="M579" s="44"/>
      <c r="N579" s="44"/>
      <c r="O579" s="44"/>
      <c r="P579" s="44"/>
      <c r="Q579" s="44"/>
      <c r="R579" s="44"/>
      <c r="S579" s="44"/>
      <c r="T579" s="44"/>
      <c r="U579" s="44"/>
      <c r="V579" s="44"/>
      <c r="W579" s="44"/>
      <c r="X579" s="44"/>
      <c r="Y579" s="44"/>
      <c r="Z579" s="44"/>
    </row>
    <row r="580" spans="1:26" ht="15.75" customHeight="1">
      <c r="A580" s="44"/>
      <c r="B580" s="44"/>
      <c r="C580" s="44"/>
      <c r="D580" s="44"/>
      <c r="E580" s="44"/>
      <c r="F580" s="44"/>
      <c r="G580" s="44"/>
      <c r="H580" s="44"/>
      <c r="I580" s="190"/>
      <c r="J580" s="48"/>
      <c r="K580" s="48"/>
      <c r="L580" s="44"/>
      <c r="M580" s="44"/>
      <c r="N580" s="44"/>
      <c r="O580" s="44"/>
      <c r="P580" s="44"/>
      <c r="Q580" s="44"/>
      <c r="R580" s="44"/>
      <c r="S580" s="44"/>
      <c r="T580" s="44"/>
      <c r="U580" s="44"/>
      <c r="V580" s="44"/>
      <c r="W580" s="44"/>
      <c r="X580" s="44"/>
      <c r="Y580" s="44"/>
      <c r="Z580" s="44"/>
    </row>
    <row r="581" spans="1:26" ht="15.75" customHeight="1">
      <c r="A581" s="44"/>
      <c r="B581" s="44"/>
      <c r="C581" s="44"/>
      <c r="D581" s="44"/>
      <c r="E581" s="44"/>
      <c r="F581" s="44"/>
      <c r="G581" s="44"/>
      <c r="H581" s="44"/>
      <c r="I581" s="190"/>
      <c r="J581" s="48"/>
      <c r="K581" s="48"/>
      <c r="L581" s="44"/>
      <c r="M581" s="44"/>
      <c r="N581" s="44"/>
      <c r="O581" s="44"/>
      <c r="P581" s="44"/>
      <c r="Q581" s="44"/>
      <c r="R581" s="44"/>
      <c r="S581" s="44"/>
      <c r="T581" s="44"/>
      <c r="U581" s="44"/>
      <c r="V581" s="44"/>
      <c r="W581" s="44"/>
      <c r="X581" s="44"/>
      <c r="Y581" s="44"/>
      <c r="Z581" s="44"/>
    </row>
    <row r="582" spans="1:26" ht="15.75" customHeight="1">
      <c r="A582" s="44"/>
      <c r="B582" s="44"/>
      <c r="C582" s="44"/>
      <c r="D582" s="44"/>
      <c r="E582" s="44"/>
      <c r="F582" s="44"/>
      <c r="G582" s="44"/>
      <c r="H582" s="44"/>
      <c r="I582" s="190"/>
      <c r="J582" s="48"/>
      <c r="K582" s="48"/>
      <c r="L582" s="44"/>
      <c r="M582" s="44"/>
      <c r="N582" s="44"/>
      <c r="O582" s="44"/>
      <c r="P582" s="44"/>
      <c r="Q582" s="44"/>
      <c r="R582" s="44"/>
      <c r="S582" s="44"/>
      <c r="T582" s="44"/>
      <c r="U582" s="44"/>
      <c r="V582" s="44"/>
      <c r="W582" s="44"/>
      <c r="X582" s="44"/>
      <c r="Y582" s="44"/>
      <c r="Z582" s="44"/>
    </row>
    <row r="583" spans="1:26" ht="15.75" customHeight="1">
      <c r="A583" s="44"/>
      <c r="B583" s="44"/>
      <c r="C583" s="44"/>
      <c r="D583" s="44"/>
      <c r="E583" s="44"/>
      <c r="F583" s="44"/>
      <c r="G583" s="44"/>
      <c r="H583" s="44"/>
      <c r="I583" s="190"/>
      <c r="J583" s="48"/>
      <c r="K583" s="48"/>
      <c r="L583" s="44"/>
      <c r="M583" s="44"/>
      <c r="N583" s="44"/>
      <c r="O583" s="44"/>
      <c r="P583" s="44"/>
      <c r="Q583" s="44"/>
      <c r="R583" s="44"/>
      <c r="S583" s="44"/>
      <c r="T583" s="44"/>
      <c r="U583" s="44"/>
      <c r="V583" s="44"/>
      <c r="W583" s="44"/>
      <c r="X583" s="44"/>
      <c r="Y583" s="44"/>
      <c r="Z583" s="44"/>
    </row>
    <row r="584" spans="1:26" ht="15.75" customHeight="1">
      <c r="A584" s="44"/>
      <c r="B584" s="44"/>
      <c r="C584" s="44"/>
      <c r="D584" s="44"/>
      <c r="E584" s="44"/>
      <c r="F584" s="44"/>
      <c r="G584" s="44"/>
      <c r="H584" s="44"/>
      <c r="I584" s="190"/>
      <c r="J584" s="48"/>
      <c r="K584" s="48"/>
      <c r="L584" s="44"/>
      <c r="M584" s="44"/>
      <c r="N584" s="44"/>
      <c r="O584" s="44"/>
      <c r="P584" s="44"/>
      <c r="Q584" s="44"/>
      <c r="R584" s="44"/>
      <c r="S584" s="44"/>
      <c r="T584" s="44"/>
      <c r="U584" s="44"/>
      <c r="V584" s="44"/>
      <c r="W584" s="44"/>
      <c r="X584" s="44"/>
      <c r="Y584" s="44"/>
      <c r="Z584" s="44"/>
    </row>
    <row r="585" spans="1:26" ht="15.75" customHeight="1">
      <c r="A585" s="44"/>
      <c r="B585" s="44"/>
      <c r="C585" s="44"/>
      <c r="D585" s="44"/>
      <c r="E585" s="44"/>
      <c r="F585" s="44"/>
      <c r="G585" s="44"/>
      <c r="H585" s="44"/>
      <c r="I585" s="190"/>
      <c r="J585" s="48"/>
      <c r="K585" s="48"/>
      <c r="L585" s="44"/>
      <c r="M585" s="44"/>
      <c r="N585" s="44"/>
      <c r="O585" s="44"/>
      <c r="P585" s="44"/>
      <c r="Q585" s="44"/>
      <c r="R585" s="44"/>
      <c r="S585" s="44"/>
      <c r="T585" s="44"/>
      <c r="U585" s="44"/>
      <c r="V585" s="44"/>
      <c r="W585" s="44"/>
      <c r="X585" s="44"/>
      <c r="Y585" s="44"/>
      <c r="Z585" s="44"/>
    </row>
    <row r="586" spans="1:26" ht="15.75" customHeight="1">
      <c r="A586" s="44"/>
      <c r="B586" s="44"/>
      <c r="C586" s="44"/>
      <c r="D586" s="44"/>
      <c r="E586" s="44"/>
      <c r="F586" s="44"/>
      <c r="G586" s="44"/>
      <c r="H586" s="44"/>
      <c r="I586" s="190"/>
      <c r="J586" s="48"/>
      <c r="K586" s="48"/>
      <c r="L586" s="44"/>
      <c r="M586" s="44"/>
      <c r="N586" s="44"/>
      <c r="O586" s="44"/>
      <c r="P586" s="44"/>
      <c r="Q586" s="44"/>
      <c r="R586" s="44"/>
      <c r="S586" s="44"/>
      <c r="T586" s="44"/>
      <c r="U586" s="44"/>
      <c r="V586" s="44"/>
      <c r="W586" s="44"/>
      <c r="X586" s="44"/>
      <c r="Y586" s="44"/>
      <c r="Z586" s="44"/>
    </row>
    <row r="587" spans="1:26" ht="15.75" customHeight="1">
      <c r="A587" s="44"/>
      <c r="B587" s="44"/>
      <c r="C587" s="44"/>
      <c r="D587" s="44"/>
      <c r="E587" s="44"/>
      <c r="F587" s="44"/>
      <c r="G587" s="44"/>
      <c r="H587" s="44"/>
      <c r="I587" s="190"/>
      <c r="J587" s="48"/>
      <c r="K587" s="48"/>
      <c r="L587" s="44"/>
      <c r="M587" s="44"/>
      <c r="N587" s="44"/>
      <c r="O587" s="44"/>
      <c r="P587" s="44"/>
      <c r="Q587" s="44"/>
      <c r="R587" s="44"/>
      <c r="S587" s="44"/>
      <c r="T587" s="44"/>
      <c r="U587" s="44"/>
      <c r="V587" s="44"/>
      <c r="W587" s="44"/>
      <c r="X587" s="44"/>
      <c r="Y587" s="44"/>
      <c r="Z587" s="44"/>
    </row>
    <row r="588" spans="1:26" ht="15.75" customHeight="1">
      <c r="A588" s="44"/>
      <c r="B588" s="44"/>
      <c r="C588" s="44"/>
      <c r="D588" s="44"/>
      <c r="E588" s="44"/>
      <c r="F588" s="44"/>
      <c r="G588" s="44"/>
      <c r="H588" s="44"/>
      <c r="I588" s="190"/>
      <c r="J588" s="48"/>
      <c r="K588" s="48"/>
      <c r="L588" s="44"/>
      <c r="M588" s="44"/>
      <c r="N588" s="44"/>
      <c r="O588" s="44"/>
      <c r="P588" s="44"/>
      <c r="Q588" s="44"/>
      <c r="R588" s="44"/>
      <c r="S588" s="44"/>
      <c r="T588" s="44"/>
      <c r="U588" s="44"/>
      <c r="V588" s="44"/>
      <c r="W588" s="44"/>
      <c r="X588" s="44"/>
      <c r="Y588" s="44"/>
      <c r="Z588" s="44"/>
    </row>
    <row r="589" spans="1:26" ht="15.75" customHeight="1">
      <c r="A589" s="44"/>
      <c r="B589" s="44"/>
      <c r="C589" s="44"/>
      <c r="D589" s="44"/>
      <c r="E589" s="44"/>
      <c r="F589" s="44"/>
      <c r="G589" s="44"/>
      <c r="H589" s="44"/>
      <c r="I589" s="190"/>
      <c r="J589" s="48"/>
      <c r="K589" s="48"/>
      <c r="L589" s="44"/>
      <c r="M589" s="44"/>
      <c r="N589" s="44"/>
      <c r="O589" s="44"/>
      <c r="P589" s="44"/>
      <c r="Q589" s="44"/>
      <c r="R589" s="44"/>
      <c r="S589" s="44"/>
      <c r="T589" s="44"/>
      <c r="U589" s="44"/>
      <c r="V589" s="44"/>
      <c r="W589" s="44"/>
      <c r="X589" s="44"/>
      <c r="Y589" s="44"/>
      <c r="Z589" s="44"/>
    </row>
    <row r="590" spans="1:26" ht="15.75" customHeight="1">
      <c r="A590" s="44"/>
      <c r="B590" s="44"/>
      <c r="C590" s="44"/>
      <c r="D590" s="44"/>
      <c r="E590" s="44"/>
      <c r="F590" s="44"/>
      <c r="G590" s="44"/>
      <c r="H590" s="44"/>
      <c r="I590" s="190"/>
      <c r="J590" s="48"/>
      <c r="K590" s="48"/>
      <c r="L590" s="44"/>
      <c r="M590" s="44"/>
      <c r="N590" s="44"/>
      <c r="O590" s="44"/>
      <c r="P590" s="44"/>
      <c r="Q590" s="44"/>
      <c r="R590" s="44"/>
      <c r="S590" s="44"/>
      <c r="T590" s="44"/>
      <c r="U590" s="44"/>
      <c r="V590" s="44"/>
      <c r="W590" s="44"/>
      <c r="X590" s="44"/>
      <c r="Y590" s="44"/>
      <c r="Z590" s="44"/>
    </row>
    <row r="591" spans="1:26" ht="15.75" customHeight="1">
      <c r="A591" s="44"/>
      <c r="B591" s="44"/>
      <c r="C591" s="44"/>
      <c r="D591" s="44"/>
      <c r="E591" s="44"/>
      <c r="F591" s="44"/>
      <c r="G591" s="44"/>
      <c r="H591" s="44"/>
      <c r="I591" s="190"/>
      <c r="J591" s="48"/>
      <c r="K591" s="48"/>
      <c r="L591" s="44"/>
      <c r="M591" s="44"/>
      <c r="N591" s="44"/>
      <c r="O591" s="44"/>
      <c r="P591" s="44"/>
      <c r="Q591" s="44"/>
      <c r="R591" s="44"/>
      <c r="S591" s="44"/>
      <c r="T591" s="44"/>
      <c r="U591" s="44"/>
      <c r="V591" s="44"/>
      <c r="W591" s="44"/>
      <c r="X591" s="44"/>
      <c r="Y591" s="44"/>
      <c r="Z591" s="44"/>
    </row>
    <row r="592" spans="1:26" ht="15.75" customHeight="1">
      <c r="A592" s="44"/>
      <c r="B592" s="44"/>
      <c r="C592" s="44"/>
      <c r="D592" s="44"/>
      <c r="E592" s="44"/>
      <c r="F592" s="44"/>
      <c r="G592" s="44"/>
      <c r="H592" s="44"/>
      <c r="I592" s="190"/>
      <c r="J592" s="48"/>
      <c r="K592" s="48"/>
      <c r="L592" s="44"/>
      <c r="M592" s="44"/>
      <c r="N592" s="44"/>
      <c r="O592" s="44"/>
      <c r="P592" s="44"/>
      <c r="Q592" s="44"/>
      <c r="R592" s="44"/>
      <c r="S592" s="44"/>
      <c r="T592" s="44"/>
      <c r="U592" s="44"/>
      <c r="V592" s="44"/>
      <c r="W592" s="44"/>
      <c r="X592" s="44"/>
      <c r="Y592" s="44"/>
      <c r="Z592" s="44"/>
    </row>
    <row r="593" spans="1:26" ht="15.75" customHeight="1">
      <c r="A593" s="44"/>
      <c r="B593" s="44"/>
      <c r="C593" s="44"/>
      <c r="D593" s="44"/>
      <c r="E593" s="44"/>
      <c r="F593" s="44"/>
      <c r="G593" s="44"/>
      <c r="H593" s="44"/>
      <c r="I593" s="190"/>
      <c r="J593" s="48"/>
      <c r="K593" s="48"/>
      <c r="L593" s="44"/>
      <c r="M593" s="44"/>
      <c r="N593" s="44"/>
      <c r="O593" s="44"/>
      <c r="P593" s="44"/>
      <c r="Q593" s="44"/>
      <c r="R593" s="44"/>
      <c r="S593" s="44"/>
      <c r="T593" s="44"/>
      <c r="U593" s="44"/>
      <c r="V593" s="44"/>
      <c r="W593" s="44"/>
      <c r="X593" s="44"/>
      <c r="Y593" s="44"/>
      <c r="Z593" s="44"/>
    </row>
    <row r="594" spans="1:26" ht="15.75" customHeight="1">
      <c r="A594" s="44"/>
      <c r="B594" s="44"/>
      <c r="C594" s="44"/>
      <c r="D594" s="44"/>
      <c r="E594" s="44"/>
      <c r="F594" s="44"/>
      <c r="G594" s="44"/>
      <c r="H594" s="44"/>
      <c r="I594" s="190"/>
      <c r="J594" s="48"/>
      <c r="K594" s="48"/>
      <c r="L594" s="44"/>
      <c r="M594" s="44"/>
      <c r="N594" s="44"/>
      <c r="O594" s="44"/>
      <c r="P594" s="44"/>
      <c r="Q594" s="44"/>
      <c r="R594" s="44"/>
      <c r="S594" s="44"/>
      <c r="T594" s="44"/>
      <c r="U594" s="44"/>
      <c r="V594" s="44"/>
      <c r="W594" s="44"/>
      <c r="X594" s="44"/>
      <c r="Y594" s="44"/>
      <c r="Z594" s="44"/>
    </row>
    <row r="595" spans="1:26" ht="15.75" customHeight="1">
      <c r="A595" s="44"/>
      <c r="B595" s="44"/>
      <c r="C595" s="44"/>
      <c r="D595" s="44"/>
      <c r="E595" s="44"/>
      <c r="F595" s="44"/>
      <c r="G595" s="44"/>
      <c r="H595" s="44"/>
      <c r="I595" s="190"/>
      <c r="J595" s="48"/>
      <c r="K595" s="48"/>
      <c r="L595" s="44"/>
      <c r="M595" s="44"/>
      <c r="N595" s="44"/>
      <c r="O595" s="44"/>
      <c r="P595" s="44"/>
      <c r="Q595" s="44"/>
      <c r="R595" s="44"/>
      <c r="S595" s="44"/>
      <c r="T595" s="44"/>
      <c r="U595" s="44"/>
      <c r="V595" s="44"/>
      <c r="W595" s="44"/>
      <c r="X595" s="44"/>
      <c r="Y595" s="44"/>
      <c r="Z595" s="44"/>
    </row>
    <row r="596" spans="1:26" ht="15.75" customHeight="1">
      <c r="A596" s="44"/>
      <c r="B596" s="44"/>
      <c r="C596" s="44"/>
      <c r="D596" s="44"/>
      <c r="E596" s="44"/>
      <c r="F596" s="44"/>
      <c r="G596" s="44"/>
      <c r="H596" s="44"/>
      <c r="I596" s="190"/>
      <c r="J596" s="48"/>
      <c r="K596" s="48"/>
      <c r="L596" s="44"/>
      <c r="M596" s="44"/>
      <c r="N596" s="44"/>
      <c r="O596" s="44"/>
      <c r="P596" s="44"/>
      <c r="Q596" s="44"/>
      <c r="R596" s="44"/>
      <c r="S596" s="44"/>
      <c r="T596" s="44"/>
      <c r="U596" s="44"/>
      <c r="V596" s="44"/>
      <c r="W596" s="44"/>
      <c r="X596" s="44"/>
      <c r="Y596" s="44"/>
      <c r="Z596" s="44"/>
    </row>
    <row r="597" spans="1:26" ht="15.75" customHeight="1">
      <c r="A597" s="44"/>
      <c r="B597" s="44"/>
      <c r="C597" s="44"/>
      <c r="D597" s="44"/>
      <c r="E597" s="44"/>
      <c r="F597" s="44"/>
      <c r="G597" s="44"/>
      <c r="H597" s="44"/>
      <c r="I597" s="190"/>
      <c r="J597" s="48"/>
      <c r="K597" s="48"/>
      <c r="L597" s="44"/>
      <c r="M597" s="44"/>
      <c r="N597" s="44"/>
      <c r="O597" s="44"/>
      <c r="P597" s="44"/>
      <c r="Q597" s="44"/>
      <c r="R597" s="44"/>
      <c r="S597" s="44"/>
      <c r="T597" s="44"/>
      <c r="U597" s="44"/>
      <c r="V597" s="44"/>
      <c r="W597" s="44"/>
      <c r="X597" s="44"/>
      <c r="Y597" s="44"/>
      <c r="Z597" s="44"/>
    </row>
    <row r="598" spans="1:26" ht="15.75" customHeight="1">
      <c r="A598" s="44"/>
      <c r="B598" s="44"/>
      <c r="C598" s="44"/>
      <c r="D598" s="44"/>
      <c r="E598" s="44"/>
      <c r="F598" s="44"/>
      <c r="G598" s="44"/>
      <c r="H598" s="44"/>
      <c r="I598" s="190"/>
      <c r="J598" s="48"/>
      <c r="K598" s="48"/>
      <c r="L598" s="44"/>
      <c r="M598" s="44"/>
      <c r="N598" s="44"/>
      <c r="O598" s="44"/>
      <c r="P598" s="44"/>
      <c r="Q598" s="44"/>
      <c r="R598" s="44"/>
      <c r="S598" s="44"/>
      <c r="T598" s="44"/>
      <c r="U598" s="44"/>
      <c r="V598" s="44"/>
      <c r="W598" s="44"/>
      <c r="X598" s="44"/>
      <c r="Y598" s="44"/>
      <c r="Z598" s="44"/>
    </row>
    <row r="599" spans="1:26" ht="15.75" customHeight="1">
      <c r="A599" s="44"/>
      <c r="B599" s="44"/>
      <c r="C599" s="44"/>
      <c r="D599" s="44"/>
      <c r="E599" s="44"/>
      <c r="F599" s="44"/>
      <c r="G599" s="44"/>
      <c r="H599" s="44"/>
      <c r="I599" s="190"/>
      <c r="J599" s="48"/>
      <c r="K599" s="48"/>
      <c r="L599" s="44"/>
      <c r="M599" s="44"/>
      <c r="N599" s="44"/>
      <c r="O599" s="44"/>
      <c r="P599" s="44"/>
      <c r="Q599" s="44"/>
      <c r="R599" s="44"/>
      <c r="S599" s="44"/>
      <c r="T599" s="44"/>
      <c r="U599" s="44"/>
      <c r="V599" s="44"/>
      <c r="W599" s="44"/>
      <c r="X599" s="44"/>
      <c r="Y599" s="44"/>
      <c r="Z599" s="44"/>
    </row>
    <row r="600" spans="1:26" ht="15.75" customHeight="1">
      <c r="A600" s="44"/>
      <c r="B600" s="44"/>
      <c r="C600" s="44"/>
      <c r="D600" s="44"/>
      <c r="E600" s="44"/>
      <c r="F600" s="44"/>
      <c r="G600" s="44"/>
      <c r="H600" s="44"/>
      <c r="I600" s="190"/>
      <c r="J600" s="48"/>
      <c r="K600" s="48"/>
      <c r="L600" s="44"/>
      <c r="M600" s="44"/>
      <c r="N600" s="44"/>
      <c r="O600" s="44"/>
      <c r="P600" s="44"/>
      <c r="Q600" s="44"/>
      <c r="R600" s="44"/>
      <c r="S600" s="44"/>
      <c r="T600" s="44"/>
      <c r="U600" s="44"/>
      <c r="V600" s="44"/>
      <c r="W600" s="44"/>
      <c r="X600" s="44"/>
      <c r="Y600" s="44"/>
      <c r="Z600" s="44"/>
    </row>
    <row r="601" spans="1:26" ht="15.75" customHeight="1">
      <c r="A601" s="44"/>
      <c r="B601" s="44"/>
      <c r="C601" s="44"/>
      <c r="D601" s="44"/>
      <c r="E601" s="44"/>
      <c r="F601" s="44"/>
      <c r="G601" s="44"/>
      <c r="H601" s="44"/>
      <c r="I601" s="190"/>
      <c r="J601" s="48"/>
      <c r="K601" s="48"/>
      <c r="L601" s="44"/>
      <c r="M601" s="44"/>
      <c r="N601" s="44"/>
      <c r="O601" s="44"/>
      <c r="P601" s="44"/>
      <c r="Q601" s="44"/>
      <c r="R601" s="44"/>
      <c r="S601" s="44"/>
      <c r="T601" s="44"/>
      <c r="U601" s="44"/>
      <c r="V601" s="44"/>
      <c r="W601" s="44"/>
      <c r="X601" s="44"/>
      <c r="Y601" s="44"/>
      <c r="Z601" s="44"/>
    </row>
    <row r="602" spans="1:26" ht="15.75" customHeight="1">
      <c r="A602" s="44"/>
      <c r="B602" s="44"/>
      <c r="C602" s="44"/>
      <c r="D602" s="44"/>
      <c r="E602" s="44"/>
      <c r="F602" s="44"/>
      <c r="G602" s="44"/>
      <c r="H602" s="44"/>
      <c r="I602" s="190"/>
      <c r="J602" s="48"/>
      <c r="K602" s="48"/>
      <c r="L602" s="44"/>
      <c r="M602" s="44"/>
      <c r="N602" s="44"/>
      <c r="O602" s="44"/>
      <c r="P602" s="44"/>
      <c r="Q602" s="44"/>
      <c r="R602" s="44"/>
      <c r="S602" s="44"/>
      <c r="T602" s="44"/>
      <c r="U602" s="44"/>
      <c r="V602" s="44"/>
      <c r="W602" s="44"/>
      <c r="X602" s="44"/>
      <c r="Y602" s="44"/>
      <c r="Z602" s="44"/>
    </row>
    <row r="603" spans="1:26" ht="15.75" customHeight="1">
      <c r="A603" s="44"/>
      <c r="B603" s="44"/>
      <c r="C603" s="44"/>
      <c r="D603" s="44"/>
      <c r="E603" s="44"/>
      <c r="F603" s="44"/>
      <c r="G603" s="44"/>
      <c r="H603" s="44"/>
      <c r="I603" s="190"/>
      <c r="J603" s="48"/>
      <c r="K603" s="48"/>
      <c r="L603" s="44"/>
      <c r="M603" s="44"/>
      <c r="N603" s="44"/>
      <c r="O603" s="44"/>
      <c r="P603" s="44"/>
      <c r="Q603" s="44"/>
      <c r="R603" s="44"/>
      <c r="S603" s="44"/>
      <c r="T603" s="44"/>
      <c r="U603" s="44"/>
      <c r="V603" s="44"/>
      <c r="W603" s="44"/>
      <c r="X603" s="44"/>
      <c r="Y603" s="44"/>
      <c r="Z603" s="44"/>
    </row>
    <row r="604" spans="1:26" ht="15.75" customHeight="1">
      <c r="A604" s="44"/>
      <c r="B604" s="44"/>
      <c r="C604" s="44"/>
      <c r="D604" s="44"/>
      <c r="E604" s="44"/>
      <c r="F604" s="44"/>
      <c r="G604" s="44"/>
      <c r="H604" s="44"/>
      <c r="I604" s="190"/>
      <c r="J604" s="48"/>
      <c r="K604" s="48"/>
      <c r="L604" s="44"/>
      <c r="M604" s="44"/>
      <c r="N604" s="44"/>
      <c r="O604" s="44"/>
      <c r="P604" s="44"/>
      <c r="Q604" s="44"/>
      <c r="R604" s="44"/>
      <c r="S604" s="44"/>
      <c r="T604" s="44"/>
      <c r="U604" s="44"/>
      <c r="V604" s="44"/>
      <c r="W604" s="44"/>
      <c r="X604" s="44"/>
      <c r="Y604" s="44"/>
      <c r="Z604" s="44"/>
    </row>
    <row r="605" spans="1:26" ht="15.75" customHeight="1">
      <c r="A605" s="44"/>
      <c r="B605" s="44"/>
      <c r="C605" s="44"/>
      <c r="D605" s="44"/>
      <c r="E605" s="44"/>
      <c r="F605" s="44"/>
      <c r="G605" s="44"/>
      <c r="H605" s="44"/>
      <c r="I605" s="190"/>
      <c r="J605" s="48"/>
      <c r="K605" s="48"/>
      <c r="L605" s="44"/>
      <c r="M605" s="44"/>
      <c r="N605" s="44"/>
      <c r="O605" s="44"/>
      <c r="P605" s="44"/>
      <c r="Q605" s="44"/>
      <c r="R605" s="44"/>
      <c r="S605" s="44"/>
      <c r="T605" s="44"/>
      <c r="U605" s="44"/>
      <c r="V605" s="44"/>
      <c r="W605" s="44"/>
      <c r="X605" s="44"/>
      <c r="Y605" s="44"/>
      <c r="Z605" s="44"/>
    </row>
    <row r="606" spans="1:26" ht="15.75" customHeight="1">
      <c r="A606" s="44"/>
      <c r="B606" s="44"/>
      <c r="C606" s="44"/>
      <c r="D606" s="44"/>
      <c r="E606" s="44"/>
      <c r="F606" s="44"/>
      <c r="G606" s="44"/>
      <c r="H606" s="44"/>
      <c r="I606" s="190"/>
      <c r="J606" s="48"/>
      <c r="K606" s="48"/>
      <c r="L606" s="44"/>
      <c r="M606" s="44"/>
      <c r="N606" s="44"/>
      <c r="O606" s="44"/>
      <c r="P606" s="44"/>
      <c r="Q606" s="44"/>
      <c r="R606" s="44"/>
      <c r="S606" s="44"/>
      <c r="T606" s="44"/>
      <c r="U606" s="44"/>
      <c r="V606" s="44"/>
      <c r="W606" s="44"/>
      <c r="X606" s="44"/>
      <c r="Y606" s="44"/>
      <c r="Z606" s="44"/>
    </row>
    <row r="607" spans="1:26" ht="15.75" customHeight="1">
      <c r="A607" s="44"/>
      <c r="B607" s="44"/>
      <c r="C607" s="44"/>
      <c r="D607" s="44"/>
      <c r="E607" s="44"/>
      <c r="F607" s="44"/>
      <c r="G607" s="44"/>
      <c r="H607" s="44"/>
      <c r="I607" s="190"/>
      <c r="J607" s="48"/>
      <c r="K607" s="48"/>
      <c r="L607" s="44"/>
      <c r="M607" s="44"/>
      <c r="N607" s="44"/>
      <c r="O607" s="44"/>
      <c r="P607" s="44"/>
      <c r="Q607" s="44"/>
      <c r="R607" s="44"/>
      <c r="S607" s="44"/>
      <c r="T607" s="44"/>
      <c r="U607" s="44"/>
      <c r="V607" s="44"/>
      <c r="W607" s="44"/>
      <c r="X607" s="44"/>
      <c r="Y607" s="44"/>
      <c r="Z607" s="44"/>
    </row>
    <row r="608" spans="1:26" ht="15.75" customHeight="1">
      <c r="A608" s="44"/>
      <c r="B608" s="44"/>
      <c r="C608" s="44"/>
      <c r="D608" s="44"/>
      <c r="E608" s="44"/>
      <c r="F608" s="44"/>
      <c r="G608" s="44"/>
      <c r="H608" s="44"/>
      <c r="I608" s="190"/>
      <c r="J608" s="48"/>
      <c r="K608" s="48"/>
      <c r="L608" s="44"/>
      <c r="M608" s="44"/>
      <c r="N608" s="44"/>
      <c r="O608" s="44"/>
      <c r="P608" s="44"/>
      <c r="Q608" s="44"/>
      <c r="R608" s="44"/>
      <c r="S608" s="44"/>
      <c r="T608" s="44"/>
      <c r="U608" s="44"/>
      <c r="V608" s="44"/>
      <c r="W608" s="44"/>
      <c r="X608" s="44"/>
      <c r="Y608" s="44"/>
      <c r="Z608" s="44"/>
    </row>
    <row r="609" spans="1:26" ht="15.75" customHeight="1">
      <c r="A609" s="44"/>
      <c r="B609" s="44"/>
      <c r="C609" s="44"/>
      <c r="D609" s="44"/>
      <c r="E609" s="44"/>
      <c r="F609" s="44"/>
      <c r="G609" s="44"/>
      <c r="H609" s="44"/>
      <c r="I609" s="190"/>
      <c r="J609" s="48"/>
      <c r="K609" s="48"/>
      <c r="L609" s="44"/>
      <c r="M609" s="44"/>
      <c r="N609" s="44"/>
      <c r="O609" s="44"/>
      <c r="P609" s="44"/>
      <c r="Q609" s="44"/>
      <c r="R609" s="44"/>
      <c r="S609" s="44"/>
      <c r="T609" s="44"/>
      <c r="U609" s="44"/>
      <c r="V609" s="44"/>
      <c r="W609" s="44"/>
      <c r="X609" s="44"/>
      <c r="Y609" s="44"/>
      <c r="Z609" s="44"/>
    </row>
    <row r="610" spans="1:26" ht="15.75" customHeight="1">
      <c r="A610" s="44"/>
      <c r="B610" s="44"/>
      <c r="C610" s="44"/>
      <c r="D610" s="44"/>
      <c r="E610" s="44"/>
      <c r="F610" s="44"/>
      <c r="G610" s="44"/>
      <c r="H610" s="44"/>
      <c r="I610" s="190"/>
      <c r="J610" s="48"/>
      <c r="K610" s="48"/>
      <c r="L610" s="44"/>
      <c r="M610" s="44"/>
      <c r="N610" s="44"/>
      <c r="O610" s="44"/>
      <c r="P610" s="44"/>
      <c r="Q610" s="44"/>
      <c r="R610" s="44"/>
      <c r="S610" s="44"/>
      <c r="T610" s="44"/>
      <c r="U610" s="44"/>
      <c r="V610" s="44"/>
      <c r="W610" s="44"/>
      <c r="X610" s="44"/>
      <c r="Y610" s="44"/>
      <c r="Z610" s="44"/>
    </row>
    <row r="611" spans="1:26" ht="15.75" customHeight="1">
      <c r="A611" s="44"/>
      <c r="B611" s="44"/>
      <c r="C611" s="44"/>
      <c r="D611" s="44"/>
      <c r="E611" s="44"/>
      <c r="F611" s="44"/>
      <c r="G611" s="44"/>
      <c r="H611" s="44"/>
      <c r="I611" s="190"/>
      <c r="J611" s="48"/>
      <c r="K611" s="48"/>
      <c r="L611" s="44"/>
      <c r="M611" s="44"/>
      <c r="N611" s="44"/>
      <c r="O611" s="44"/>
      <c r="P611" s="44"/>
      <c r="Q611" s="44"/>
      <c r="R611" s="44"/>
      <c r="S611" s="44"/>
      <c r="T611" s="44"/>
      <c r="U611" s="44"/>
      <c r="V611" s="44"/>
      <c r="W611" s="44"/>
      <c r="X611" s="44"/>
      <c r="Y611" s="44"/>
      <c r="Z611" s="44"/>
    </row>
    <row r="612" spans="1:26" ht="15.75" customHeight="1">
      <c r="A612" s="44"/>
      <c r="B612" s="44"/>
      <c r="C612" s="44"/>
      <c r="D612" s="44"/>
      <c r="E612" s="44"/>
      <c r="F612" s="44"/>
      <c r="G612" s="44"/>
      <c r="H612" s="44"/>
      <c r="I612" s="190"/>
      <c r="J612" s="48"/>
      <c r="K612" s="48"/>
      <c r="L612" s="44"/>
      <c r="M612" s="44"/>
      <c r="N612" s="44"/>
      <c r="O612" s="44"/>
      <c r="P612" s="44"/>
      <c r="Q612" s="44"/>
      <c r="R612" s="44"/>
      <c r="S612" s="44"/>
      <c r="T612" s="44"/>
      <c r="U612" s="44"/>
      <c r="V612" s="44"/>
      <c r="W612" s="44"/>
      <c r="X612" s="44"/>
      <c r="Y612" s="44"/>
      <c r="Z612" s="44"/>
    </row>
    <row r="613" spans="1:26" ht="15.75" customHeight="1">
      <c r="A613" s="44"/>
      <c r="B613" s="44"/>
      <c r="C613" s="44"/>
      <c r="D613" s="44"/>
      <c r="E613" s="44"/>
      <c r="F613" s="44"/>
      <c r="G613" s="44"/>
      <c r="H613" s="44"/>
      <c r="I613" s="190"/>
      <c r="J613" s="48"/>
      <c r="K613" s="48"/>
      <c r="L613" s="44"/>
      <c r="M613" s="44"/>
      <c r="N613" s="44"/>
      <c r="O613" s="44"/>
      <c r="P613" s="44"/>
      <c r="Q613" s="44"/>
      <c r="R613" s="44"/>
      <c r="S613" s="44"/>
      <c r="T613" s="44"/>
      <c r="U613" s="44"/>
      <c r="V613" s="44"/>
      <c r="W613" s="44"/>
      <c r="X613" s="44"/>
      <c r="Y613" s="44"/>
      <c r="Z613" s="44"/>
    </row>
    <row r="614" spans="1:26" ht="15.75" customHeight="1">
      <c r="A614" s="44"/>
      <c r="B614" s="44"/>
      <c r="C614" s="44"/>
      <c r="D614" s="44"/>
      <c r="E614" s="44"/>
      <c r="F614" s="44"/>
      <c r="G614" s="44"/>
      <c r="H614" s="44"/>
      <c r="I614" s="190"/>
      <c r="J614" s="48"/>
      <c r="K614" s="48"/>
      <c r="L614" s="44"/>
      <c r="M614" s="44"/>
      <c r="N614" s="44"/>
      <c r="O614" s="44"/>
      <c r="P614" s="44"/>
      <c r="Q614" s="44"/>
      <c r="R614" s="44"/>
      <c r="S614" s="44"/>
      <c r="T614" s="44"/>
      <c r="U614" s="44"/>
      <c r="V614" s="44"/>
      <c r="W614" s="44"/>
      <c r="X614" s="44"/>
      <c r="Y614" s="44"/>
      <c r="Z614" s="44"/>
    </row>
    <row r="615" spans="1:26" ht="15.75" customHeight="1">
      <c r="A615" s="44"/>
      <c r="B615" s="44"/>
      <c r="C615" s="44"/>
      <c r="D615" s="44"/>
      <c r="E615" s="44"/>
      <c r="F615" s="44"/>
      <c r="G615" s="44"/>
      <c r="H615" s="44"/>
      <c r="I615" s="190"/>
      <c r="J615" s="48"/>
      <c r="K615" s="48"/>
      <c r="L615" s="44"/>
      <c r="M615" s="44"/>
      <c r="N615" s="44"/>
      <c r="O615" s="44"/>
      <c r="P615" s="44"/>
      <c r="Q615" s="44"/>
      <c r="R615" s="44"/>
      <c r="S615" s="44"/>
      <c r="T615" s="44"/>
      <c r="U615" s="44"/>
      <c r="V615" s="44"/>
      <c r="W615" s="44"/>
      <c r="X615" s="44"/>
      <c r="Y615" s="44"/>
      <c r="Z615" s="44"/>
    </row>
    <row r="616" spans="1:26" ht="15.75" customHeight="1">
      <c r="A616" s="44"/>
      <c r="B616" s="44"/>
      <c r="C616" s="44"/>
      <c r="D616" s="44"/>
      <c r="E616" s="44"/>
      <c r="F616" s="44"/>
      <c r="G616" s="44"/>
      <c r="H616" s="44"/>
      <c r="I616" s="190"/>
      <c r="J616" s="48"/>
      <c r="K616" s="48"/>
      <c r="L616" s="44"/>
      <c r="M616" s="44"/>
      <c r="N616" s="44"/>
      <c r="O616" s="44"/>
      <c r="P616" s="44"/>
      <c r="Q616" s="44"/>
      <c r="R616" s="44"/>
      <c r="S616" s="44"/>
      <c r="T616" s="44"/>
      <c r="U616" s="44"/>
      <c r="V616" s="44"/>
      <c r="W616" s="44"/>
      <c r="X616" s="44"/>
      <c r="Y616" s="44"/>
      <c r="Z616" s="44"/>
    </row>
    <row r="617" spans="1:26" ht="15.75" customHeight="1">
      <c r="A617" s="44"/>
      <c r="B617" s="44"/>
      <c r="C617" s="44"/>
      <c r="D617" s="44"/>
      <c r="E617" s="44"/>
      <c r="F617" s="44"/>
      <c r="G617" s="44"/>
      <c r="H617" s="44"/>
      <c r="I617" s="190"/>
      <c r="J617" s="48"/>
      <c r="K617" s="48"/>
      <c r="L617" s="44"/>
      <c r="M617" s="44"/>
      <c r="N617" s="44"/>
      <c r="O617" s="44"/>
      <c r="P617" s="44"/>
      <c r="Q617" s="44"/>
      <c r="R617" s="44"/>
      <c r="S617" s="44"/>
      <c r="T617" s="44"/>
      <c r="U617" s="44"/>
      <c r="V617" s="44"/>
      <c r="W617" s="44"/>
      <c r="X617" s="44"/>
      <c r="Y617" s="44"/>
      <c r="Z617" s="44"/>
    </row>
    <row r="618" spans="1:26" ht="15.75" customHeight="1">
      <c r="A618" s="44"/>
      <c r="B618" s="44"/>
      <c r="C618" s="44"/>
      <c r="D618" s="44"/>
      <c r="E618" s="44"/>
      <c r="F618" s="44"/>
      <c r="G618" s="44"/>
      <c r="H618" s="44"/>
      <c r="I618" s="190"/>
      <c r="J618" s="48"/>
      <c r="K618" s="48"/>
      <c r="L618" s="44"/>
      <c r="M618" s="44"/>
      <c r="N618" s="44"/>
      <c r="O618" s="44"/>
      <c r="P618" s="44"/>
      <c r="Q618" s="44"/>
      <c r="R618" s="44"/>
      <c r="S618" s="44"/>
      <c r="T618" s="44"/>
      <c r="U618" s="44"/>
      <c r="V618" s="44"/>
      <c r="W618" s="44"/>
      <c r="X618" s="44"/>
      <c r="Y618" s="44"/>
      <c r="Z618" s="44"/>
    </row>
    <row r="619" spans="1:26" ht="15.75" customHeight="1">
      <c r="A619" s="44"/>
      <c r="B619" s="44"/>
      <c r="C619" s="44"/>
      <c r="D619" s="44"/>
      <c r="E619" s="44"/>
      <c r="F619" s="44"/>
      <c r="G619" s="44"/>
      <c r="H619" s="44"/>
      <c r="I619" s="190"/>
      <c r="J619" s="48"/>
      <c r="K619" s="48"/>
      <c r="L619" s="44"/>
      <c r="M619" s="44"/>
      <c r="N619" s="44"/>
      <c r="O619" s="44"/>
      <c r="P619" s="44"/>
      <c r="Q619" s="44"/>
      <c r="R619" s="44"/>
      <c r="S619" s="44"/>
      <c r="T619" s="44"/>
      <c r="U619" s="44"/>
      <c r="V619" s="44"/>
      <c r="W619" s="44"/>
      <c r="X619" s="44"/>
      <c r="Y619" s="44"/>
      <c r="Z619" s="44"/>
    </row>
    <row r="620" spans="1:26" ht="15.75" customHeight="1">
      <c r="A620" s="44"/>
      <c r="B620" s="44"/>
      <c r="C620" s="44"/>
      <c r="D620" s="44"/>
      <c r="E620" s="44"/>
      <c r="F620" s="44"/>
      <c r="G620" s="44"/>
      <c r="H620" s="44"/>
      <c r="I620" s="190"/>
      <c r="J620" s="48"/>
      <c r="K620" s="48"/>
      <c r="L620" s="44"/>
      <c r="M620" s="44"/>
      <c r="N620" s="44"/>
      <c r="O620" s="44"/>
      <c r="P620" s="44"/>
      <c r="Q620" s="44"/>
      <c r="R620" s="44"/>
      <c r="S620" s="44"/>
      <c r="T620" s="44"/>
      <c r="U620" s="44"/>
      <c r="V620" s="44"/>
      <c r="W620" s="44"/>
      <c r="X620" s="44"/>
      <c r="Y620" s="44"/>
      <c r="Z620" s="44"/>
    </row>
    <row r="621" spans="1:26" ht="15.75" customHeight="1">
      <c r="A621" s="44"/>
      <c r="B621" s="44"/>
      <c r="C621" s="44"/>
      <c r="D621" s="44"/>
      <c r="E621" s="44"/>
      <c r="F621" s="44"/>
      <c r="G621" s="44"/>
      <c r="H621" s="44"/>
      <c r="I621" s="190"/>
      <c r="J621" s="48"/>
      <c r="K621" s="48"/>
      <c r="L621" s="44"/>
      <c r="M621" s="44"/>
      <c r="N621" s="44"/>
      <c r="O621" s="44"/>
      <c r="P621" s="44"/>
      <c r="Q621" s="44"/>
      <c r="R621" s="44"/>
      <c r="S621" s="44"/>
      <c r="T621" s="44"/>
      <c r="U621" s="44"/>
      <c r="V621" s="44"/>
      <c r="W621" s="44"/>
      <c r="X621" s="44"/>
      <c r="Y621" s="44"/>
      <c r="Z621" s="44"/>
    </row>
    <row r="622" spans="1:26" ht="15.75" customHeight="1">
      <c r="A622" s="44"/>
      <c r="B622" s="44"/>
      <c r="C622" s="44"/>
      <c r="D622" s="44"/>
      <c r="E622" s="44"/>
      <c r="F622" s="44"/>
      <c r="G622" s="44"/>
      <c r="H622" s="44"/>
      <c r="I622" s="190"/>
      <c r="J622" s="48"/>
      <c r="K622" s="48"/>
      <c r="L622" s="44"/>
      <c r="M622" s="44"/>
      <c r="N622" s="44"/>
      <c r="O622" s="44"/>
      <c r="P622" s="44"/>
      <c r="Q622" s="44"/>
      <c r="R622" s="44"/>
      <c r="S622" s="44"/>
      <c r="T622" s="44"/>
      <c r="U622" s="44"/>
      <c r="V622" s="44"/>
      <c r="W622" s="44"/>
      <c r="X622" s="44"/>
      <c r="Y622" s="44"/>
      <c r="Z622" s="44"/>
    </row>
    <row r="623" spans="1:26" ht="15.75" customHeight="1">
      <c r="A623" s="44"/>
      <c r="B623" s="44"/>
      <c r="C623" s="44"/>
      <c r="D623" s="44"/>
      <c r="E623" s="44"/>
      <c r="F623" s="44"/>
      <c r="G623" s="44"/>
      <c r="H623" s="44"/>
      <c r="I623" s="190"/>
      <c r="J623" s="48"/>
      <c r="K623" s="48"/>
      <c r="L623" s="44"/>
      <c r="M623" s="44"/>
      <c r="N623" s="44"/>
      <c r="O623" s="44"/>
      <c r="P623" s="44"/>
      <c r="Q623" s="44"/>
      <c r="R623" s="44"/>
      <c r="S623" s="44"/>
      <c r="T623" s="44"/>
      <c r="U623" s="44"/>
      <c r="V623" s="44"/>
      <c r="W623" s="44"/>
      <c r="X623" s="44"/>
      <c r="Y623" s="44"/>
      <c r="Z623" s="44"/>
    </row>
    <row r="624" spans="1:26" ht="15.75" customHeight="1">
      <c r="A624" s="44"/>
      <c r="B624" s="44"/>
      <c r="C624" s="44"/>
      <c r="D624" s="44"/>
      <c r="E624" s="44"/>
      <c r="F624" s="44"/>
      <c r="G624" s="44"/>
      <c r="H624" s="44"/>
      <c r="I624" s="190"/>
      <c r="J624" s="48"/>
      <c r="K624" s="48"/>
      <c r="L624" s="44"/>
      <c r="M624" s="44"/>
      <c r="N624" s="44"/>
      <c r="O624" s="44"/>
      <c r="P624" s="44"/>
      <c r="Q624" s="44"/>
      <c r="R624" s="44"/>
      <c r="S624" s="44"/>
      <c r="T624" s="44"/>
      <c r="U624" s="44"/>
      <c r="V624" s="44"/>
      <c r="W624" s="44"/>
      <c r="X624" s="44"/>
      <c r="Y624" s="44"/>
      <c r="Z624" s="44"/>
    </row>
    <row r="625" spans="1:26" ht="15.75" customHeight="1">
      <c r="A625" s="44"/>
      <c r="B625" s="44"/>
      <c r="C625" s="44"/>
      <c r="D625" s="44"/>
      <c r="E625" s="44"/>
      <c r="F625" s="44"/>
      <c r="G625" s="44"/>
      <c r="H625" s="44"/>
      <c r="I625" s="190"/>
      <c r="J625" s="48"/>
      <c r="K625" s="48"/>
      <c r="L625" s="44"/>
      <c r="M625" s="44"/>
      <c r="N625" s="44"/>
      <c r="O625" s="44"/>
      <c r="P625" s="44"/>
      <c r="Q625" s="44"/>
      <c r="R625" s="44"/>
      <c r="S625" s="44"/>
      <c r="T625" s="44"/>
      <c r="U625" s="44"/>
      <c r="V625" s="44"/>
      <c r="W625" s="44"/>
      <c r="X625" s="44"/>
      <c r="Y625" s="44"/>
      <c r="Z625" s="44"/>
    </row>
    <row r="626" spans="1:26" ht="15.75" customHeight="1">
      <c r="A626" s="44"/>
      <c r="B626" s="44"/>
      <c r="C626" s="44"/>
      <c r="D626" s="44"/>
      <c r="E626" s="44"/>
      <c r="F626" s="44"/>
      <c r="G626" s="44"/>
      <c r="H626" s="44"/>
      <c r="I626" s="190"/>
      <c r="J626" s="48"/>
      <c r="K626" s="48"/>
      <c r="L626" s="44"/>
      <c r="M626" s="44"/>
      <c r="N626" s="44"/>
      <c r="O626" s="44"/>
      <c r="P626" s="44"/>
      <c r="Q626" s="44"/>
      <c r="R626" s="44"/>
      <c r="S626" s="44"/>
      <c r="T626" s="44"/>
      <c r="U626" s="44"/>
      <c r="V626" s="44"/>
      <c r="W626" s="44"/>
      <c r="X626" s="44"/>
      <c r="Y626" s="44"/>
      <c r="Z626" s="44"/>
    </row>
    <row r="627" spans="1:26" ht="15.75" customHeight="1">
      <c r="A627" s="44"/>
      <c r="B627" s="44"/>
      <c r="C627" s="44"/>
      <c r="D627" s="44"/>
      <c r="E627" s="44"/>
      <c r="F627" s="44"/>
      <c r="G627" s="44"/>
      <c r="H627" s="44"/>
      <c r="I627" s="190"/>
      <c r="J627" s="48"/>
      <c r="K627" s="48"/>
      <c r="L627" s="44"/>
      <c r="M627" s="44"/>
      <c r="N627" s="44"/>
      <c r="O627" s="44"/>
      <c r="P627" s="44"/>
      <c r="Q627" s="44"/>
      <c r="R627" s="44"/>
      <c r="S627" s="44"/>
      <c r="T627" s="44"/>
      <c r="U627" s="44"/>
      <c r="V627" s="44"/>
      <c r="W627" s="44"/>
      <c r="X627" s="44"/>
      <c r="Y627" s="44"/>
      <c r="Z627" s="44"/>
    </row>
    <row r="628" spans="1:26" ht="15.75" customHeight="1">
      <c r="A628" s="44"/>
      <c r="B628" s="44"/>
      <c r="C628" s="44"/>
      <c r="D628" s="44"/>
      <c r="E628" s="44"/>
      <c r="F628" s="44"/>
      <c r="G628" s="44"/>
      <c r="H628" s="44"/>
      <c r="I628" s="190"/>
      <c r="J628" s="48"/>
      <c r="K628" s="48"/>
      <c r="L628" s="44"/>
      <c r="M628" s="44"/>
      <c r="N628" s="44"/>
      <c r="O628" s="44"/>
      <c r="P628" s="44"/>
      <c r="Q628" s="44"/>
      <c r="R628" s="44"/>
      <c r="S628" s="44"/>
      <c r="T628" s="44"/>
      <c r="U628" s="44"/>
      <c r="V628" s="44"/>
      <c r="W628" s="44"/>
      <c r="X628" s="44"/>
      <c r="Y628" s="44"/>
      <c r="Z628" s="44"/>
    </row>
    <row r="629" spans="1:26" ht="15.75" customHeight="1">
      <c r="A629" s="44"/>
      <c r="B629" s="44"/>
      <c r="C629" s="44"/>
      <c r="D629" s="44"/>
      <c r="E629" s="44"/>
      <c r="F629" s="44"/>
      <c r="G629" s="44"/>
      <c r="H629" s="44"/>
      <c r="I629" s="190"/>
      <c r="J629" s="48"/>
      <c r="K629" s="48"/>
      <c r="L629" s="44"/>
      <c r="M629" s="44"/>
      <c r="N629" s="44"/>
      <c r="O629" s="44"/>
      <c r="P629" s="44"/>
      <c r="Q629" s="44"/>
      <c r="R629" s="44"/>
      <c r="S629" s="44"/>
      <c r="T629" s="44"/>
      <c r="U629" s="44"/>
      <c r="V629" s="44"/>
      <c r="W629" s="44"/>
      <c r="X629" s="44"/>
      <c r="Y629" s="44"/>
      <c r="Z629" s="44"/>
    </row>
    <row r="630" spans="1:26" ht="15.75" customHeight="1">
      <c r="A630" s="44"/>
      <c r="B630" s="44"/>
      <c r="C630" s="44"/>
      <c r="D630" s="44"/>
      <c r="E630" s="44"/>
      <c r="F630" s="44"/>
      <c r="G630" s="44"/>
      <c r="H630" s="44"/>
      <c r="I630" s="190"/>
      <c r="J630" s="48"/>
      <c r="K630" s="48"/>
      <c r="L630" s="44"/>
      <c r="M630" s="44"/>
      <c r="N630" s="44"/>
      <c r="O630" s="44"/>
      <c r="P630" s="44"/>
      <c r="Q630" s="44"/>
      <c r="R630" s="44"/>
      <c r="S630" s="44"/>
      <c r="T630" s="44"/>
      <c r="U630" s="44"/>
      <c r="V630" s="44"/>
      <c r="W630" s="44"/>
      <c r="X630" s="44"/>
      <c r="Y630" s="44"/>
      <c r="Z630" s="44"/>
    </row>
    <row r="631" spans="1:26" ht="15.75" customHeight="1">
      <c r="A631" s="44"/>
      <c r="B631" s="44"/>
      <c r="C631" s="44"/>
      <c r="D631" s="44"/>
      <c r="E631" s="44"/>
      <c r="F631" s="44"/>
      <c r="G631" s="44"/>
      <c r="H631" s="44"/>
      <c r="I631" s="190"/>
      <c r="J631" s="48"/>
      <c r="K631" s="48"/>
      <c r="L631" s="44"/>
      <c r="M631" s="44"/>
      <c r="N631" s="44"/>
      <c r="O631" s="44"/>
      <c r="P631" s="44"/>
      <c r="Q631" s="44"/>
      <c r="R631" s="44"/>
      <c r="S631" s="44"/>
      <c r="T631" s="44"/>
      <c r="U631" s="44"/>
      <c r="V631" s="44"/>
      <c r="W631" s="44"/>
      <c r="X631" s="44"/>
      <c r="Y631" s="44"/>
      <c r="Z631" s="44"/>
    </row>
    <row r="632" spans="1:26" ht="15.75" customHeight="1">
      <c r="A632" s="44"/>
      <c r="B632" s="44"/>
      <c r="C632" s="44"/>
      <c r="D632" s="44"/>
      <c r="E632" s="44"/>
      <c r="F632" s="44"/>
      <c r="G632" s="44"/>
      <c r="H632" s="44"/>
      <c r="I632" s="190"/>
      <c r="J632" s="48"/>
      <c r="K632" s="48"/>
      <c r="L632" s="44"/>
      <c r="M632" s="44"/>
      <c r="N632" s="44"/>
      <c r="O632" s="44"/>
      <c r="P632" s="44"/>
      <c r="Q632" s="44"/>
      <c r="R632" s="44"/>
      <c r="S632" s="44"/>
      <c r="T632" s="44"/>
      <c r="U632" s="44"/>
      <c r="V632" s="44"/>
      <c r="W632" s="44"/>
      <c r="X632" s="44"/>
      <c r="Y632" s="44"/>
      <c r="Z632" s="44"/>
    </row>
    <row r="633" spans="1:26" ht="15.75" customHeight="1">
      <c r="A633" s="44"/>
      <c r="B633" s="44"/>
      <c r="C633" s="44"/>
      <c r="D633" s="44"/>
      <c r="E633" s="44"/>
      <c r="F633" s="44"/>
      <c r="G633" s="44"/>
      <c r="H633" s="44"/>
      <c r="I633" s="190"/>
      <c r="J633" s="48"/>
      <c r="K633" s="48"/>
      <c r="L633" s="44"/>
      <c r="M633" s="44"/>
      <c r="N633" s="44"/>
      <c r="O633" s="44"/>
      <c r="P633" s="44"/>
      <c r="Q633" s="44"/>
      <c r="R633" s="44"/>
      <c r="S633" s="44"/>
      <c r="T633" s="44"/>
      <c r="U633" s="44"/>
      <c r="V633" s="44"/>
      <c r="W633" s="44"/>
      <c r="X633" s="44"/>
      <c r="Y633" s="44"/>
      <c r="Z633" s="44"/>
    </row>
    <row r="634" spans="1:26" ht="15.75" customHeight="1">
      <c r="A634" s="44"/>
      <c r="B634" s="44"/>
      <c r="C634" s="44"/>
      <c r="D634" s="44"/>
      <c r="E634" s="44"/>
      <c r="F634" s="44"/>
      <c r="G634" s="44"/>
      <c r="H634" s="44"/>
      <c r="I634" s="190"/>
      <c r="J634" s="48"/>
      <c r="K634" s="48"/>
      <c r="L634" s="44"/>
      <c r="M634" s="44"/>
      <c r="N634" s="44"/>
      <c r="O634" s="44"/>
      <c r="P634" s="44"/>
      <c r="Q634" s="44"/>
      <c r="R634" s="44"/>
      <c r="S634" s="44"/>
      <c r="T634" s="44"/>
      <c r="U634" s="44"/>
      <c r="V634" s="44"/>
      <c r="W634" s="44"/>
      <c r="X634" s="44"/>
      <c r="Y634" s="44"/>
      <c r="Z634" s="44"/>
    </row>
    <row r="635" spans="1:26" ht="15.75" customHeight="1">
      <c r="A635" s="44"/>
      <c r="B635" s="44"/>
      <c r="C635" s="44"/>
      <c r="D635" s="44"/>
      <c r="E635" s="44"/>
      <c r="F635" s="44"/>
      <c r="G635" s="44"/>
      <c r="H635" s="44"/>
      <c r="I635" s="190"/>
      <c r="J635" s="48"/>
      <c r="K635" s="48"/>
      <c r="L635" s="44"/>
      <c r="M635" s="44"/>
      <c r="N635" s="44"/>
      <c r="O635" s="44"/>
      <c r="P635" s="44"/>
      <c r="Q635" s="44"/>
      <c r="R635" s="44"/>
      <c r="S635" s="44"/>
      <c r="T635" s="44"/>
      <c r="U635" s="44"/>
      <c r="V635" s="44"/>
      <c r="W635" s="44"/>
      <c r="X635" s="44"/>
      <c r="Y635" s="44"/>
      <c r="Z635" s="44"/>
    </row>
    <row r="636" spans="1:26" ht="15.75" customHeight="1">
      <c r="A636" s="44"/>
      <c r="B636" s="44"/>
      <c r="C636" s="44"/>
      <c r="D636" s="44"/>
      <c r="E636" s="44"/>
      <c r="F636" s="44"/>
      <c r="G636" s="44"/>
      <c r="H636" s="44"/>
      <c r="I636" s="190"/>
      <c r="J636" s="48"/>
      <c r="K636" s="48"/>
      <c r="L636" s="44"/>
      <c r="M636" s="44"/>
      <c r="N636" s="44"/>
      <c r="O636" s="44"/>
      <c r="P636" s="44"/>
      <c r="Q636" s="44"/>
      <c r="R636" s="44"/>
      <c r="S636" s="44"/>
      <c r="T636" s="44"/>
      <c r="U636" s="44"/>
      <c r="V636" s="44"/>
      <c r="W636" s="44"/>
      <c r="X636" s="44"/>
      <c r="Y636" s="44"/>
      <c r="Z636" s="44"/>
    </row>
    <row r="637" spans="1:26" ht="15.75" customHeight="1">
      <c r="A637" s="44"/>
      <c r="B637" s="44"/>
      <c r="C637" s="44"/>
      <c r="D637" s="44"/>
      <c r="E637" s="44"/>
      <c r="F637" s="44"/>
      <c r="G637" s="44"/>
      <c r="H637" s="44"/>
      <c r="I637" s="190"/>
      <c r="J637" s="48"/>
      <c r="K637" s="48"/>
      <c r="L637" s="44"/>
      <c r="M637" s="44"/>
      <c r="N637" s="44"/>
      <c r="O637" s="44"/>
      <c r="P637" s="44"/>
      <c r="Q637" s="44"/>
      <c r="R637" s="44"/>
      <c r="S637" s="44"/>
      <c r="T637" s="44"/>
      <c r="U637" s="44"/>
      <c r="V637" s="44"/>
      <c r="W637" s="44"/>
      <c r="X637" s="44"/>
      <c r="Y637" s="44"/>
      <c r="Z637" s="44"/>
    </row>
    <row r="638" spans="1:26" ht="15.75" customHeight="1">
      <c r="A638" s="44"/>
      <c r="B638" s="44"/>
      <c r="C638" s="44"/>
      <c r="D638" s="44"/>
      <c r="E638" s="44"/>
      <c r="F638" s="44"/>
      <c r="G638" s="44"/>
      <c r="H638" s="44"/>
      <c r="I638" s="190"/>
      <c r="J638" s="48"/>
      <c r="K638" s="48"/>
      <c r="L638" s="44"/>
      <c r="M638" s="44"/>
      <c r="N638" s="44"/>
      <c r="O638" s="44"/>
      <c r="P638" s="44"/>
      <c r="Q638" s="44"/>
      <c r="R638" s="44"/>
      <c r="S638" s="44"/>
      <c r="T638" s="44"/>
      <c r="U638" s="44"/>
      <c r="V638" s="44"/>
      <c r="W638" s="44"/>
      <c r="X638" s="44"/>
      <c r="Y638" s="44"/>
      <c r="Z638" s="44"/>
    </row>
    <row r="639" spans="1:26" ht="15.75" customHeight="1">
      <c r="A639" s="44"/>
      <c r="B639" s="44"/>
      <c r="C639" s="44"/>
      <c r="D639" s="44"/>
      <c r="E639" s="44"/>
      <c r="F639" s="44"/>
      <c r="G639" s="44"/>
      <c r="H639" s="44"/>
      <c r="I639" s="190"/>
      <c r="J639" s="48"/>
      <c r="K639" s="48"/>
      <c r="L639" s="44"/>
      <c r="M639" s="44"/>
      <c r="N639" s="44"/>
      <c r="O639" s="44"/>
      <c r="P639" s="44"/>
      <c r="Q639" s="44"/>
      <c r="R639" s="44"/>
      <c r="S639" s="44"/>
      <c r="T639" s="44"/>
      <c r="U639" s="44"/>
      <c r="V639" s="44"/>
      <c r="W639" s="44"/>
      <c r="X639" s="44"/>
      <c r="Y639" s="44"/>
      <c r="Z639" s="44"/>
    </row>
    <row r="640" spans="1:26" ht="15.75" customHeight="1">
      <c r="A640" s="44"/>
      <c r="B640" s="44"/>
      <c r="C640" s="44"/>
      <c r="D640" s="44"/>
      <c r="E640" s="44"/>
      <c r="F640" s="44"/>
      <c r="G640" s="44"/>
      <c r="H640" s="44"/>
      <c r="I640" s="190"/>
      <c r="J640" s="48"/>
      <c r="K640" s="48"/>
      <c r="L640" s="44"/>
      <c r="M640" s="44"/>
      <c r="N640" s="44"/>
      <c r="O640" s="44"/>
      <c r="P640" s="44"/>
      <c r="Q640" s="44"/>
      <c r="R640" s="44"/>
      <c r="S640" s="44"/>
      <c r="T640" s="44"/>
      <c r="U640" s="44"/>
      <c r="V640" s="44"/>
      <c r="W640" s="44"/>
      <c r="X640" s="44"/>
      <c r="Y640" s="44"/>
      <c r="Z640" s="44"/>
    </row>
    <row r="641" spans="1:26" ht="15.75" customHeight="1">
      <c r="A641" s="44"/>
      <c r="B641" s="44"/>
      <c r="C641" s="44"/>
      <c r="D641" s="44"/>
      <c r="E641" s="44"/>
      <c r="F641" s="44"/>
      <c r="G641" s="44"/>
      <c r="H641" s="44"/>
      <c r="I641" s="190"/>
      <c r="J641" s="48"/>
      <c r="K641" s="48"/>
      <c r="L641" s="44"/>
      <c r="M641" s="44"/>
      <c r="N641" s="44"/>
      <c r="O641" s="44"/>
      <c r="P641" s="44"/>
      <c r="Q641" s="44"/>
      <c r="R641" s="44"/>
      <c r="S641" s="44"/>
      <c r="T641" s="44"/>
      <c r="U641" s="44"/>
      <c r="V641" s="44"/>
      <c r="W641" s="44"/>
      <c r="X641" s="44"/>
      <c r="Y641" s="44"/>
      <c r="Z641" s="44"/>
    </row>
    <row r="642" spans="1:26" ht="15.75" customHeight="1">
      <c r="A642" s="44"/>
      <c r="B642" s="44"/>
      <c r="C642" s="44"/>
      <c r="D642" s="44"/>
      <c r="E642" s="44"/>
      <c r="F642" s="44"/>
      <c r="G642" s="44"/>
      <c r="H642" s="44"/>
      <c r="I642" s="190"/>
      <c r="J642" s="48"/>
      <c r="K642" s="48"/>
      <c r="L642" s="44"/>
      <c r="M642" s="44"/>
      <c r="N642" s="44"/>
      <c r="O642" s="44"/>
      <c r="P642" s="44"/>
      <c r="Q642" s="44"/>
      <c r="R642" s="44"/>
      <c r="S642" s="44"/>
      <c r="T642" s="44"/>
      <c r="U642" s="44"/>
      <c r="V642" s="44"/>
      <c r="W642" s="44"/>
      <c r="X642" s="44"/>
      <c r="Y642" s="44"/>
      <c r="Z642" s="44"/>
    </row>
    <row r="643" spans="1:26" ht="15.75" customHeight="1">
      <c r="A643" s="44"/>
      <c r="B643" s="44"/>
      <c r="C643" s="44"/>
      <c r="D643" s="44"/>
      <c r="E643" s="44"/>
      <c r="F643" s="44"/>
      <c r="G643" s="44"/>
      <c r="H643" s="44"/>
      <c r="I643" s="190"/>
      <c r="J643" s="48"/>
      <c r="K643" s="48"/>
      <c r="L643" s="44"/>
      <c r="M643" s="44"/>
      <c r="N643" s="44"/>
      <c r="O643" s="44"/>
      <c r="P643" s="44"/>
      <c r="Q643" s="44"/>
      <c r="R643" s="44"/>
      <c r="S643" s="44"/>
      <c r="T643" s="44"/>
      <c r="U643" s="44"/>
      <c r="V643" s="44"/>
      <c r="W643" s="44"/>
      <c r="X643" s="44"/>
      <c r="Y643" s="44"/>
      <c r="Z643" s="44"/>
    </row>
    <row r="644" spans="1:26" ht="15.75" customHeight="1">
      <c r="A644" s="44"/>
      <c r="B644" s="44"/>
      <c r="C644" s="44"/>
      <c r="D644" s="44"/>
      <c r="E644" s="44"/>
      <c r="F644" s="44"/>
      <c r="G644" s="44"/>
      <c r="H644" s="44"/>
      <c r="I644" s="190"/>
      <c r="J644" s="48"/>
      <c r="K644" s="48"/>
      <c r="L644" s="44"/>
      <c r="M644" s="44"/>
      <c r="N644" s="44"/>
      <c r="O644" s="44"/>
      <c r="P644" s="44"/>
      <c r="Q644" s="44"/>
      <c r="R644" s="44"/>
      <c r="S644" s="44"/>
      <c r="T644" s="44"/>
      <c r="U644" s="44"/>
      <c r="V644" s="44"/>
      <c r="W644" s="44"/>
      <c r="X644" s="44"/>
      <c r="Y644" s="44"/>
      <c r="Z644" s="44"/>
    </row>
    <row r="645" spans="1:26" ht="15.75" customHeight="1">
      <c r="A645" s="44"/>
      <c r="B645" s="44"/>
      <c r="C645" s="44"/>
      <c r="D645" s="44"/>
      <c r="E645" s="44"/>
      <c r="F645" s="44"/>
      <c r="G645" s="44"/>
      <c r="H645" s="44"/>
      <c r="I645" s="190"/>
      <c r="J645" s="48"/>
      <c r="K645" s="48"/>
      <c r="L645" s="44"/>
      <c r="M645" s="44"/>
      <c r="N645" s="44"/>
      <c r="O645" s="44"/>
      <c r="P645" s="44"/>
      <c r="Q645" s="44"/>
      <c r="R645" s="44"/>
      <c r="S645" s="44"/>
      <c r="T645" s="44"/>
      <c r="U645" s="44"/>
      <c r="V645" s="44"/>
      <c r="W645" s="44"/>
      <c r="X645" s="44"/>
      <c r="Y645" s="44"/>
      <c r="Z645" s="44"/>
    </row>
    <row r="646" spans="1:26" ht="15.75" customHeight="1">
      <c r="A646" s="44"/>
      <c r="B646" s="44"/>
      <c r="C646" s="44"/>
      <c r="D646" s="44"/>
      <c r="E646" s="44"/>
      <c r="F646" s="44"/>
      <c r="G646" s="44"/>
      <c r="H646" s="44"/>
      <c r="I646" s="190"/>
      <c r="J646" s="48"/>
      <c r="K646" s="48"/>
      <c r="L646" s="44"/>
      <c r="M646" s="44"/>
      <c r="N646" s="44"/>
      <c r="O646" s="44"/>
      <c r="P646" s="44"/>
      <c r="Q646" s="44"/>
      <c r="R646" s="44"/>
      <c r="S646" s="44"/>
      <c r="T646" s="44"/>
      <c r="U646" s="44"/>
      <c r="V646" s="44"/>
      <c r="W646" s="44"/>
      <c r="X646" s="44"/>
      <c r="Y646" s="44"/>
      <c r="Z646" s="44"/>
    </row>
    <row r="647" spans="1:26" ht="15.75" customHeight="1">
      <c r="A647" s="44"/>
      <c r="B647" s="44"/>
      <c r="C647" s="44"/>
      <c r="D647" s="44"/>
      <c r="E647" s="44"/>
      <c r="F647" s="44"/>
      <c r="G647" s="44"/>
      <c r="H647" s="44"/>
      <c r="I647" s="190"/>
      <c r="J647" s="48"/>
      <c r="K647" s="48"/>
      <c r="L647" s="44"/>
      <c r="M647" s="44"/>
      <c r="N647" s="44"/>
      <c r="O647" s="44"/>
      <c r="P647" s="44"/>
      <c r="Q647" s="44"/>
      <c r="R647" s="44"/>
      <c r="S647" s="44"/>
      <c r="T647" s="44"/>
      <c r="U647" s="44"/>
      <c r="V647" s="44"/>
      <c r="W647" s="44"/>
      <c r="X647" s="44"/>
      <c r="Y647" s="44"/>
      <c r="Z647" s="44"/>
    </row>
    <row r="648" spans="1:26" ht="15.75" customHeight="1">
      <c r="A648" s="44"/>
      <c r="B648" s="44"/>
      <c r="C648" s="44"/>
      <c r="D648" s="44"/>
      <c r="E648" s="44"/>
      <c r="F648" s="44"/>
      <c r="G648" s="44"/>
      <c r="H648" s="44"/>
      <c r="I648" s="190"/>
      <c r="J648" s="48"/>
      <c r="K648" s="48"/>
      <c r="L648" s="44"/>
      <c r="M648" s="44"/>
      <c r="N648" s="44"/>
      <c r="O648" s="44"/>
      <c r="P648" s="44"/>
      <c r="Q648" s="44"/>
      <c r="R648" s="44"/>
      <c r="S648" s="44"/>
      <c r="T648" s="44"/>
      <c r="U648" s="44"/>
      <c r="V648" s="44"/>
      <c r="W648" s="44"/>
      <c r="X648" s="44"/>
      <c r="Y648" s="44"/>
      <c r="Z648" s="44"/>
    </row>
    <row r="649" spans="1:26" ht="15.75" customHeight="1">
      <c r="A649" s="44"/>
      <c r="B649" s="44"/>
      <c r="C649" s="44"/>
      <c r="D649" s="44"/>
      <c r="E649" s="44"/>
      <c r="F649" s="44"/>
      <c r="G649" s="44"/>
      <c r="H649" s="44"/>
      <c r="I649" s="190"/>
      <c r="J649" s="48"/>
      <c r="K649" s="48"/>
      <c r="L649" s="44"/>
      <c r="M649" s="44"/>
      <c r="N649" s="44"/>
      <c r="O649" s="44"/>
      <c r="P649" s="44"/>
      <c r="Q649" s="44"/>
      <c r="R649" s="44"/>
      <c r="S649" s="44"/>
      <c r="T649" s="44"/>
      <c r="U649" s="44"/>
      <c r="V649" s="44"/>
      <c r="W649" s="44"/>
      <c r="X649" s="44"/>
      <c r="Y649" s="44"/>
      <c r="Z649" s="44"/>
    </row>
    <row r="650" spans="1:26" ht="15.75" customHeight="1">
      <c r="A650" s="44"/>
      <c r="B650" s="44"/>
      <c r="C650" s="44"/>
      <c r="D650" s="44"/>
      <c r="E650" s="44"/>
      <c r="F650" s="44"/>
      <c r="G650" s="44"/>
      <c r="H650" s="44"/>
      <c r="I650" s="190"/>
      <c r="J650" s="48"/>
      <c r="K650" s="48"/>
      <c r="L650" s="44"/>
      <c r="M650" s="44"/>
      <c r="N650" s="44"/>
      <c r="O650" s="44"/>
      <c r="P650" s="44"/>
      <c r="Q650" s="44"/>
      <c r="R650" s="44"/>
      <c r="S650" s="44"/>
      <c r="T650" s="44"/>
      <c r="U650" s="44"/>
      <c r="V650" s="44"/>
      <c r="W650" s="44"/>
      <c r="X650" s="44"/>
      <c r="Y650" s="44"/>
      <c r="Z650" s="44"/>
    </row>
    <row r="651" spans="1:26" ht="15.75" customHeight="1">
      <c r="A651" s="44"/>
      <c r="B651" s="44"/>
      <c r="C651" s="44"/>
      <c r="D651" s="44"/>
      <c r="E651" s="44"/>
      <c r="F651" s="44"/>
      <c r="G651" s="44"/>
      <c r="H651" s="44"/>
      <c r="I651" s="190"/>
      <c r="J651" s="48"/>
      <c r="K651" s="48"/>
      <c r="L651" s="44"/>
      <c r="M651" s="44"/>
      <c r="N651" s="44"/>
      <c r="O651" s="44"/>
      <c r="P651" s="44"/>
      <c r="Q651" s="44"/>
      <c r="R651" s="44"/>
      <c r="S651" s="44"/>
      <c r="T651" s="44"/>
      <c r="U651" s="44"/>
      <c r="V651" s="44"/>
      <c r="W651" s="44"/>
      <c r="X651" s="44"/>
      <c r="Y651" s="44"/>
      <c r="Z651" s="44"/>
    </row>
    <row r="652" spans="1:26" ht="15.75" customHeight="1">
      <c r="A652" s="44"/>
      <c r="B652" s="44"/>
      <c r="C652" s="44"/>
      <c r="D652" s="44"/>
      <c r="E652" s="44"/>
      <c r="F652" s="44"/>
      <c r="G652" s="44"/>
      <c r="H652" s="44"/>
      <c r="I652" s="190"/>
      <c r="J652" s="48"/>
      <c r="K652" s="48"/>
      <c r="L652" s="44"/>
      <c r="M652" s="44"/>
      <c r="N652" s="44"/>
      <c r="O652" s="44"/>
      <c r="P652" s="44"/>
      <c r="Q652" s="44"/>
      <c r="R652" s="44"/>
      <c r="S652" s="44"/>
      <c r="T652" s="44"/>
      <c r="U652" s="44"/>
      <c r="V652" s="44"/>
      <c r="W652" s="44"/>
      <c r="X652" s="44"/>
      <c r="Y652" s="44"/>
      <c r="Z652" s="44"/>
    </row>
    <row r="653" spans="1:26" ht="15.75" customHeight="1">
      <c r="A653" s="44"/>
      <c r="B653" s="44"/>
      <c r="C653" s="44"/>
      <c r="D653" s="44"/>
      <c r="E653" s="44"/>
      <c r="F653" s="44"/>
      <c r="G653" s="44"/>
      <c r="H653" s="44"/>
      <c r="I653" s="190"/>
      <c r="J653" s="48"/>
      <c r="K653" s="48"/>
      <c r="L653" s="44"/>
      <c r="M653" s="44"/>
      <c r="N653" s="44"/>
      <c r="O653" s="44"/>
      <c r="P653" s="44"/>
      <c r="Q653" s="44"/>
      <c r="R653" s="44"/>
      <c r="S653" s="44"/>
      <c r="T653" s="44"/>
      <c r="U653" s="44"/>
      <c r="V653" s="44"/>
      <c r="W653" s="44"/>
      <c r="X653" s="44"/>
      <c r="Y653" s="44"/>
      <c r="Z653" s="44"/>
    </row>
    <row r="654" spans="1:26" ht="15.75" customHeight="1">
      <c r="A654" s="44"/>
      <c r="B654" s="44"/>
      <c r="C654" s="44"/>
      <c r="D654" s="44"/>
      <c r="E654" s="44"/>
      <c r="F654" s="44"/>
      <c r="G654" s="44"/>
      <c r="H654" s="44"/>
      <c r="I654" s="190"/>
      <c r="J654" s="48"/>
      <c r="K654" s="48"/>
      <c r="L654" s="44"/>
      <c r="M654" s="44"/>
      <c r="N654" s="44"/>
      <c r="O654" s="44"/>
      <c r="P654" s="44"/>
      <c r="Q654" s="44"/>
      <c r="R654" s="44"/>
      <c r="S654" s="44"/>
      <c r="T654" s="44"/>
      <c r="U654" s="44"/>
      <c r="V654" s="44"/>
      <c r="W654" s="44"/>
      <c r="X654" s="44"/>
      <c r="Y654" s="44"/>
      <c r="Z654" s="44"/>
    </row>
    <row r="655" spans="1:26" ht="15.75" customHeight="1">
      <c r="A655" s="44"/>
      <c r="B655" s="44"/>
      <c r="C655" s="44"/>
      <c r="D655" s="44"/>
      <c r="E655" s="44"/>
      <c r="F655" s="44"/>
      <c r="G655" s="44"/>
      <c r="H655" s="44"/>
      <c r="I655" s="190"/>
      <c r="J655" s="48"/>
      <c r="K655" s="48"/>
      <c r="L655" s="44"/>
      <c r="M655" s="44"/>
      <c r="N655" s="44"/>
      <c r="O655" s="44"/>
      <c r="P655" s="44"/>
      <c r="Q655" s="44"/>
      <c r="R655" s="44"/>
      <c r="S655" s="44"/>
      <c r="T655" s="44"/>
      <c r="U655" s="44"/>
      <c r="V655" s="44"/>
      <c r="W655" s="44"/>
      <c r="X655" s="44"/>
      <c r="Y655" s="44"/>
      <c r="Z655" s="44"/>
    </row>
    <row r="656" spans="1:26" ht="15.75" customHeight="1">
      <c r="A656" s="44"/>
      <c r="B656" s="44"/>
      <c r="C656" s="44"/>
      <c r="D656" s="44"/>
      <c r="E656" s="44"/>
      <c r="F656" s="44"/>
      <c r="G656" s="44"/>
      <c r="H656" s="44"/>
      <c r="I656" s="190"/>
      <c r="J656" s="48"/>
      <c r="K656" s="48"/>
      <c r="L656" s="44"/>
      <c r="M656" s="44"/>
      <c r="N656" s="44"/>
      <c r="O656" s="44"/>
      <c r="P656" s="44"/>
      <c r="Q656" s="44"/>
      <c r="R656" s="44"/>
      <c r="S656" s="44"/>
      <c r="T656" s="44"/>
      <c r="U656" s="44"/>
      <c r="V656" s="44"/>
      <c r="W656" s="44"/>
      <c r="X656" s="44"/>
      <c r="Y656" s="44"/>
      <c r="Z656" s="44"/>
    </row>
    <row r="657" spans="1:26" ht="15.75" customHeight="1">
      <c r="A657" s="44"/>
      <c r="B657" s="44"/>
      <c r="C657" s="44"/>
      <c r="D657" s="44"/>
      <c r="E657" s="44"/>
      <c r="F657" s="44"/>
      <c r="G657" s="44"/>
      <c r="H657" s="44"/>
      <c r="I657" s="190"/>
      <c r="J657" s="48"/>
      <c r="K657" s="48"/>
      <c r="L657" s="44"/>
      <c r="M657" s="44"/>
      <c r="N657" s="44"/>
      <c r="O657" s="44"/>
      <c r="P657" s="44"/>
      <c r="Q657" s="44"/>
      <c r="R657" s="44"/>
      <c r="S657" s="44"/>
      <c r="T657" s="44"/>
      <c r="U657" s="44"/>
      <c r="V657" s="44"/>
      <c r="W657" s="44"/>
      <c r="X657" s="44"/>
      <c r="Y657" s="44"/>
      <c r="Z657" s="44"/>
    </row>
    <row r="658" spans="1:26" ht="15.75" customHeight="1">
      <c r="A658" s="44"/>
      <c r="B658" s="44"/>
      <c r="C658" s="44"/>
      <c r="D658" s="44"/>
      <c r="E658" s="44"/>
      <c r="F658" s="44"/>
      <c r="G658" s="44"/>
      <c r="H658" s="44"/>
      <c r="I658" s="190"/>
      <c r="J658" s="48"/>
      <c r="K658" s="48"/>
      <c r="L658" s="44"/>
      <c r="M658" s="44"/>
      <c r="N658" s="44"/>
      <c r="O658" s="44"/>
      <c r="P658" s="44"/>
      <c r="Q658" s="44"/>
      <c r="R658" s="44"/>
      <c r="S658" s="44"/>
      <c r="T658" s="44"/>
      <c r="U658" s="44"/>
      <c r="V658" s="44"/>
      <c r="W658" s="44"/>
      <c r="X658" s="44"/>
      <c r="Y658" s="44"/>
      <c r="Z658" s="44"/>
    </row>
    <row r="659" spans="1:26" ht="15.75" customHeight="1">
      <c r="A659" s="44"/>
      <c r="B659" s="44"/>
      <c r="C659" s="44"/>
      <c r="D659" s="44"/>
      <c r="E659" s="44"/>
      <c r="F659" s="44"/>
      <c r="G659" s="44"/>
      <c r="H659" s="44"/>
      <c r="I659" s="190"/>
      <c r="J659" s="48"/>
      <c r="K659" s="48"/>
      <c r="L659" s="44"/>
      <c r="M659" s="44"/>
      <c r="N659" s="44"/>
      <c r="O659" s="44"/>
      <c r="P659" s="44"/>
      <c r="Q659" s="44"/>
      <c r="R659" s="44"/>
      <c r="S659" s="44"/>
      <c r="T659" s="44"/>
      <c r="U659" s="44"/>
      <c r="V659" s="44"/>
      <c r="W659" s="44"/>
      <c r="X659" s="44"/>
      <c r="Y659" s="44"/>
      <c r="Z659" s="44"/>
    </row>
    <row r="660" spans="1:26" ht="15.75" customHeight="1">
      <c r="A660" s="44"/>
      <c r="B660" s="44"/>
      <c r="C660" s="44"/>
      <c r="D660" s="44"/>
      <c r="E660" s="44"/>
      <c r="F660" s="44"/>
      <c r="G660" s="44"/>
      <c r="H660" s="44"/>
      <c r="I660" s="190"/>
      <c r="J660" s="48"/>
      <c r="K660" s="48"/>
      <c r="L660" s="44"/>
      <c r="M660" s="44"/>
      <c r="N660" s="44"/>
      <c r="O660" s="44"/>
      <c r="P660" s="44"/>
      <c r="Q660" s="44"/>
      <c r="R660" s="44"/>
      <c r="S660" s="44"/>
      <c r="T660" s="44"/>
      <c r="U660" s="44"/>
      <c r="V660" s="44"/>
      <c r="W660" s="44"/>
      <c r="X660" s="44"/>
      <c r="Y660" s="44"/>
      <c r="Z660" s="44"/>
    </row>
    <row r="661" spans="1:26" ht="15.75" customHeight="1">
      <c r="A661" s="44"/>
      <c r="B661" s="44"/>
      <c r="C661" s="44"/>
      <c r="D661" s="44"/>
      <c r="E661" s="44"/>
      <c r="F661" s="44"/>
      <c r="G661" s="44"/>
      <c r="H661" s="44"/>
      <c r="I661" s="190"/>
      <c r="J661" s="48"/>
      <c r="K661" s="48"/>
      <c r="L661" s="44"/>
      <c r="M661" s="44"/>
      <c r="N661" s="44"/>
      <c r="O661" s="44"/>
      <c r="P661" s="44"/>
      <c r="Q661" s="44"/>
      <c r="R661" s="44"/>
      <c r="S661" s="44"/>
      <c r="T661" s="44"/>
      <c r="U661" s="44"/>
      <c r="V661" s="44"/>
      <c r="W661" s="44"/>
      <c r="X661" s="44"/>
      <c r="Y661" s="44"/>
      <c r="Z661" s="44"/>
    </row>
    <row r="662" spans="1:26" ht="15.75" customHeight="1">
      <c r="A662" s="44"/>
      <c r="B662" s="44"/>
      <c r="C662" s="44"/>
      <c r="D662" s="44"/>
      <c r="E662" s="44"/>
      <c r="F662" s="44"/>
      <c r="G662" s="44"/>
      <c r="H662" s="44"/>
      <c r="I662" s="190"/>
      <c r="J662" s="48"/>
      <c r="K662" s="48"/>
      <c r="L662" s="44"/>
      <c r="M662" s="44"/>
      <c r="N662" s="44"/>
      <c r="O662" s="44"/>
      <c r="P662" s="44"/>
      <c r="Q662" s="44"/>
      <c r="R662" s="44"/>
      <c r="S662" s="44"/>
      <c r="T662" s="44"/>
      <c r="U662" s="44"/>
      <c r="V662" s="44"/>
      <c r="W662" s="44"/>
      <c r="X662" s="44"/>
      <c r="Y662" s="44"/>
      <c r="Z662" s="44"/>
    </row>
    <row r="663" spans="1:26" ht="15.75" customHeight="1">
      <c r="A663" s="44"/>
      <c r="B663" s="44"/>
      <c r="C663" s="44"/>
      <c r="D663" s="44"/>
      <c r="E663" s="44"/>
      <c r="F663" s="44"/>
      <c r="G663" s="44"/>
      <c r="H663" s="44"/>
      <c r="I663" s="190"/>
      <c r="J663" s="48"/>
      <c r="K663" s="48"/>
      <c r="L663" s="44"/>
      <c r="M663" s="44"/>
      <c r="N663" s="44"/>
      <c r="O663" s="44"/>
      <c r="P663" s="44"/>
      <c r="Q663" s="44"/>
      <c r="R663" s="44"/>
      <c r="S663" s="44"/>
      <c r="T663" s="44"/>
      <c r="U663" s="44"/>
      <c r="V663" s="44"/>
      <c r="W663" s="44"/>
      <c r="X663" s="44"/>
      <c r="Y663" s="44"/>
      <c r="Z663" s="44"/>
    </row>
    <row r="664" spans="1:26" ht="15.75" customHeight="1">
      <c r="A664" s="44"/>
      <c r="B664" s="44"/>
      <c r="C664" s="44"/>
      <c r="D664" s="44"/>
      <c r="E664" s="44"/>
      <c r="F664" s="44"/>
      <c r="G664" s="44"/>
      <c r="H664" s="44"/>
      <c r="I664" s="190"/>
      <c r="J664" s="48"/>
      <c r="K664" s="48"/>
      <c r="L664" s="44"/>
      <c r="M664" s="44"/>
      <c r="N664" s="44"/>
      <c r="O664" s="44"/>
      <c r="P664" s="44"/>
      <c r="Q664" s="44"/>
      <c r="R664" s="44"/>
      <c r="S664" s="44"/>
      <c r="T664" s="44"/>
      <c r="U664" s="44"/>
      <c r="V664" s="44"/>
      <c r="W664" s="44"/>
      <c r="X664" s="44"/>
      <c r="Y664" s="44"/>
      <c r="Z664" s="44"/>
    </row>
    <row r="665" spans="1:26" ht="15.75" customHeight="1">
      <c r="A665" s="44"/>
      <c r="B665" s="44"/>
      <c r="C665" s="44"/>
      <c r="D665" s="44"/>
      <c r="E665" s="44"/>
      <c r="F665" s="44"/>
      <c r="G665" s="44"/>
      <c r="H665" s="44"/>
      <c r="I665" s="190"/>
      <c r="J665" s="48"/>
      <c r="K665" s="48"/>
      <c r="L665" s="44"/>
      <c r="M665" s="44"/>
      <c r="N665" s="44"/>
      <c r="O665" s="44"/>
      <c r="P665" s="44"/>
      <c r="Q665" s="44"/>
      <c r="R665" s="44"/>
      <c r="S665" s="44"/>
      <c r="T665" s="44"/>
      <c r="U665" s="44"/>
      <c r="V665" s="44"/>
      <c r="W665" s="44"/>
      <c r="X665" s="44"/>
      <c r="Y665" s="44"/>
      <c r="Z665" s="44"/>
    </row>
    <row r="666" spans="1:26" ht="15.75" customHeight="1">
      <c r="A666" s="44"/>
      <c r="B666" s="44"/>
      <c r="C666" s="44"/>
      <c r="D666" s="44"/>
      <c r="E666" s="44"/>
      <c r="F666" s="44"/>
      <c r="G666" s="44"/>
      <c r="H666" s="44"/>
      <c r="I666" s="190"/>
      <c r="J666" s="48"/>
      <c r="K666" s="48"/>
      <c r="L666" s="44"/>
      <c r="M666" s="44"/>
      <c r="N666" s="44"/>
      <c r="O666" s="44"/>
      <c r="P666" s="44"/>
      <c r="Q666" s="44"/>
      <c r="R666" s="44"/>
      <c r="S666" s="44"/>
      <c r="T666" s="44"/>
      <c r="U666" s="44"/>
      <c r="V666" s="44"/>
      <c r="W666" s="44"/>
      <c r="X666" s="44"/>
      <c r="Y666" s="44"/>
      <c r="Z666" s="44"/>
    </row>
    <row r="667" spans="1:26" ht="15.75" customHeight="1">
      <c r="A667" s="44"/>
      <c r="B667" s="44"/>
      <c r="C667" s="44"/>
      <c r="D667" s="44"/>
      <c r="E667" s="44"/>
      <c r="F667" s="44"/>
      <c r="G667" s="44"/>
      <c r="H667" s="44"/>
      <c r="I667" s="190"/>
      <c r="J667" s="48"/>
      <c r="K667" s="48"/>
      <c r="L667" s="44"/>
      <c r="M667" s="44"/>
      <c r="N667" s="44"/>
      <c r="O667" s="44"/>
      <c r="P667" s="44"/>
      <c r="Q667" s="44"/>
      <c r="R667" s="44"/>
      <c r="S667" s="44"/>
      <c r="T667" s="44"/>
      <c r="U667" s="44"/>
      <c r="V667" s="44"/>
      <c r="W667" s="44"/>
      <c r="X667" s="44"/>
      <c r="Y667" s="44"/>
      <c r="Z667" s="44"/>
    </row>
    <row r="668" spans="1:26" ht="15.75" customHeight="1">
      <c r="A668" s="44"/>
      <c r="B668" s="44"/>
      <c r="C668" s="44"/>
      <c r="D668" s="44"/>
      <c r="E668" s="44"/>
      <c r="F668" s="44"/>
      <c r="G668" s="44"/>
      <c r="H668" s="44"/>
      <c r="I668" s="190"/>
      <c r="J668" s="48"/>
      <c r="K668" s="48"/>
      <c r="L668" s="44"/>
      <c r="M668" s="44"/>
      <c r="N668" s="44"/>
      <c r="O668" s="44"/>
      <c r="P668" s="44"/>
      <c r="Q668" s="44"/>
      <c r="R668" s="44"/>
      <c r="S668" s="44"/>
      <c r="T668" s="44"/>
      <c r="U668" s="44"/>
      <c r="V668" s="44"/>
      <c r="W668" s="44"/>
      <c r="X668" s="44"/>
      <c r="Y668" s="44"/>
      <c r="Z668" s="44"/>
    </row>
    <row r="669" spans="1:26" ht="15.75" customHeight="1">
      <c r="A669" s="44"/>
      <c r="B669" s="44"/>
      <c r="C669" s="44"/>
      <c r="D669" s="44"/>
      <c r="E669" s="44"/>
      <c r="F669" s="44"/>
      <c r="G669" s="44"/>
      <c r="H669" s="44"/>
      <c r="I669" s="190"/>
      <c r="J669" s="48"/>
      <c r="K669" s="48"/>
      <c r="L669" s="44"/>
      <c r="M669" s="44"/>
      <c r="N669" s="44"/>
      <c r="O669" s="44"/>
      <c r="P669" s="44"/>
      <c r="Q669" s="44"/>
      <c r="R669" s="44"/>
      <c r="S669" s="44"/>
      <c r="T669" s="44"/>
      <c r="U669" s="44"/>
      <c r="V669" s="44"/>
      <c r="W669" s="44"/>
      <c r="X669" s="44"/>
      <c r="Y669" s="44"/>
      <c r="Z669" s="44"/>
    </row>
    <row r="670" spans="1:26" ht="15.75" customHeight="1">
      <c r="A670" s="44"/>
      <c r="B670" s="44"/>
      <c r="C670" s="44"/>
      <c r="D670" s="44"/>
      <c r="E670" s="44"/>
      <c r="F670" s="44"/>
      <c r="G670" s="44"/>
      <c r="H670" s="44"/>
      <c r="I670" s="190"/>
      <c r="J670" s="48"/>
      <c r="K670" s="48"/>
      <c r="L670" s="44"/>
      <c r="M670" s="44"/>
      <c r="N670" s="44"/>
      <c r="O670" s="44"/>
      <c r="P670" s="44"/>
      <c r="Q670" s="44"/>
      <c r="R670" s="44"/>
      <c r="S670" s="44"/>
      <c r="T670" s="44"/>
      <c r="U670" s="44"/>
      <c r="V670" s="44"/>
      <c r="W670" s="44"/>
      <c r="X670" s="44"/>
      <c r="Y670" s="44"/>
      <c r="Z670" s="44"/>
    </row>
    <row r="671" spans="1:26" ht="15.75" customHeight="1">
      <c r="A671" s="44"/>
      <c r="B671" s="44"/>
      <c r="C671" s="44"/>
      <c r="D671" s="44"/>
      <c r="E671" s="44"/>
      <c r="F671" s="44"/>
      <c r="G671" s="44"/>
      <c r="H671" s="44"/>
      <c r="I671" s="190"/>
      <c r="J671" s="48"/>
      <c r="K671" s="48"/>
      <c r="L671" s="44"/>
      <c r="M671" s="44"/>
      <c r="N671" s="44"/>
      <c r="O671" s="44"/>
      <c r="P671" s="44"/>
      <c r="Q671" s="44"/>
      <c r="R671" s="44"/>
      <c r="S671" s="44"/>
      <c r="T671" s="44"/>
      <c r="U671" s="44"/>
      <c r="V671" s="44"/>
      <c r="W671" s="44"/>
      <c r="X671" s="44"/>
      <c r="Y671" s="44"/>
      <c r="Z671" s="44"/>
    </row>
    <row r="672" spans="1:26" ht="15.75" customHeight="1">
      <c r="A672" s="44"/>
      <c r="B672" s="44"/>
      <c r="C672" s="44"/>
      <c r="D672" s="44"/>
      <c r="E672" s="44"/>
      <c r="F672" s="44"/>
      <c r="G672" s="44"/>
      <c r="H672" s="44"/>
      <c r="I672" s="190"/>
      <c r="J672" s="48"/>
      <c r="K672" s="48"/>
      <c r="L672" s="44"/>
      <c r="M672" s="44"/>
      <c r="N672" s="44"/>
      <c r="O672" s="44"/>
      <c r="P672" s="44"/>
      <c r="Q672" s="44"/>
      <c r="R672" s="44"/>
      <c r="S672" s="44"/>
      <c r="T672" s="44"/>
      <c r="U672" s="44"/>
      <c r="V672" s="44"/>
      <c r="W672" s="44"/>
      <c r="X672" s="44"/>
      <c r="Y672" s="44"/>
      <c r="Z672" s="44"/>
    </row>
    <row r="673" spans="1:26" ht="15.75" customHeight="1">
      <c r="A673" s="44"/>
      <c r="B673" s="44"/>
      <c r="C673" s="44"/>
      <c r="D673" s="44"/>
      <c r="E673" s="44"/>
      <c r="F673" s="44"/>
      <c r="G673" s="44"/>
      <c r="H673" s="44"/>
      <c r="I673" s="190"/>
      <c r="J673" s="48"/>
      <c r="K673" s="48"/>
      <c r="L673" s="44"/>
      <c r="M673" s="44"/>
      <c r="N673" s="44"/>
      <c r="O673" s="44"/>
      <c r="P673" s="44"/>
      <c r="Q673" s="44"/>
      <c r="R673" s="44"/>
      <c r="S673" s="44"/>
      <c r="T673" s="44"/>
      <c r="U673" s="44"/>
      <c r="V673" s="44"/>
      <c r="W673" s="44"/>
      <c r="X673" s="44"/>
      <c r="Y673" s="44"/>
      <c r="Z673" s="44"/>
    </row>
    <row r="674" spans="1:26" ht="15.75" customHeight="1">
      <c r="A674" s="44"/>
      <c r="B674" s="44"/>
      <c r="C674" s="44"/>
      <c r="D674" s="44"/>
      <c r="E674" s="44"/>
      <c r="F674" s="44"/>
      <c r="G674" s="44"/>
      <c r="H674" s="44"/>
      <c r="I674" s="190"/>
      <c r="J674" s="48"/>
      <c r="K674" s="48"/>
      <c r="L674" s="44"/>
      <c r="M674" s="44"/>
      <c r="N674" s="44"/>
      <c r="O674" s="44"/>
      <c r="P674" s="44"/>
      <c r="Q674" s="44"/>
      <c r="R674" s="44"/>
      <c r="S674" s="44"/>
      <c r="T674" s="44"/>
      <c r="U674" s="44"/>
      <c r="V674" s="44"/>
      <c r="W674" s="44"/>
      <c r="X674" s="44"/>
      <c r="Y674" s="44"/>
      <c r="Z674" s="44"/>
    </row>
    <row r="675" spans="1:26" ht="15.75" customHeight="1">
      <c r="A675" s="44"/>
      <c r="B675" s="44"/>
      <c r="C675" s="44"/>
      <c r="D675" s="44"/>
      <c r="E675" s="44"/>
      <c r="F675" s="44"/>
      <c r="G675" s="44"/>
      <c r="H675" s="44"/>
      <c r="I675" s="190"/>
      <c r="J675" s="48"/>
      <c r="K675" s="48"/>
      <c r="L675" s="44"/>
      <c r="M675" s="44"/>
      <c r="N675" s="44"/>
      <c r="O675" s="44"/>
      <c r="P675" s="44"/>
      <c r="Q675" s="44"/>
      <c r="R675" s="44"/>
      <c r="S675" s="44"/>
      <c r="T675" s="44"/>
      <c r="U675" s="44"/>
      <c r="V675" s="44"/>
      <c r="W675" s="44"/>
      <c r="X675" s="44"/>
      <c r="Y675" s="44"/>
      <c r="Z675" s="44"/>
    </row>
    <row r="676" spans="1:26" ht="15.75" customHeight="1">
      <c r="A676" s="44"/>
      <c r="B676" s="44"/>
      <c r="C676" s="44"/>
      <c r="D676" s="44"/>
      <c r="E676" s="44"/>
      <c r="F676" s="44"/>
      <c r="G676" s="44"/>
      <c r="H676" s="44"/>
      <c r="I676" s="190"/>
      <c r="J676" s="48"/>
      <c r="K676" s="48"/>
      <c r="L676" s="44"/>
      <c r="M676" s="44"/>
      <c r="N676" s="44"/>
      <c r="O676" s="44"/>
      <c r="P676" s="44"/>
      <c r="Q676" s="44"/>
      <c r="R676" s="44"/>
      <c r="S676" s="44"/>
      <c r="T676" s="44"/>
      <c r="U676" s="44"/>
      <c r="V676" s="44"/>
      <c r="W676" s="44"/>
      <c r="X676" s="44"/>
      <c r="Y676" s="44"/>
      <c r="Z676" s="44"/>
    </row>
    <row r="677" spans="1:26" ht="15.75" customHeight="1">
      <c r="A677" s="44"/>
      <c r="B677" s="44"/>
      <c r="C677" s="44"/>
      <c r="D677" s="44"/>
      <c r="E677" s="44"/>
      <c r="F677" s="44"/>
      <c r="G677" s="44"/>
      <c r="H677" s="44"/>
      <c r="I677" s="190"/>
      <c r="J677" s="48"/>
      <c r="K677" s="48"/>
      <c r="L677" s="44"/>
      <c r="M677" s="44"/>
      <c r="N677" s="44"/>
      <c r="O677" s="44"/>
      <c r="P677" s="44"/>
      <c r="Q677" s="44"/>
      <c r="R677" s="44"/>
      <c r="S677" s="44"/>
      <c r="T677" s="44"/>
      <c r="U677" s="44"/>
      <c r="V677" s="44"/>
      <c r="W677" s="44"/>
      <c r="X677" s="44"/>
      <c r="Y677" s="44"/>
      <c r="Z677" s="44"/>
    </row>
    <row r="678" spans="1:26" ht="15.75" customHeight="1">
      <c r="A678" s="44"/>
      <c r="B678" s="44"/>
      <c r="C678" s="44"/>
      <c r="D678" s="44"/>
      <c r="E678" s="44"/>
      <c r="F678" s="44"/>
      <c r="G678" s="44"/>
      <c r="H678" s="44"/>
      <c r="I678" s="190"/>
      <c r="J678" s="48"/>
      <c r="K678" s="48"/>
      <c r="L678" s="44"/>
      <c r="M678" s="44"/>
      <c r="N678" s="44"/>
      <c r="O678" s="44"/>
      <c r="P678" s="44"/>
      <c r="Q678" s="44"/>
      <c r="R678" s="44"/>
      <c r="S678" s="44"/>
      <c r="T678" s="44"/>
      <c r="U678" s="44"/>
      <c r="V678" s="44"/>
      <c r="W678" s="44"/>
      <c r="X678" s="44"/>
      <c r="Y678" s="44"/>
      <c r="Z678" s="44"/>
    </row>
    <row r="679" spans="1:26" ht="15.75" customHeight="1">
      <c r="A679" s="44"/>
      <c r="B679" s="44"/>
      <c r="C679" s="44"/>
      <c r="D679" s="44"/>
      <c r="E679" s="44"/>
      <c r="F679" s="44"/>
      <c r="G679" s="44"/>
      <c r="H679" s="44"/>
      <c r="I679" s="190"/>
      <c r="J679" s="48"/>
      <c r="K679" s="48"/>
      <c r="L679" s="44"/>
      <c r="M679" s="44"/>
      <c r="N679" s="44"/>
      <c r="O679" s="44"/>
      <c r="P679" s="44"/>
      <c r="Q679" s="44"/>
      <c r="R679" s="44"/>
      <c r="S679" s="44"/>
      <c r="T679" s="44"/>
      <c r="U679" s="44"/>
      <c r="V679" s="44"/>
      <c r="W679" s="44"/>
      <c r="X679" s="44"/>
      <c r="Y679" s="44"/>
      <c r="Z679" s="44"/>
    </row>
    <row r="680" spans="1:26" ht="15.75" customHeight="1">
      <c r="A680" s="44"/>
      <c r="B680" s="44"/>
      <c r="C680" s="44"/>
      <c r="D680" s="44"/>
      <c r="E680" s="44"/>
      <c r="F680" s="44"/>
      <c r="G680" s="44"/>
      <c r="H680" s="44"/>
      <c r="I680" s="190"/>
      <c r="J680" s="48"/>
      <c r="K680" s="48"/>
      <c r="L680" s="44"/>
      <c r="M680" s="44"/>
      <c r="N680" s="44"/>
      <c r="O680" s="44"/>
      <c r="P680" s="44"/>
      <c r="Q680" s="44"/>
      <c r="R680" s="44"/>
      <c r="S680" s="44"/>
      <c r="T680" s="44"/>
      <c r="U680" s="44"/>
      <c r="V680" s="44"/>
      <c r="W680" s="44"/>
      <c r="X680" s="44"/>
      <c r="Y680" s="44"/>
      <c r="Z680" s="44"/>
    </row>
    <row r="681" spans="1:26" ht="15.75" customHeight="1">
      <c r="A681" s="44"/>
      <c r="B681" s="44"/>
      <c r="C681" s="44"/>
      <c r="D681" s="44"/>
      <c r="E681" s="44"/>
      <c r="F681" s="44"/>
      <c r="G681" s="44"/>
      <c r="H681" s="44"/>
      <c r="I681" s="190"/>
      <c r="J681" s="48"/>
      <c r="K681" s="48"/>
      <c r="L681" s="44"/>
      <c r="M681" s="44"/>
      <c r="N681" s="44"/>
      <c r="O681" s="44"/>
      <c r="P681" s="44"/>
      <c r="Q681" s="44"/>
      <c r="R681" s="44"/>
      <c r="S681" s="44"/>
      <c r="T681" s="44"/>
      <c r="U681" s="44"/>
      <c r="V681" s="44"/>
      <c r="W681" s="44"/>
      <c r="X681" s="44"/>
      <c r="Y681" s="44"/>
      <c r="Z681" s="44"/>
    </row>
    <row r="682" spans="1:26" ht="15.75" customHeight="1">
      <c r="A682" s="44"/>
      <c r="B682" s="44"/>
      <c r="C682" s="44"/>
      <c r="D682" s="44"/>
      <c r="E682" s="44"/>
      <c r="F682" s="44"/>
      <c r="G682" s="44"/>
      <c r="H682" s="44"/>
      <c r="I682" s="190"/>
      <c r="J682" s="48"/>
      <c r="K682" s="48"/>
      <c r="L682" s="44"/>
      <c r="M682" s="44"/>
      <c r="N682" s="44"/>
      <c r="O682" s="44"/>
      <c r="P682" s="44"/>
      <c r="Q682" s="44"/>
      <c r="R682" s="44"/>
      <c r="S682" s="44"/>
      <c r="T682" s="44"/>
      <c r="U682" s="44"/>
      <c r="V682" s="44"/>
      <c r="W682" s="44"/>
      <c r="X682" s="44"/>
      <c r="Y682" s="44"/>
      <c r="Z682" s="44"/>
    </row>
    <row r="683" spans="1:26" ht="15.75" customHeight="1">
      <c r="A683" s="44"/>
      <c r="B683" s="44"/>
      <c r="C683" s="44"/>
      <c r="D683" s="44"/>
      <c r="E683" s="44"/>
      <c r="F683" s="44"/>
      <c r="G683" s="44"/>
      <c r="H683" s="44"/>
      <c r="I683" s="190"/>
      <c r="J683" s="48"/>
      <c r="K683" s="48"/>
      <c r="L683" s="44"/>
      <c r="M683" s="44"/>
      <c r="N683" s="44"/>
      <c r="O683" s="44"/>
      <c r="P683" s="44"/>
      <c r="Q683" s="44"/>
      <c r="R683" s="44"/>
      <c r="S683" s="44"/>
      <c r="T683" s="44"/>
      <c r="U683" s="44"/>
      <c r="V683" s="44"/>
      <c r="W683" s="44"/>
      <c r="X683" s="44"/>
      <c r="Y683" s="44"/>
      <c r="Z683" s="44"/>
    </row>
    <row r="684" spans="1:26" ht="15.75" customHeight="1">
      <c r="A684" s="44"/>
      <c r="B684" s="44"/>
      <c r="C684" s="44"/>
      <c r="D684" s="44"/>
      <c r="E684" s="44"/>
      <c r="F684" s="44"/>
      <c r="G684" s="44"/>
      <c r="H684" s="44"/>
      <c r="I684" s="190"/>
      <c r="J684" s="48"/>
      <c r="K684" s="48"/>
      <c r="L684" s="44"/>
      <c r="M684" s="44"/>
      <c r="N684" s="44"/>
      <c r="O684" s="44"/>
      <c r="P684" s="44"/>
      <c r="Q684" s="44"/>
      <c r="R684" s="44"/>
      <c r="S684" s="44"/>
      <c r="T684" s="44"/>
      <c r="U684" s="44"/>
      <c r="V684" s="44"/>
      <c r="W684" s="44"/>
      <c r="X684" s="44"/>
      <c r="Y684" s="44"/>
      <c r="Z684" s="44"/>
    </row>
    <row r="685" spans="1:26" ht="15.75" customHeight="1">
      <c r="A685" s="44"/>
      <c r="B685" s="44"/>
      <c r="C685" s="44"/>
      <c r="D685" s="44"/>
      <c r="E685" s="44"/>
      <c r="F685" s="44"/>
      <c r="G685" s="44"/>
      <c r="H685" s="44"/>
      <c r="I685" s="190"/>
      <c r="J685" s="48"/>
      <c r="K685" s="48"/>
      <c r="L685" s="44"/>
      <c r="M685" s="44"/>
      <c r="N685" s="44"/>
      <c r="O685" s="44"/>
      <c r="P685" s="44"/>
      <c r="Q685" s="44"/>
      <c r="R685" s="44"/>
      <c r="S685" s="44"/>
      <c r="T685" s="44"/>
      <c r="U685" s="44"/>
      <c r="V685" s="44"/>
      <c r="W685" s="44"/>
      <c r="X685" s="44"/>
      <c r="Y685" s="44"/>
      <c r="Z685" s="44"/>
    </row>
    <row r="686" spans="1:26" ht="15.75" customHeight="1">
      <c r="A686" s="44"/>
      <c r="B686" s="44"/>
      <c r="C686" s="44"/>
      <c r="D686" s="44"/>
      <c r="E686" s="44"/>
      <c r="F686" s="44"/>
      <c r="G686" s="44"/>
      <c r="H686" s="44"/>
      <c r="I686" s="190"/>
      <c r="J686" s="48"/>
      <c r="K686" s="48"/>
      <c r="L686" s="44"/>
      <c r="M686" s="44"/>
      <c r="N686" s="44"/>
      <c r="O686" s="44"/>
      <c r="P686" s="44"/>
      <c r="Q686" s="44"/>
      <c r="R686" s="44"/>
      <c r="S686" s="44"/>
      <c r="T686" s="44"/>
      <c r="U686" s="44"/>
      <c r="V686" s="44"/>
      <c r="W686" s="44"/>
      <c r="X686" s="44"/>
      <c r="Y686" s="44"/>
      <c r="Z686" s="44"/>
    </row>
    <row r="687" spans="1:26" ht="15.75" customHeight="1">
      <c r="A687" s="44"/>
      <c r="B687" s="44"/>
      <c r="C687" s="44"/>
      <c r="D687" s="44"/>
      <c r="E687" s="44"/>
      <c r="F687" s="44"/>
      <c r="G687" s="44"/>
      <c r="H687" s="44"/>
      <c r="I687" s="190"/>
      <c r="J687" s="48"/>
      <c r="K687" s="48"/>
      <c r="L687" s="44"/>
      <c r="M687" s="44"/>
      <c r="N687" s="44"/>
      <c r="O687" s="44"/>
      <c r="P687" s="44"/>
      <c r="Q687" s="44"/>
      <c r="R687" s="44"/>
      <c r="S687" s="44"/>
      <c r="T687" s="44"/>
      <c r="U687" s="44"/>
      <c r="V687" s="44"/>
      <c r="W687" s="44"/>
      <c r="X687" s="44"/>
      <c r="Y687" s="44"/>
      <c r="Z687" s="44"/>
    </row>
    <row r="688" spans="1:26" ht="15.75" customHeight="1">
      <c r="A688" s="44"/>
      <c r="B688" s="44"/>
      <c r="C688" s="44"/>
      <c r="D688" s="44"/>
      <c r="E688" s="44"/>
      <c r="F688" s="44"/>
      <c r="G688" s="44"/>
      <c r="H688" s="44"/>
      <c r="I688" s="190"/>
      <c r="J688" s="48"/>
      <c r="K688" s="48"/>
      <c r="L688" s="44"/>
      <c r="M688" s="44"/>
      <c r="N688" s="44"/>
      <c r="O688" s="44"/>
      <c r="P688" s="44"/>
      <c r="Q688" s="44"/>
      <c r="R688" s="44"/>
      <c r="S688" s="44"/>
      <c r="T688" s="44"/>
      <c r="U688" s="44"/>
      <c r="V688" s="44"/>
      <c r="W688" s="44"/>
      <c r="X688" s="44"/>
      <c r="Y688" s="44"/>
      <c r="Z688" s="44"/>
    </row>
    <row r="689" spans="1:26" ht="15.75" customHeight="1">
      <c r="A689" s="44"/>
      <c r="B689" s="44"/>
      <c r="C689" s="44"/>
      <c r="D689" s="44"/>
      <c r="E689" s="44"/>
      <c r="F689" s="44"/>
      <c r="G689" s="44"/>
      <c r="H689" s="44"/>
      <c r="I689" s="190"/>
      <c r="J689" s="48"/>
      <c r="K689" s="48"/>
      <c r="L689" s="44"/>
      <c r="M689" s="44"/>
      <c r="N689" s="44"/>
      <c r="O689" s="44"/>
      <c r="P689" s="44"/>
      <c r="Q689" s="44"/>
      <c r="R689" s="44"/>
      <c r="S689" s="44"/>
      <c r="T689" s="44"/>
      <c r="U689" s="44"/>
      <c r="V689" s="44"/>
      <c r="W689" s="44"/>
      <c r="X689" s="44"/>
      <c r="Y689" s="44"/>
      <c r="Z689" s="44"/>
    </row>
    <row r="690" spans="1:26" ht="15.75" customHeight="1">
      <c r="A690" s="44"/>
      <c r="B690" s="44"/>
      <c r="C690" s="44"/>
      <c r="D690" s="44"/>
      <c r="E690" s="44"/>
      <c r="F690" s="44"/>
      <c r="G690" s="44"/>
      <c r="H690" s="44"/>
      <c r="I690" s="190"/>
      <c r="J690" s="48"/>
      <c r="K690" s="48"/>
      <c r="L690" s="44"/>
      <c r="M690" s="44"/>
      <c r="N690" s="44"/>
      <c r="O690" s="44"/>
      <c r="P690" s="44"/>
      <c r="Q690" s="44"/>
      <c r="R690" s="44"/>
      <c r="S690" s="44"/>
      <c r="T690" s="44"/>
      <c r="U690" s="44"/>
      <c r="V690" s="44"/>
      <c r="W690" s="44"/>
      <c r="X690" s="44"/>
      <c r="Y690" s="44"/>
      <c r="Z690" s="44"/>
    </row>
    <row r="691" spans="1:26" ht="15.75" customHeight="1">
      <c r="A691" s="44"/>
      <c r="B691" s="44"/>
      <c r="C691" s="44"/>
      <c r="D691" s="44"/>
      <c r="E691" s="44"/>
      <c r="F691" s="44"/>
      <c r="G691" s="44"/>
      <c r="H691" s="44"/>
      <c r="I691" s="190"/>
      <c r="J691" s="48"/>
      <c r="K691" s="48"/>
      <c r="L691" s="44"/>
      <c r="M691" s="44"/>
      <c r="N691" s="44"/>
      <c r="O691" s="44"/>
      <c r="P691" s="44"/>
      <c r="Q691" s="44"/>
      <c r="R691" s="44"/>
      <c r="S691" s="44"/>
      <c r="T691" s="44"/>
      <c r="U691" s="44"/>
      <c r="V691" s="44"/>
      <c r="W691" s="44"/>
      <c r="X691" s="44"/>
      <c r="Y691" s="44"/>
      <c r="Z691" s="44"/>
    </row>
    <row r="692" spans="1:26" ht="15.75" customHeight="1">
      <c r="A692" s="44"/>
      <c r="B692" s="44"/>
      <c r="C692" s="44"/>
      <c r="D692" s="44"/>
      <c r="E692" s="44"/>
      <c r="F692" s="44"/>
      <c r="G692" s="44"/>
      <c r="H692" s="44"/>
      <c r="I692" s="190"/>
      <c r="J692" s="48"/>
      <c r="K692" s="48"/>
      <c r="L692" s="44"/>
      <c r="M692" s="44"/>
      <c r="N692" s="44"/>
      <c r="O692" s="44"/>
      <c r="P692" s="44"/>
      <c r="Q692" s="44"/>
      <c r="R692" s="44"/>
      <c r="S692" s="44"/>
      <c r="T692" s="44"/>
      <c r="U692" s="44"/>
      <c r="V692" s="44"/>
      <c r="W692" s="44"/>
      <c r="X692" s="44"/>
      <c r="Y692" s="44"/>
      <c r="Z692" s="44"/>
    </row>
    <row r="693" spans="1:26" ht="15.75" customHeight="1">
      <c r="A693" s="44"/>
      <c r="B693" s="44"/>
      <c r="C693" s="44"/>
      <c r="D693" s="44"/>
      <c r="E693" s="44"/>
      <c r="F693" s="44"/>
      <c r="G693" s="44"/>
      <c r="H693" s="44"/>
      <c r="I693" s="190"/>
      <c r="J693" s="48"/>
      <c r="K693" s="48"/>
      <c r="L693" s="44"/>
      <c r="M693" s="44"/>
      <c r="N693" s="44"/>
      <c r="O693" s="44"/>
      <c r="P693" s="44"/>
      <c r="Q693" s="44"/>
      <c r="R693" s="44"/>
      <c r="S693" s="44"/>
      <c r="T693" s="44"/>
      <c r="U693" s="44"/>
      <c r="V693" s="44"/>
      <c r="W693" s="44"/>
      <c r="X693" s="44"/>
      <c r="Y693" s="44"/>
      <c r="Z693" s="44"/>
    </row>
    <row r="694" spans="1:26" ht="15.75" customHeight="1">
      <c r="A694" s="44"/>
      <c r="B694" s="44"/>
      <c r="C694" s="44"/>
      <c r="D694" s="44"/>
      <c r="E694" s="44"/>
      <c r="F694" s="44"/>
      <c r="G694" s="44"/>
      <c r="H694" s="44"/>
      <c r="I694" s="190"/>
      <c r="J694" s="48"/>
      <c r="K694" s="48"/>
      <c r="L694" s="44"/>
      <c r="M694" s="44"/>
      <c r="N694" s="44"/>
      <c r="O694" s="44"/>
      <c r="P694" s="44"/>
      <c r="Q694" s="44"/>
      <c r="R694" s="44"/>
      <c r="S694" s="44"/>
      <c r="T694" s="44"/>
      <c r="U694" s="44"/>
      <c r="V694" s="44"/>
      <c r="W694" s="44"/>
      <c r="X694" s="44"/>
      <c r="Y694" s="44"/>
      <c r="Z694" s="44"/>
    </row>
    <row r="695" spans="1:26" ht="15.75" customHeight="1">
      <c r="A695" s="44"/>
      <c r="B695" s="44"/>
      <c r="C695" s="44"/>
      <c r="D695" s="44"/>
      <c r="E695" s="44"/>
      <c r="F695" s="44"/>
      <c r="G695" s="44"/>
      <c r="H695" s="44"/>
      <c r="I695" s="190"/>
      <c r="J695" s="48"/>
      <c r="K695" s="48"/>
      <c r="L695" s="44"/>
      <c r="M695" s="44"/>
      <c r="N695" s="44"/>
      <c r="O695" s="44"/>
      <c r="P695" s="44"/>
      <c r="Q695" s="44"/>
      <c r="R695" s="44"/>
      <c r="S695" s="44"/>
      <c r="T695" s="44"/>
      <c r="U695" s="44"/>
      <c r="V695" s="44"/>
      <c r="W695" s="44"/>
      <c r="X695" s="44"/>
      <c r="Y695" s="44"/>
      <c r="Z695" s="44"/>
    </row>
    <row r="696" spans="1:26" ht="15.75" customHeight="1">
      <c r="A696" s="44"/>
      <c r="B696" s="44"/>
      <c r="C696" s="44"/>
      <c r="D696" s="44"/>
      <c r="E696" s="44"/>
      <c r="F696" s="44"/>
      <c r="G696" s="44"/>
      <c r="H696" s="44"/>
      <c r="I696" s="190"/>
      <c r="J696" s="48"/>
      <c r="K696" s="48"/>
      <c r="L696" s="44"/>
      <c r="M696" s="44"/>
      <c r="N696" s="44"/>
      <c r="O696" s="44"/>
      <c r="P696" s="44"/>
      <c r="Q696" s="44"/>
      <c r="R696" s="44"/>
      <c r="S696" s="44"/>
      <c r="T696" s="44"/>
      <c r="U696" s="44"/>
      <c r="V696" s="44"/>
      <c r="W696" s="44"/>
      <c r="X696" s="44"/>
      <c r="Y696" s="44"/>
      <c r="Z696" s="44"/>
    </row>
    <row r="697" spans="1:26" ht="15.75" customHeight="1">
      <c r="A697" s="44"/>
      <c r="B697" s="44"/>
      <c r="C697" s="44"/>
      <c r="D697" s="44"/>
      <c r="E697" s="44"/>
      <c r="F697" s="44"/>
      <c r="G697" s="44"/>
      <c r="H697" s="44"/>
      <c r="I697" s="190"/>
      <c r="J697" s="48"/>
      <c r="K697" s="48"/>
      <c r="L697" s="44"/>
      <c r="M697" s="44"/>
      <c r="N697" s="44"/>
      <c r="O697" s="44"/>
      <c r="P697" s="44"/>
      <c r="Q697" s="44"/>
      <c r="R697" s="44"/>
      <c r="S697" s="44"/>
      <c r="T697" s="44"/>
      <c r="U697" s="44"/>
      <c r="V697" s="44"/>
      <c r="W697" s="44"/>
      <c r="X697" s="44"/>
      <c r="Y697" s="44"/>
      <c r="Z697" s="44"/>
    </row>
    <row r="698" spans="1:26" ht="15.75" customHeight="1">
      <c r="A698" s="44"/>
      <c r="B698" s="44"/>
      <c r="C698" s="44"/>
      <c r="D698" s="44"/>
      <c r="E698" s="44"/>
      <c r="F698" s="44"/>
      <c r="G698" s="44"/>
      <c r="H698" s="44"/>
      <c r="I698" s="190"/>
      <c r="J698" s="48"/>
      <c r="K698" s="48"/>
      <c r="L698" s="44"/>
      <c r="M698" s="44"/>
      <c r="N698" s="44"/>
      <c r="O698" s="44"/>
      <c r="P698" s="44"/>
      <c r="Q698" s="44"/>
      <c r="R698" s="44"/>
      <c r="S698" s="44"/>
      <c r="T698" s="44"/>
      <c r="U698" s="44"/>
      <c r="V698" s="44"/>
      <c r="W698" s="44"/>
      <c r="X698" s="44"/>
      <c r="Y698" s="44"/>
      <c r="Z698" s="44"/>
    </row>
    <row r="699" spans="1:26" ht="15.75" customHeight="1">
      <c r="A699" s="44"/>
      <c r="B699" s="44"/>
      <c r="C699" s="44"/>
      <c r="D699" s="44"/>
      <c r="E699" s="44"/>
      <c r="F699" s="44"/>
      <c r="G699" s="44"/>
      <c r="H699" s="44"/>
      <c r="I699" s="190"/>
      <c r="J699" s="48"/>
      <c r="K699" s="48"/>
      <c r="L699" s="44"/>
      <c r="M699" s="44"/>
      <c r="N699" s="44"/>
      <c r="O699" s="44"/>
      <c r="P699" s="44"/>
      <c r="Q699" s="44"/>
      <c r="R699" s="44"/>
      <c r="S699" s="44"/>
      <c r="T699" s="44"/>
      <c r="U699" s="44"/>
      <c r="V699" s="44"/>
      <c r="W699" s="44"/>
      <c r="X699" s="44"/>
      <c r="Y699" s="44"/>
      <c r="Z699" s="44"/>
    </row>
    <row r="700" spans="1:26" ht="15.75" customHeight="1">
      <c r="A700" s="44"/>
      <c r="B700" s="44"/>
      <c r="C700" s="44"/>
      <c r="D700" s="44"/>
      <c r="E700" s="44"/>
      <c r="F700" s="44"/>
      <c r="G700" s="44"/>
      <c r="H700" s="44"/>
      <c r="I700" s="190"/>
      <c r="J700" s="48"/>
      <c r="K700" s="48"/>
      <c r="L700" s="44"/>
      <c r="M700" s="44"/>
      <c r="N700" s="44"/>
      <c r="O700" s="44"/>
      <c r="P700" s="44"/>
      <c r="Q700" s="44"/>
      <c r="R700" s="44"/>
      <c r="S700" s="44"/>
      <c r="T700" s="44"/>
      <c r="U700" s="44"/>
      <c r="V700" s="44"/>
      <c r="W700" s="44"/>
      <c r="X700" s="44"/>
      <c r="Y700" s="44"/>
      <c r="Z700" s="44"/>
    </row>
    <row r="701" spans="1:26" ht="15.75" customHeight="1">
      <c r="A701" s="44"/>
      <c r="B701" s="44"/>
      <c r="C701" s="44"/>
      <c r="D701" s="44"/>
      <c r="E701" s="44"/>
      <c r="F701" s="44"/>
      <c r="G701" s="44"/>
      <c r="H701" s="44"/>
      <c r="I701" s="190"/>
      <c r="J701" s="48"/>
      <c r="K701" s="48"/>
      <c r="L701" s="44"/>
      <c r="M701" s="44"/>
      <c r="N701" s="44"/>
      <c r="O701" s="44"/>
      <c r="P701" s="44"/>
      <c r="Q701" s="44"/>
      <c r="R701" s="44"/>
      <c r="S701" s="44"/>
      <c r="T701" s="44"/>
      <c r="U701" s="44"/>
      <c r="V701" s="44"/>
      <c r="W701" s="44"/>
      <c r="X701" s="44"/>
      <c r="Y701" s="44"/>
      <c r="Z701" s="44"/>
    </row>
    <row r="702" spans="1:26" ht="15.75" customHeight="1">
      <c r="A702" s="44"/>
      <c r="B702" s="44"/>
      <c r="C702" s="44"/>
      <c r="D702" s="44"/>
      <c r="E702" s="44"/>
      <c r="F702" s="44"/>
      <c r="G702" s="44"/>
      <c r="H702" s="44"/>
      <c r="I702" s="190"/>
      <c r="J702" s="48"/>
      <c r="K702" s="48"/>
      <c r="L702" s="44"/>
      <c r="M702" s="44"/>
      <c r="N702" s="44"/>
      <c r="O702" s="44"/>
      <c r="P702" s="44"/>
      <c r="Q702" s="44"/>
      <c r="R702" s="44"/>
      <c r="S702" s="44"/>
      <c r="T702" s="44"/>
      <c r="U702" s="44"/>
      <c r="V702" s="44"/>
      <c r="W702" s="44"/>
      <c r="X702" s="44"/>
      <c r="Y702" s="44"/>
      <c r="Z702" s="44"/>
    </row>
    <row r="703" spans="1:26" ht="15.75" customHeight="1">
      <c r="A703" s="44"/>
      <c r="B703" s="44"/>
      <c r="C703" s="44"/>
      <c r="D703" s="44"/>
      <c r="E703" s="44"/>
      <c r="F703" s="44"/>
      <c r="G703" s="44"/>
      <c r="H703" s="44"/>
      <c r="I703" s="190"/>
      <c r="J703" s="48"/>
      <c r="K703" s="48"/>
      <c r="L703" s="44"/>
      <c r="M703" s="44"/>
      <c r="N703" s="44"/>
      <c r="O703" s="44"/>
      <c r="P703" s="44"/>
      <c r="Q703" s="44"/>
      <c r="R703" s="44"/>
      <c r="S703" s="44"/>
      <c r="T703" s="44"/>
      <c r="U703" s="44"/>
      <c r="V703" s="44"/>
      <c r="W703" s="44"/>
      <c r="X703" s="44"/>
      <c r="Y703" s="44"/>
      <c r="Z703" s="44"/>
    </row>
    <row r="704" spans="1:26" ht="15.75" customHeight="1">
      <c r="A704" s="44"/>
      <c r="B704" s="44"/>
      <c r="C704" s="44"/>
      <c r="D704" s="44"/>
      <c r="E704" s="44"/>
      <c r="F704" s="44"/>
      <c r="G704" s="44"/>
      <c r="H704" s="44"/>
      <c r="I704" s="190"/>
      <c r="J704" s="48"/>
      <c r="K704" s="48"/>
      <c r="L704" s="44"/>
      <c r="M704" s="44"/>
      <c r="N704" s="44"/>
      <c r="O704" s="44"/>
      <c r="P704" s="44"/>
      <c r="Q704" s="44"/>
      <c r="R704" s="44"/>
      <c r="S704" s="44"/>
      <c r="T704" s="44"/>
      <c r="U704" s="44"/>
      <c r="V704" s="44"/>
      <c r="W704" s="44"/>
      <c r="X704" s="44"/>
      <c r="Y704" s="44"/>
      <c r="Z704" s="44"/>
    </row>
    <row r="705" spans="1:26" ht="15.75" customHeight="1">
      <c r="A705" s="44"/>
      <c r="B705" s="44"/>
      <c r="C705" s="44"/>
      <c r="D705" s="44"/>
      <c r="E705" s="44"/>
      <c r="F705" s="44"/>
      <c r="G705" s="44"/>
      <c r="H705" s="44"/>
      <c r="I705" s="190"/>
      <c r="J705" s="48"/>
      <c r="K705" s="48"/>
      <c r="L705" s="44"/>
      <c r="M705" s="44"/>
      <c r="N705" s="44"/>
      <c r="O705" s="44"/>
      <c r="P705" s="44"/>
      <c r="Q705" s="44"/>
      <c r="R705" s="44"/>
      <c r="S705" s="44"/>
      <c r="T705" s="44"/>
      <c r="U705" s="44"/>
      <c r="V705" s="44"/>
      <c r="W705" s="44"/>
      <c r="X705" s="44"/>
      <c r="Y705" s="44"/>
      <c r="Z705" s="44"/>
    </row>
    <row r="706" spans="1:26" ht="15.75" customHeight="1">
      <c r="A706" s="44"/>
      <c r="B706" s="44"/>
      <c r="C706" s="44"/>
      <c r="D706" s="44"/>
      <c r="E706" s="44"/>
      <c r="F706" s="44"/>
      <c r="G706" s="44"/>
      <c r="H706" s="44"/>
      <c r="I706" s="190"/>
      <c r="J706" s="48"/>
      <c r="K706" s="48"/>
      <c r="L706" s="44"/>
      <c r="M706" s="44"/>
      <c r="N706" s="44"/>
      <c r="O706" s="44"/>
      <c r="P706" s="44"/>
      <c r="Q706" s="44"/>
      <c r="R706" s="44"/>
      <c r="S706" s="44"/>
      <c r="T706" s="44"/>
      <c r="U706" s="44"/>
      <c r="V706" s="44"/>
      <c r="W706" s="44"/>
      <c r="X706" s="44"/>
      <c r="Y706" s="44"/>
      <c r="Z706" s="44"/>
    </row>
    <row r="707" spans="1:26" ht="15.75" customHeight="1">
      <c r="A707" s="44"/>
      <c r="B707" s="44"/>
      <c r="C707" s="44"/>
      <c r="D707" s="44"/>
      <c r="E707" s="44"/>
      <c r="F707" s="44"/>
      <c r="G707" s="44"/>
      <c r="H707" s="44"/>
      <c r="I707" s="190"/>
      <c r="J707" s="48"/>
      <c r="K707" s="48"/>
      <c r="L707" s="44"/>
      <c r="M707" s="44"/>
      <c r="N707" s="44"/>
      <c r="O707" s="44"/>
      <c r="P707" s="44"/>
      <c r="Q707" s="44"/>
      <c r="R707" s="44"/>
      <c r="S707" s="44"/>
      <c r="T707" s="44"/>
      <c r="U707" s="44"/>
      <c r="V707" s="44"/>
      <c r="W707" s="44"/>
      <c r="X707" s="44"/>
      <c r="Y707" s="44"/>
      <c r="Z707" s="44"/>
    </row>
    <row r="708" spans="1:26" ht="15.75" customHeight="1">
      <c r="A708" s="44"/>
      <c r="B708" s="44"/>
      <c r="C708" s="44"/>
      <c r="D708" s="44"/>
      <c r="E708" s="44"/>
      <c r="F708" s="44"/>
      <c r="G708" s="44"/>
      <c r="H708" s="44"/>
      <c r="I708" s="190"/>
      <c r="J708" s="48"/>
      <c r="K708" s="48"/>
      <c r="L708" s="44"/>
      <c r="M708" s="44"/>
      <c r="N708" s="44"/>
      <c r="O708" s="44"/>
      <c r="P708" s="44"/>
      <c r="Q708" s="44"/>
      <c r="R708" s="44"/>
      <c r="S708" s="44"/>
      <c r="T708" s="44"/>
      <c r="U708" s="44"/>
      <c r="V708" s="44"/>
      <c r="W708" s="44"/>
      <c r="X708" s="44"/>
      <c r="Y708" s="44"/>
      <c r="Z708" s="44"/>
    </row>
    <row r="709" spans="1:26" ht="15.75" customHeight="1">
      <c r="A709" s="44"/>
      <c r="B709" s="44"/>
      <c r="C709" s="44"/>
      <c r="D709" s="44"/>
      <c r="E709" s="44"/>
      <c r="F709" s="44"/>
      <c r="G709" s="44"/>
      <c r="H709" s="44"/>
      <c r="I709" s="190"/>
      <c r="J709" s="48"/>
      <c r="K709" s="48"/>
      <c r="L709" s="44"/>
      <c r="M709" s="44"/>
      <c r="N709" s="44"/>
      <c r="O709" s="44"/>
      <c r="P709" s="44"/>
      <c r="Q709" s="44"/>
      <c r="R709" s="44"/>
      <c r="S709" s="44"/>
      <c r="T709" s="44"/>
      <c r="U709" s="44"/>
      <c r="V709" s="44"/>
      <c r="W709" s="44"/>
      <c r="X709" s="44"/>
      <c r="Y709" s="44"/>
      <c r="Z709" s="44"/>
    </row>
    <row r="710" spans="1:26" ht="15.75" customHeight="1">
      <c r="A710" s="44"/>
      <c r="B710" s="44"/>
      <c r="C710" s="44"/>
      <c r="D710" s="44"/>
      <c r="E710" s="44"/>
      <c r="F710" s="44"/>
      <c r="G710" s="44"/>
      <c r="H710" s="44"/>
      <c r="I710" s="190"/>
      <c r="J710" s="48"/>
      <c r="K710" s="48"/>
      <c r="L710" s="44"/>
      <c r="M710" s="44"/>
      <c r="N710" s="44"/>
      <c r="O710" s="44"/>
      <c r="P710" s="44"/>
      <c r="Q710" s="44"/>
      <c r="R710" s="44"/>
      <c r="S710" s="44"/>
      <c r="T710" s="44"/>
      <c r="U710" s="44"/>
      <c r="V710" s="44"/>
      <c r="W710" s="44"/>
      <c r="X710" s="44"/>
      <c r="Y710" s="44"/>
      <c r="Z710" s="44"/>
    </row>
    <row r="711" spans="1:26" ht="15.75" customHeight="1">
      <c r="A711" s="44"/>
      <c r="B711" s="44"/>
      <c r="C711" s="44"/>
      <c r="D711" s="44"/>
      <c r="E711" s="44"/>
      <c r="F711" s="44"/>
      <c r="G711" s="44"/>
      <c r="H711" s="44"/>
      <c r="I711" s="190"/>
      <c r="J711" s="48"/>
      <c r="K711" s="48"/>
      <c r="L711" s="44"/>
      <c r="M711" s="44"/>
      <c r="N711" s="44"/>
      <c r="O711" s="44"/>
      <c r="P711" s="44"/>
      <c r="Q711" s="44"/>
      <c r="R711" s="44"/>
      <c r="S711" s="44"/>
      <c r="T711" s="44"/>
      <c r="U711" s="44"/>
      <c r="V711" s="44"/>
      <c r="W711" s="44"/>
      <c r="X711" s="44"/>
      <c r="Y711" s="44"/>
      <c r="Z711" s="44"/>
    </row>
    <row r="712" spans="1:26" ht="15.75" customHeight="1">
      <c r="A712" s="44"/>
      <c r="B712" s="44"/>
      <c r="C712" s="44"/>
      <c r="D712" s="44"/>
      <c r="E712" s="44"/>
      <c r="F712" s="44"/>
      <c r="G712" s="44"/>
      <c r="H712" s="44"/>
      <c r="I712" s="190"/>
      <c r="J712" s="48"/>
      <c r="K712" s="48"/>
      <c r="L712" s="44"/>
      <c r="M712" s="44"/>
      <c r="N712" s="44"/>
      <c r="O712" s="44"/>
      <c r="P712" s="44"/>
      <c r="Q712" s="44"/>
      <c r="R712" s="44"/>
      <c r="S712" s="44"/>
      <c r="T712" s="44"/>
      <c r="U712" s="44"/>
      <c r="V712" s="44"/>
      <c r="W712" s="44"/>
      <c r="X712" s="44"/>
      <c r="Y712" s="44"/>
      <c r="Z712" s="44"/>
    </row>
    <row r="713" spans="1:26" ht="15.75" customHeight="1">
      <c r="A713" s="44"/>
      <c r="B713" s="44"/>
      <c r="C713" s="44"/>
      <c r="D713" s="44"/>
      <c r="E713" s="44"/>
      <c r="F713" s="44"/>
      <c r="G713" s="44"/>
      <c r="H713" s="44"/>
      <c r="I713" s="190"/>
      <c r="J713" s="48"/>
      <c r="K713" s="48"/>
      <c r="L713" s="44"/>
      <c r="M713" s="44"/>
      <c r="N713" s="44"/>
      <c r="O713" s="44"/>
      <c r="P713" s="44"/>
      <c r="Q713" s="44"/>
      <c r="R713" s="44"/>
      <c r="S713" s="44"/>
      <c r="T713" s="44"/>
      <c r="U713" s="44"/>
      <c r="V713" s="44"/>
      <c r="W713" s="44"/>
      <c r="X713" s="44"/>
      <c r="Y713" s="44"/>
      <c r="Z713" s="44"/>
    </row>
    <row r="714" spans="1:26" ht="15.75" customHeight="1">
      <c r="A714" s="44"/>
      <c r="B714" s="44"/>
      <c r="C714" s="44"/>
      <c r="D714" s="44"/>
      <c r="E714" s="44"/>
      <c r="F714" s="44"/>
      <c r="G714" s="44"/>
      <c r="H714" s="44"/>
      <c r="I714" s="190"/>
      <c r="J714" s="48"/>
      <c r="K714" s="48"/>
      <c r="L714" s="44"/>
      <c r="M714" s="44"/>
      <c r="N714" s="44"/>
      <c r="O714" s="44"/>
      <c r="P714" s="44"/>
      <c r="Q714" s="44"/>
      <c r="R714" s="44"/>
      <c r="S714" s="44"/>
      <c r="T714" s="44"/>
      <c r="U714" s="44"/>
      <c r="V714" s="44"/>
      <c r="W714" s="44"/>
      <c r="X714" s="44"/>
      <c r="Y714" s="44"/>
      <c r="Z714" s="44"/>
    </row>
    <row r="715" spans="1:26" ht="15.75" customHeight="1">
      <c r="A715" s="44"/>
      <c r="B715" s="44"/>
      <c r="C715" s="44"/>
      <c r="D715" s="44"/>
      <c r="E715" s="44"/>
      <c r="F715" s="44"/>
      <c r="G715" s="44"/>
      <c r="H715" s="44"/>
      <c r="I715" s="190"/>
      <c r="J715" s="48"/>
      <c r="K715" s="48"/>
      <c r="L715" s="44"/>
      <c r="M715" s="44"/>
      <c r="N715" s="44"/>
      <c r="O715" s="44"/>
      <c r="P715" s="44"/>
      <c r="Q715" s="44"/>
      <c r="R715" s="44"/>
      <c r="S715" s="44"/>
      <c r="T715" s="44"/>
      <c r="U715" s="44"/>
      <c r="V715" s="44"/>
      <c r="W715" s="44"/>
      <c r="X715" s="44"/>
      <c r="Y715" s="44"/>
      <c r="Z715" s="44"/>
    </row>
    <row r="716" spans="1:26" ht="15.75" customHeight="1">
      <c r="A716" s="44"/>
      <c r="B716" s="44"/>
      <c r="C716" s="44"/>
      <c r="D716" s="44"/>
      <c r="E716" s="44"/>
      <c r="F716" s="44"/>
      <c r="G716" s="44"/>
      <c r="H716" s="44"/>
      <c r="I716" s="190"/>
      <c r="J716" s="48"/>
      <c r="K716" s="48"/>
      <c r="L716" s="44"/>
      <c r="M716" s="44"/>
      <c r="N716" s="44"/>
      <c r="O716" s="44"/>
      <c r="P716" s="44"/>
      <c r="Q716" s="44"/>
      <c r="R716" s="44"/>
      <c r="S716" s="44"/>
      <c r="T716" s="44"/>
      <c r="U716" s="44"/>
      <c r="V716" s="44"/>
      <c r="W716" s="44"/>
      <c r="X716" s="44"/>
      <c r="Y716" s="44"/>
      <c r="Z716" s="44"/>
    </row>
    <row r="717" spans="1:26" ht="15.75" customHeight="1">
      <c r="A717" s="44"/>
      <c r="B717" s="44"/>
      <c r="C717" s="44"/>
      <c r="D717" s="44"/>
      <c r="E717" s="44"/>
      <c r="F717" s="44"/>
      <c r="G717" s="44"/>
      <c r="H717" s="44"/>
      <c r="I717" s="190"/>
      <c r="J717" s="48"/>
      <c r="K717" s="48"/>
      <c r="L717" s="44"/>
      <c r="M717" s="44"/>
      <c r="N717" s="44"/>
      <c r="O717" s="44"/>
      <c r="P717" s="44"/>
      <c r="Q717" s="44"/>
      <c r="R717" s="44"/>
      <c r="S717" s="44"/>
      <c r="T717" s="44"/>
      <c r="U717" s="44"/>
      <c r="V717" s="44"/>
      <c r="W717" s="44"/>
      <c r="X717" s="44"/>
      <c r="Y717" s="44"/>
      <c r="Z717" s="44"/>
    </row>
    <row r="718" spans="1:26" ht="15.75" customHeight="1">
      <c r="A718" s="44"/>
      <c r="B718" s="44"/>
      <c r="C718" s="44"/>
      <c r="D718" s="44"/>
      <c r="E718" s="44"/>
      <c r="F718" s="44"/>
      <c r="G718" s="44"/>
      <c r="H718" s="44"/>
      <c r="I718" s="190"/>
      <c r="J718" s="48"/>
      <c r="K718" s="48"/>
      <c r="L718" s="44"/>
      <c r="M718" s="44"/>
      <c r="N718" s="44"/>
      <c r="O718" s="44"/>
      <c r="P718" s="44"/>
      <c r="Q718" s="44"/>
      <c r="R718" s="44"/>
      <c r="S718" s="44"/>
      <c r="T718" s="44"/>
      <c r="U718" s="44"/>
      <c r="V718" s="44"/>
      <c r="W718" s="44"/>
      <c r="X718" s="44"/>
      <c r="Y718" s="44"/>
      <c r="Z718" s="44"/>
    </row>
    <row r="719" spans="1:26" ht="15.75" customHeight="1">
      <c r="A719" s="44"/>
      <c r="B719" s="44"/>
      <c r="C719" s="44"/>
      <c r="D719" s="44"/>
      <c r="E719" s="44"/>
      <c r="F719" s="44"/>
      <c r="G719" s="44"/>
      <c r="H719" s="44"/>
      <c r="I719" s="190"/>
      <c r="J719" s="48"/>
      <c r="K719" s="48"/>
      <c r="L719" s="44"/>
      <c r="M719" s="44"/>
      <c r="N719" s="44"/>
      <c r="O719" s="44"/>
      <c r="P719" s="44"/>
      <c r="Q719" s="44"/>
      <c r="R719" s="44"/>
      <c r="S719" s="44"/>
      <c r="T719" s="44"/>
      <c r="U719" s="44"/>
      <c r="V719" s="44"/>
      <c r="W719" s="44"/>
      <c r="X719" s="44"/>
      <c r="Y719" s="44"/>
      <c r="Z719" s="44"/>
    </row>
    <row r="720" spans="1:26" ht="15.75" customHeight="1">
      <c r="A720" s="44"/>
      <c r="B720" s="44"/>
      <c r="C720" s="44"/>
      <c r="D720" s="44"/>
      <c r="E720" s="44"/>
      <c r="F720" s="44"/>
      <c r="G720" s="44"/>
      <c r="H720" s="44"/>
      <c r="I720" s="190"/>
      <c r="J720" s="48"/>
      <c r="K720" s="48"/>
      <c r="L720" s="44"/>
      <c r="M720" s="44"/>
      <c r="N720" s="44"/>
      <c r="O720" s="44"/>
      <c r="P720" s="44"/>
      <c r="Q720" s="44"/>
      <c r="R720" s="44"/>
      <c r="S720" s="44"/>
      <c r="T720" s="44"/>
      <c r="U720" s="44"/>
      <c r="V720" s="44"/>
      <c r="W720" s="44"/>
      <c r="X720" s="44"/>
      <c r="Y720" s="44"/>
      <c r="Z720" s="44"/>
    </row>
    <row r="721" spans="1:26" ht="15.75" customHeight="1">
      <c r="A721" s="44"/>
      <c r="B721" s="44"/>
      <c r="C721" s="44"/>
      <c r="D721" s="44"/>
      <c r="E721" s="44"/>
      <c r="F721" s="44"/>
      <c r="G721" s="44"/>
      <c r="H721" s="44"/>
      <c r="I721" s="190"/>
      <c r="J721" s="48"/>
      <c r="K721" s="48"/>
      <c r="L721" s="44"/>
      <c r="M721" s="44"/>
      <c r="N721" s="44"/>
      <c r="O721" s="44"/>
      <c r="P721" s="44"/>
      <c r="Q721" s="44"/>
      <c r="R721" s="44"/>
      <c r="S721" s="44"/>
      <c r="T721" s="44"/>
      <c r="U721" s="44"/>
      <c r="V721" s="44"/>
      <c r="W721" s="44"/>
      <c r="X721" s="44"/>
      <c r="Y721" s="44"/>
      <c r="Z721" s="44"/>
    </row>
    <row r="722" spans="1:26" ht="15.75" customHeight="1">
      <c r="A722" s="44"/>
      <c r="B722" s="44"/>
      <c r="C722" s="44"/>
      <c r="D722" s="44"/>
      <c r="E722" s="44"/>
      <c r="F722" s="44"/>
      <c r="G722" s="44"/>
      <c r="H722" s="44"/>
      <c r="I722" s="190"/>
      <c r="J722" s="48"/>
      <c r="K722" s="48"/>
      <c r="L722" s="44"/>
      <c r="M722" s="44"/>
      <c r="N722" s="44"/>
      <c r="O722" s="44"/>
      <c r="P722" s="44"/>
      <c r="Q722" s="44"/>
      <c r="R722" s="44"/>
      <c r="S722" s="44"/>
      <c r="T722" s="44"/>
      <c r="U722" s="44"/>
      <c r="V722" s="44"/>
      <c r="W722" s="44"/>
      <c r="X722" s="44"/>
      <c r="Y722" s="44"/>
      <c r="Z722" s="44"/>
    </row>
    <row r="723" spans="1:26" ht="15.75" customHeight="1">
      <c r="A723" s="44"/>
      <c r="B723" s="44"/>
      <c r="C723" s="44"/>
      <c r="D723" s="44"/>
      <c r="E723" s="44"/>
      <c r="F723" s="44"/>
      <c r="G723" s="44"/>
      <c r="H723" s="44"/>
      <c r="I723" s="190"/>
      <c r="J723" s="48"/>
      <c r="K723" s="48"/>
      <c r="L723" s="44"/>
      <c r="M723" s="44"/>
      <c r="N723" s="44"/>
      <c r="O723" s="44"/>
      <c r="P723" s="44"/>
      <c r="Q723" s="44"/>
      <c r="R723" s="44"/>
      <c r="S723" s="44"/>
      <c r="T723" s="44"/>
      <c r="U723" s="44"/>
      <c r="V723" s="44"/>
      <c r="W723" s="44"/>
      <c r="X723" s="44"/>
      <c r="Y723" s="44"/>
      <c r="Z723" s="44"/>
    </row>
    <row r="724" spans="1:26" ht="15.75" customHeight="1">
      <c r="A724" s="44"/>
      <c r="B724" s="44"/>
      <c r="C724" s="44"/>
      <c r="D724" s="44"/>
      <c r="E724" s="44"/>
      <c r="F724" s="44"/>
      <c r="G724" s="44"/>
      <c r="H724" s="44"/>
      <c r="I724" s="190"/>
      <c r="J724" s="48"/>
      <c r="K724" s="48"/>
      <c r="L724" s="44"/>
      <c r="M724" s="44"/>
      <c r="N724" s="44"/>
      <c r="O724" s="44"/>
      <c r="P724" s="44"/>
      <c r="Q724" s="44"/>
      <c r="R724" s="44"/>
      <c r="S724" s="44"/>
      <c r="T724" s="44"/>
      <c r="U724" s="44"/>
      <c r="V724" s="44"/>
      <c r="W724" s="44"/>
      <c r="X724" s="44"/>
      <c r="Y724" s="44"/>
      <c r="Z724" s="44"/>
    </row>
    <row r="725" spans="1:26" ht="15.75" customHeight="1">
      <c r="A725" s="44"/>
      <c r="B725" s="44"/>
      <c r="C725" s="44"/>
      <c r="D725" s="44"/>
      <c r="E725" s="44"/>
      <c r="F725" s="44"/>
      <c r="G725" s="44"/>
      <c r="H725" s="44"/>
      <c r="I725" s="190"/>
      <c r="J725" s="48"/>
      <c r="K725" s="48"/>
      <c r="L725" s="44"/>
      <c r="M725" s="44"/>
      <c r="N725" s="44"/>
      <c r="O725" s="44"/>
      <c r="P725" s="44"/>
      <c r="Q725" s="44"/>
      <c r="R725" s="44"/>
      <c r="S725" s="44"/>
      <c r="T725" s="44"/>
      <c r="U725" s="44"/>
      <c r="V725" s="44"/>
      <c r="W725" s="44"/>
      <c r="X725" s="44"/>
      <c r="Y725" s="44"/>
      <c r="Z725" s="44"/>
    </row>
    <row r="726" spans="1:26" ht="15.75" customHeight="1">
      <c r="A726" s="44"/>
      <c r="B726" s="44"/>
      <c r="C726" s="44"/>
      <c r="D726" s="44"/>
      <c r="E726" s="44"/>
      <c r="F726" s="44"/>
      <c r="G726" s="44"/>
      <c r="H726" s="44"/>
      <c r="I726" s="190"/>
      <c r="J726" s="48"/>
      <c r="K726" s="48"/>
      <c r="L726" s="44"/>
      <c r="M726" s="44"/>
      <c r="N726" s="44"/>
      <c r="O726" s="44"/>
      <c r="P726" s="44"/>
      <c r="Q726" s="44"/>
      <c r="R726" s="44"/>
      <c r="S726" s="44"/>
      <c r="T726" s="44"/>
      <c r="U726" s="44"/>
      <c r="V726" s="44"/>
      <c r="W726" s="44"/>
      <c r="X726" s="44"/>
      <c r="Y726" s="44"/>
      <c r="Z726" s="44"/>
    </row>
    <row r="727" spans="1:26" ht="15.75" customHeight="1">
      <c r="A727" s="44"/>
      <c r="B727" s="44"/>
      <c r="C727" s="44"/>
      <c r="D727" s="44"/>
      <c r="E727" s="44"/>
      <c r="F727" s="44"/>
      <c r="G727" s="44"/>
      <c r="H727" s="44"/>
      <c r="I727" s="190"/>
      <c r="J727" s="48"/>
      <c r="K727" s="48"/>
      <c r="L727" s="44"/>
      <c r="M727" s="44"/>
      <c r="N727" s="44"/>
      <c r="O727" s="44"/>
      <c r="P727" s="44"/>
      <c r="Q727" s="44"/>
      <c r="R727" s="44"/>
      <c r="S727" s="44"/>
      <c r="T727" s="44"/>
      <c r="U727" s="44"/>
      <c r="V727" s="44"/>
      <c r="W727" s="44"/>
      <c r="X727" s="44"/>
      <c r="Y727" s="44"/>
      <c r="Z727" s="44"/>
    </row>
    <row r="728" spans="1:26" ht="15.75" customHeight="1">
      <c r="A728" s="44"/>
      <c r="B728" s="44"/>
      <c r="C728" s="44"/>
      <c r="D728" s="44"/>
      <c r="E728" s="44"/>
      <c r="F728" s="44"/>
      <c r="G728" s="44"/>
      <c r="H728" s="44"/>
      <c r="I728" s="190"/>
      <c r="J728" s="48"/>
      <c r="K728" s="48"/>
      <c r="L728" s="44"/>
      <c r="M728" s="44"/>
      <c r="N728" s="44"/>
      <c r="O728" s="44"/>
      <c r="P728" s="44"/>
      <c r="Q728" s="44"/>
      <c r="R728" s="44"/>
      <c r="S728" s="44"/>
      <c r="T728" s="44"/>
      <c r="U728" s="44"/>
      <c r="V728" s="44"/>
      <c r="W728" s="44"/>
      <c r="X728" s="44"/>
      <c r="Y728" s="44"/>
      <c r="Z728" s="44"/>
    </row>
    <row r="729" spans="1:26" ht="15.75" customHeight="1">
      <c r="A729" s="44"/>
      <c r="B729" s="44"/>
      <c r="C729" s="44"/>
      <c r="D729" s="44"/>
      <c r="E729" s="44"/>
      <c r="F729" s="44"/>
      <c r="G729" s="44"/>
      <c r="H729" s="44"/>
      <c r="I729" s="190"/>
      <c r="J729" s="48"/>
      <c r="K729" s="48"/>
      <c r="L729" s="44"/>
      <c r="M729" s="44"/>
      <c r="N729" s="44"/>
      <c r="O729" s="44"/>
      <c r="P729" s="44"/>
      <c r="Q729" s="44"/>
      <c r="R729" s="44"/>
      <c r="S729" s="44"/>
      <c r="T729" s="44"/>
      <c r="U729" s="44"/>
      <c r="V729" s="44"/>
      <c r="W729" s="44"/>
      <c r="X729" s="44"/>
      <c r="Y729" s="44"/>
      <c r="Z729" s="44"/>
    </row>
    <row r="730" spans="1:26" ht="15.75" customHeight="1">
      <c r="A730" s="44"/>
      <c r="B730" s="44"/>
      <c r="C730" s="44"/>
      <c r="D730" s="44"/>
      <c r="E730" s="44"/>
      <c r="F730" s="44"/>
      <c r="G730" s="44"/>
      <c r="H730" s="44"/>
      <c r="I730" s="190"/>
      <c r="J730" s="48"/>
      <c r="K730" s="48"/>
      <c r="L730" s="44"/>
      <c r="M730" s="44"/>
      <c r="N730" s="44"/>
      <c r="O730" s="44"/>
      <c r="P730" s="44"/>
      <c r="Q730" s="44"/>
      <c r="R730" s="44"/>
      <c r="S730" s="44"/>
      <c r="T730" s="44"/>
      <c r="U730" s="44"/>
      <c r="V730" s="44"/>
      <c r="W730" s="44"/>
      <c r="X730" s="44"/>
      <c r="Y730" s="44"/>
      <c r="Z730" s="44"/>
    </row>
    <row r="731" spans="1:26" ht="15.75" customHeight="1">
      <c r="A731" s="44"/>
      <c r="B731" s="44"/>
      <c r="C731" s="44"/>
      <c r="D731" s="44"/>
      <c r="E731" s="44"/>
      <c r="F731" s="44"/>
      <c r="G731" s="44"/>
      <c r="H731" s="44"/>
      <c r="I731" s="190"/>
      <c r="J731" s="48"/>
      <c r="K731" s="48"/>
      <c r="L731" s="44"/>
      <c r="M731" s="44"/>
      <c r="N731" s="44"/>
      <c r="O731" s="44"/>
      <c r="P731" s="44"/>
      <c r="Q731" s="44"/>
      <c r="R731" s="44"/>
      <c r="S731" s="44"/>
      <c r="T731" s="44"/>
      <c r="U731" s="44"/>
      <c r="V731" s="44"/>
      <c r="W731" s="44"/>
      <c r="X731" s="44"/>
      <c r="Y731" s="44"/>
      <c r="Z731" s="44"/>
    </row>
    <row r="732" spans="1:26" ht="15.75" customHeight="1">
      <c r="A732" s="44"/>
      <c r="B732" s="44"/>
      <c r="C732" s="44"/>
      <c r="D732" s="44"/>
      <c r="E732" s="44"/>
      <c r="F732" s="44"/>
      <c r="G732" s="44"/>
      <c r="H732" s="44"/>
      <c r="I732" s="190"/>
      <c r="J732" s="48"/>
      <c r="K732" s="48"/>
      <c r="L732" s="44"/>
      <c r="M732" s="44"/>
      <c r="N732" s="44"/>
      <c r="O732" s="44"/>
      <c r="P732" s="44"/>
      <c r="Q732" s="44"/>
      <c r="R732" s="44"/>
      <c r="S732" s="44"/>
      <c r="T732" s="44"/>
      <c r="U732" s="44"/>
      <c r="V732" s="44"/>
      <c r="W732" s="44"/>
      <c r="X732" s="44"/>
      <c r="Y732" s="44"/>
      <c r="Z732" s="44"/>
    </row>
    <row r="733" spans="1:26" ht="15.75" customHeight="1">
      <c r="A733" s="44"/>
      <c r="B733" s="44"/>
      <c r="C733" s="44"/>
      <c r="D733" s="44"/>
      <c r="E733" s="44"/>
      <c r="F733" s="44"/>
      <c r="G733" s="44"/>
      <c r="H733" s="44"/>
      <c r="I733" s="190"/>
      <c r="J733" s="48"/>
      <c r="K733" s="48"/>
      <c r="L733" s="44"/>
      <c r="M733" s="44"/>
      <c r="N733" s="44"/>
      <c r="O733" s="44"/>
      <c r="P733" s="44"/>
      <c r="Q733" s="44"/>
      <c r="R733" s="44"/>
      <c r="S733" s="44"/>
      <c r="T733" s="44"/>
      <c r="U733" s="44"/>
      <c r="V733" s="44"/>
      <c r="W733" s="44"/>
      <c r="X733" s="44"/>
      <c r="Y733" s="44"/>
      <c r="Z733" s="44"/>
    </row>
    <row r="734" spans="1:26" ht="15.75" customHeight="1">
      <c r="A734" s="44"/>
      <c r="B734" s="44"/>
      <c r="C734" s="44"/>
      <c r="D734" s="44"/>
      <c r="E734" s="44"/>
      <c r="F734" s="44"/>
      <c r="G734" s="44"/>
      <c r="H734" s="44"/>
      <c r="I734" s="190"/>
      <c r="J734" s="48"/>
      <c r="K734" s="48"/>
      <c r="L734" s="44"/>
      <c r="M734" s="44"/>
      <c r="N734" s="44"/>
      <c r="O734" s="44"/>
      <c r="P734" s="44"/>
      <c r="Q734" s="44"/>
      <c r="R734" s="44"/>
      <c r="S734" s="44"/>
      <c r="T734" s="44"/>
      <c r="U734" s="44"/>
      <c r="V734" s="44"/>
      <c r="W734" s="44"/>
      <c r="X734" s="44"/>
      <c r="Y734" s="44"/>
      <c r="Z734" s="44"/>
    </row>
    <row r="735" spans="1:26" ht="15.75" customHeight="1">
      <c r="A735" s="44"/>
      <c r="B735" s="44"/>
      <c r="C735" s="44"/>
      <c r="D735" s="44"/>
      <c r="E735" s="44"/>
      <c r="F735" s="44"/>
      <c r="G735" s="44"/>
      <c r="H735" s="44"/>
      <c r="I735" s="190"/>
      <c r="J735" s="48"/>
      <c r="K735" s="48"/>
      <c r="L735" s="44"/>
      <c r="M735" s="44"/>
      <c r="N735" s="44"/>
      <c r="O735" s="44"/>
      <c r="P735" s="44"/>
      <c r="Q735" s="44"/>
      <c r="R735" s="44"/>
      <c r="S735" s="44"/>
      <c r="T735" s="44"/>
      <c r="U735" s="44"/>
      <c r="V735" s="44"/>
      <c r="W735" s="44"/>
      <c r="X735" s="44"/>
      <c r="Y735" s="44"/>
      <c r="Z735" s="44"/>
    </row>
    <row r="736" spans="1:26" ht="15.75" customHeight="1">
      <c r="A736" s="44"/>
      <c r="B736" s="44"/>
      <c r="C736" s="44"/>
      <c r="D736" s="44"/>
      <c r="E736" s="44"/>
      <c r="F736" s="44"/>
      <c r="G736" s="44"/>
      <c r="H736" s="44"/>
      <c r="I736" s="190"/>
      <c r="J736" s="48"/>
      <c r="K736" s="48"/>
      <c r="L736" s="44"/>
      <c r="M736" s="44"/>
      <c r="N736" s="44"/>
      <c r="O736" s="44"/>
      <c r="P736" s="44"/>
      <c r="Q736" s="44"/>
      <c r="R736" s="44"/>
      <c r="S736" s="44"/>
      <c r="T736" s="44"/>
      <c r="U736" s="44"/>
      <c r="V736" s="44"/>
      <c r="W736" s="44"/>
      <c r="X736" s="44"/>
      <c r="Y736" s="44"/>
      <c r="Z736" s="44"/>
    </row>
    <row r="737" spans="1:26" ht="15.75" customHeight="1">
      <c r="A737" s="44"/>
      <c r="B737" s="44"/>
      <c r="C737" s="44"/>
      <c r="D737" s="44"/>
      <c r="E737" s="44"/>
      <c r="F737" s="44"/>
      <c r="G737" s="44"/>
      <c r="H737" s="44"/>
      <c r="I737" s="190"/>
      <c r="J737" s="48"/>
      <c r="K737" s="48"/>
      <c r="L737" s="44"/>
      <c r="M737" s="44"/>
      <c r="N737" s="44"/>
      <c r="O737" s="44"/>
      <c r="P737" s="44"/>
      <c r="Q737" s="44"/>
      <c r="R737" s="44"/>
      <c r="S737" s="44"/>
      <c r="T737" s="44"/>
      <c r="U737" s="44"/>
      <c r="V737" s="44"/>
      <c r="W737" s="44"/>
      <c r="X737" s="44"/>
      <c r="Y737" s="44"/>
      <c r="Z737" s="44"/>
    </row>
    <row r="738" spans="1:26" ht="15.75" customHeight="1">
      <c r="A738" s="44"/>
      <c r="B738" s="44"/>
      <c r="C738" s="44"/>
      <c r="D738" s="44"/>
      <c r="E738" s="44"/>
      <c r="F738" s="44"/>
      <c r="G738" s="44"/>
      <c r="H738" s="44"/>
      <c r="I738" s="190"/>
      <c r="J738" s="48"/>
      <c r="K738" s="48"/>
      <c r="L738" s="44"/>
      <c r="M738" s="44"/>
      <c r="N738" s="44"/>
      <c r="O738" s="44"/>
      <c r="P738" s="44"/>
      <c r="Q738" s="44"/>
      <c r="R738" s="44"/>
      <c r="S738" s="44"/>
      <c r="T738" s="44"/>
      <c r="U738" s="44"/>
      <c r="V738" s="44"/>
      <c r="W738" s="44"/>
      <c r="X738" s="44"/>
      <c r="Y738" s="44"/>
      <c r="Z738" s="44"/>
    </row>
    <row r="739" spans="1:26" ht="15.75" customHeight="1">
      <c r="A739" s="44"/>
      <c r="B739" s="44"/>
      <c r="C739" s="44"/>
      <c r="D739" s="44"/>
      <c r="E739" s="44"/>
      <c r="F739" s="44"/>
      <c r="G739" s="44"/>
      <c r="H739" s="44"/>
      <c r="I739" s="190"/>
      <c r="J739" s="48"/>
      <c r="K739" s="48"/>
      <c r="L739" s="44"/>
      <c r="M739" s="44"/>
      <c r="N739" s="44"/>
      <c r="O739" s="44"/>
      <c r="P739" s="44"/>
      <c r="Q739" s="44"/>
      <c r="R739" s="44"/>
      <c r="S739" s="44"/>
      <c r="T739" s="44"/>
      <c r="U739" s="44"/>
      <c r="V739" s="44"/>
      <c r="W739" s="44"/>
      <c r="X739" s="44"/>
      <c r="Y739" s="44"/>
      <c r="Z739" s="44"/>
    </row>
    <row r="740" spans="1:26" ht="15.75" customHeight="1">
      <c r="A740" s="44"/>
      <c r="B740" s="44"/>
      <c r="C740" s="44"/>
      <c r="D740" s="44"/>
      <c r="E740" s="44"/>
      <c r="F740" s="44"/>
      <c r="G740" s="44"/>
      <c r="H740" s="44"/>
      <c r="I740" s="190"/>
      <c r="J740" s="48"/>
      <c r="K740" s="48"/>
      <c r="L740" s="44"/>
      <c r="M740" s="44"/>
      <c r="N740" s="44"/>
      <c r="O740" s="44"/>
      <c r="P740" s="44"/>
      <c r="Q740" s="44"/>
      <c r="R740" s="44"/>
      <c r="S740" s="44"/>
      <c r="T740" s="44"/>
      <c r="U740" s="44"/>
      <c r="V740" s="44"/>
      <c r="W740" s="44"/>
      <c r="X740" s="44"/>
      <c r="Y740" s="44"/>
      <c r="Z740" s="44"/>
    </row>
    <row r="741" spans="1:26" ht="15.75" customHeight="1">
      <c r="A741" s="44"/>
      <c r="B741" s="44"/>
      <c r="C741" s="44"/>
      <c r="D741" s="44"/>
      <c r="E741" s="44"/>
      <c r="F741" s="44"/>
      <c r="G741" s="44"/>
      <c r="H741" s="44"/>
      <c r="I741" s="190"/>
      <c r="J741" s="48"/>
      <c r="K741" s="48"/>
      <c r="L741" s="44"/>
      <c r="M741" s="44"/>
      <c r="N741" s="44"/>
      <c r="O741" s="44"/>
      <c r="P741" s="44"/>
      <c r="Q741" s="44"/>
      <c r="R741" s="44"/>
      <c r="S741" s="44"/>
      <c r="T741" s="44"/>
      <c r="U741" s="44"/>
      <c r="V741" s="44"/>
      <c r="W741" s="44"/>
      <c r="X741" s="44"/>
      <c r="Y741" s="44"/>
      <c r="Z741" s="44"/>
    </row>
    <row r="742" spans="1:26" ht="15.75" customHeight="1">
      <c r="A742" s="44"/>
      <c r="B742" s="44"/>
      <c r="C742" s="44"/>
      <c r="D742" s="44"/>
      <c r="E742" s="44"/>
      <c r="F742" s="44"/>
      <c r="G742" s="44"/>
      <c r="H742" s="44"/>
      <c r="I742" s="190"/>
      <c r="J742" s="48"/>
      <c r="K742" s="48"/>
      <c r="L742" s="44"/>
      <c r="M742" s="44"/>
      <c r="N742" s="44"/>
      <c r="O742" s="44"/>
      <c r="P742" s="44"/>
      <c r="Q742" s="44"/>
      <c r="R742" s="44"/>
      <c r="S742" s="44"/>
      <c r="T742" s="44"/>
      <c r="U742" s="44"/>
      <c r="V742" s="44"/>
      <c r="W742" s="44"/>
      <c r="X742" s="44"/>
      <c r="Y742" s="44"/>
      <c r="Z742" s="44"/>
    </row>
    <row r="743" spans="1:26" ht="15.75" customHeight="1">
      <c r="A743" s="44"/>
      <c r="B743" s="44"/>
      <c r="C743" s="44"/>
      <c r="D743" s="44"/>
      <c r="E743" s="44"/>
      <c r="F743" s="44"/>
      <c r="G743" s="44"/>
      <c r="H743" s="44"/>
      <c r="I743" s="190"/>
      <c r="J743" s="48"/>
      <c r="K743" s="48"/>
      <c r="L743" s="44"/>
      <c r="M743" s="44"/>
      <c r="N743" s="44"/>
      <c r="O743" s="44"/>
      <c r="P743" s="44"/>
      <c r="Q743" s="44"/>
      <c r="R743" s="44"/>
      <c r="S743" s="44"/>
      <c r="T743" s="44"/>
      <c r="U743" s="44"/>
      <c r="V743" s="44"/>
      <c r="W743" s="44"/>
      <c r="X743" s="44"/>
      <c r="Y743" s="44"/>
      <c r="Z743" s="44"/>
    </row>
    <row r="744" spans="1:26" ht="15.75" customHeight="1">
      <c r="A744" s="44"/>
      <c r="B744" s="44"/>
      <c r="C744" s="44"/>
      <c r="D744" s="44"/>
      <c r="E744" s="44"/>
      <c r="F744" s="44"/>
      <c r="G744" s="44"/>
      <c r="H744" s="44"/>
      <c r="I744" s="190"/>
      <c r="J744" s="48"/>
      <c r="K744" s="48"/>
      <c r="L744" s="44"/>
      <c r="M744" s="44"/>
      <c r="N744" s="44"/>
      <c r="O744" s="44"/>
      <c r="P744" s="44"/>
      <c r="Q744" s="44"/>
      <c r="R744" s="44"/>
      <c r="S744" s="44"/>
      <c r="T744" s="44"/>
      <c r="U744" s="44"/>
      <c r="V744" s="44"/>
      <c r="W744" s="44"/>
      <c r="X744" s="44"/>
      <c r="Y744" s="44"/>
      <c r="Z744" s="44"/>
    </row>
    <row r="745" spans="1:26" ht="15.75" customHeight="1">
      <c r="A745" s="44"/>
      <c r="B745" s="44"/>
      <c r="C745" s="44"/>
      <c r="D745" s="44"/>
      <c r="E745" s="44"/>
      <c r="F745" s="44"/>
      <c r="G745" s="44"/>
      <c r="H745" s="44"/>
      <c r="I745" s="190"/>
      <c r="J745" s="48"/>
      <c r="K745" s="48"/>
      <c r="L745" s="44"/>
      <c r="M745" s="44"/>
      <c r="N745" s="44"/>
      <c r="O745" s="44"/>
      <c r="P745" s="44"/>
      <c r="Q745" s="44"/>
      <c r="R745" s="44"/>
      <c r="S745" s="44"/>
      <c r="T745" s="44"/>
      <c r="U745" s="44"/>
      <c r="V745" s="44"/>
      <c r="W745" s="44"/>
      <c r="X745" s="44"/>
      <c r="Y745" s="44"/>
      <c r="Z745" s="44"/>
    </row>
    <row r="746" spans="1:26" ht="15.75" customHeight="1">
      <c r="A746" s="44"/>
      <c r="B746" s="44"/>
      <c r="C746" s="44"/>
      <c r="D746" s="44"/>
      <c r="E746" s="44"/>
      <c r="F746" s="44"/>
      <c r="G746" s="44"/>
      <c r="H746" s="44"/>
      <c r="I746" s="190"/>
      <c r="J746" s="48"/>
      <c r="K746" s="48"/>
      <c r="L746" s="44"/>
      <c r="M746" s="44"/>
      <c r="N746" s="44"/>
      <c r="O746" s="44"/>
      <c r="P746" s="44"/>
      <c r="Q746" s="44"/>
      <c r="R746" s="44"/>
      <c r="S746" s="44"/>
      <c r="T746" s="44"/>
      <c r="U746" s="44"/>
      <c r="V746" s="44"/>
      <c r="W746" s="44"/>
      <c r="X746" s="44"/>
      <c r="Y746" s="44"/>
      <c r="Z746" s="44"/>
    </row>
    <row r="747" spans="1:26" ht="15.75" customHeight="1">
      <c r="A747" s="44"/>
      <c r="B747" s="44"/>
      <c r="C747" s="44"/>
      <c r="D747" s="44"/>
      <c r="E747" s="44"/>
      <c r="F747" s="44"/>
      <c r="G747" s="44"/>
      <c r="H747" s="44"/>
      <c r="I747" s="190"/>
      <c r="J747" s="48"/>
      <c r="K747" s="48"/>
      <c r="L747" s="44"/>
      <c r="M747" s="44"/>
      <c r="N747" s="44"/>
      <c r="O747" s="44"/>
      <c r="P747" s="44"/>
      <c r="Q747" s="44"/>
      <c r="R747" s="44"/>
      <c r="S747" s="44"/>
      <c r="T747" s="44"/>
      <c r="U747" s="44"/>
      <c r="V747" s="44"/>
      <c r="W747" s="44"/>
      <c r="X747" s="44"/>
      <c r="Y747" s="44"/>
      <c r="Z747" s="44"/>
    </row>
    <row r="748" spans="1:26" ht="15.75" customHeight="1">
      <c r="A748" s="44"/>
      <c r="B748" s="44"/>
      <c r="C748" s="44"/>
      <c r="D748" s="44"/>
      <c r="E748" s="44"/>
      <c r="F748" s="44"/>
      <c r="G748" s="44"/>
      <c r="H748" s="44"/>
      <c r="I748" s="190"/>
      <c r="J748" s="48"/>
      <c r="K748" s="48"/>
      <c r="L748" s="44"/>
      <c r="M748" s="44"/>
      <c r="N748" s="44"/>
      <c r="O748" s="44"/>
      <c r="P748" s="44"/>
      <c r="Q748" s="44"/>
      <c r="R748" s="44"/>
      <c r="S748" s="44"/>
      <c r="T748" s="44"/>
      <c r="U748" s="44"/>
      <c r="V748" s="44"/>
      <c r="W748" s="44"/>
      <c r="X748" s="44"/>
      <c r="Y748" s="44"/>
      <c r="Z748" s="44"/>
    </row>
    <row r="749" spans="1:26" ht="15.75" customHeight="1">
      <c r="A749" s="44"/>
      <c r="B749" s="44"/>
      <c r="C749" s="44"/>
      <c r="D749" s="44"/>
      <c r="E749" s="44"/>
      <c r="F749" s="44"/>
      <c r="G749" s="44"/>
      <c r="H749" s="44"/>
      <c r="I749" s="190"/>
      <c r="J749" s="48"/>
      <c r="K749" s="48"/>
      <c r="L749" s="44"/>
      <c r="M749" s="44"/>
      <c r="N749" s="44"/>
      <c r="O749" s="44"/>
      <c r="P749" s="44"/>
      <c r="Q749" s="44"/>
      <c r="R749" s="44"/>
      <c r="S749" s="44"/>
      <c r="T749" s="44"/>
      <c r="U749" s="44"/>
      <c r="V749" s="44"/>
      <c r="W749" s="44"/>
      <c r="X749" s="44"/>
      <c r="Y749" s="44"/>
      <c r="Z749" s="44"/>
    </row>
    <row r="750" spans="1:26" ht="15.75" customHeight="1">
      <c r="A750" s="44"/>
      <c r="B750" s="44"/>
      <c r="C750" s="44"/>
      <c r="D750" s="44"/>
      <c r="E750" s="44"/>
      <c r="F750" s="44"/>
      <c r="G750" s="44"/>
      <c r="H750" s="44"/>
      <c r="I750" s="190"/>
      <c r="J750" s="48"/>
      <c r="K750" s="48"/>
      <c r="L750" s="44"/>
      <c r="M750" s="44"/>
      <c r="N750" s="44"/>
      <c r="O750" s="44"/>
      <c r="P750" s="44"/>
      <c r="Q750" s="44"/>
      <c r="R750" s="44"/>
      <c r="S750" s="44"/>
      <c r="T750" s="44"/>
      <c r="U750" s="44"/>
      <c r="V750" s="44"/>
      <c r="W750" s="44"/>
      <c r="X750" s="44"/>
      <c r="Y750" s="44"/>
      <c r="Z750" s="44"/>
    </row>
    <row r="751" spans="1:26" ht="15.75" customHeight="1">
      <c r="A751" s="44"/>
      <c r="B751" s="44"/>
      <c r="C751" s="44"/>
      <c r="D751" s="44"/>
      <c r="E751" s="44"/>
      <c r="F751" s="44"/>
      <c r="G751" s="44"/>
      <c r="H751" s="44"/>
      <c r="I751" s="190"/>
      <c r="J751" s="48"/>
      <c r="K751" s="48"/>
      <c r="L751" s="44"/>
      <c r="M751" s="44"/>
      <c r="N751" s="44"/>
      <c r="O751" s="44"/>
      <c r="P751" s="44"/>
      <c r="Q751" s="44"/>
      <c r="R751" s="44"/>
      <c r="S751" s="44"/>
      <c r="T751" s="44"/>
      <c r="U751" s="44"/>
      <c r="V751" s="44"/>
      <c r="W751" s="44"/>
      <c r="X751" s="44"/>
      <c r="Y751" s="44"/>
      <c r="Z751" s="44"/>
    </row>
    <row r="752" spans="1:26" ht="15.75" customHeight="1">
      <c r="A752" s="44"/>
      <c r="B752" s="44"/>
      <c r="C752" s="44"/>
      <c r="D752" s="44"/>
      <c r="E752" s="44"/>
      <c r="F752" s="44"/>
      <c r="G752" s="44"/>
      <c r="H752" s="44"/>
      <c r="I752" s="190"/>
      <c r="J752" s="48"/>
      <c r="K752" s="48"/>
      <c r="L752" s="44"/>
      <c r="M752" s="44"/>
      <c r="N752" s="44"/>
      <c r="O752" s="44"/>
      <c r="P752" s="44"/>
      <c r="Q752" s="44"/>
      <c r="R752" s="44"/>
      <c r="S752" s="44"/>
      <c r="T752" s="44"/>
      <c r="U752" s="44"/>
      <c r="V752" s="44"/>
      <c r="W752" s="44"/>
      <c r="X752" s="44"/>
      <c r="Y752" s="44"/>
      <c r="Z752" s="44"/>
    </row>
    <row r="753" spans="1:26" ht="15.75" customHeight="1">
      <c r="A753" s="44"/>
      <c r="B753" s="44"/>
      <c r="C753" s="44"/>
      <c r="D753" s="44"/>
      <c r="E753" s="44"/>
      <c r="F753" s="44"/>
      <c r="G753" s="44"/>
      <c r="H753" s="44"/>
      <c r="I753" s="190"/>
      <c r="J753" s="48"/>
      <c r="K753" s="48"/>
      <c r="L753" s="44"/>
      <c r="M753" s="44"/>
      <c r="N753" s="44"/>
      <c r="O753" s="44"/>
      <c r="P753" s="44"/>
      <c r="Q753" s="44"/>
      <c r="R753" s="44"/>
      <c r="S753" s="44"/>
      <c r="T753" s="44"/>
      <c r="U753" s="44"/>
      <c r="V753" s="44"/>
      <c r="W753" s="44"/>
      <c r="X753" s="44"/>
      <c r="Y753" s="44"/>
      <c r="Z753" s="44"/>
    </row>
    <row r="754" spans="1:26" ht="15.75" customHeight="1">
      <c r="A754" s="44"/>
      <c r="B754" s="44"/>
      <c r="C754" s="44"/>
      <c r="D754" s="44"/>
      <c r="E754" s="44"/>
      <c r="F754" s="44"/>
      <c r="G754" s="44"/>
      <c r="H754" s="44"/>
      <c r="I754" s="190"/>
      <c r="J754" s="48"/>
      <c r="K754" s="48"/>
      <c r="L754" s="44"/>
      <c r="M754" s="44"/>
      <c r="N754" s="44"/>
      <c r="O754" s="44"/>
      <c r="P754" s="44"/>
      <c r="Q754" s="44"/>
      <c r="R754" s="44"/>
      <c r="S754" s="44"/>
      <c r="T754" s="44"/>
      <c r="U754" s="44"/>
      <c r="V754" s="44"/>
      <c r="W754" s="44"/>
      <c r="X754" s="44"/>
      <c r="Y754" s="44"/>
      <c r="Z754" s="44"/>
    </row>
    <row r="755" spans="1:26" ht="15.75" customHeight="1">
      <c r="A755" s="44"/>
      <c r="B755" s="44"/>
      <c r="C755" s="44"/>
      <c r="D755" s="44"/>
      <c r="E755" s="44"/>
      <c r="F755" s="44"/>
      <c r="G755" s="44"/>
      <c r="H755" s="44"/>
      <c r="I755" s="190"/>
      <c r="J755" s="48"/>
      <c r="K755" s="48"/>
      <c r="L755" s="44"/>
      <c r="M755" s="44"/>
      <c r="N755" s="44"/>
      <c r="O755" s="44"/>
      <c r="P755" s="44"/>
      <c r="Q755" s="44"/>
      <c r="R755" s="44"/>
      <c r="S755" s="44"/>
      <c r="T755" s="44"/>
      <c r="U755" s="44"/>
      <c r="V755" s="44"/>
      <c r="W755" s="44"/>
      <c r="X755" s="44"/>
      <c r="Y755" s="44"/>
      <c r="Z755" s="44"/>
    </row>
    <row r="756" spans="1:26" ht="15.75" customHeight="1">
      <c r="A756" s="44"/>
      <c r="B756" s="44"/>
      <c r="C756" s="44"/>
      <c r="D756" s="44"/>
      <c r="E756" s="44"/>
      <c r="F756" s="44"/>
      <c r="G756" s="44"/>
      <c r="H756" s="44"/>
      <c r="I756" s="190"/>
      <c r="J756" s="48"/>
      <c r="K756" s="48"/>
      <c r="L756" s="44"/>
      <c r="M756" s="44"/>
      <c r="N756" s="44"/>
      <c r="O756" s="44"/>
      <c r="P756" s="44"/>
      <c r="Q756" s="44"/>
      <c r="R756" s="44"/>
      <c r="S756" s="44"/>
      <c r="T756" s="44"/>
      <c r="U756" s="44"/>
      <c r="V756" s="44"/>
      <c r="W756" s="44"/>
      <c r="X756" s="44"/>
      <c r="Y756" s="44"/>
      <c r="Z756" s="44"/>
    </row>
    <row r="757" spans="1:26" ht="15.75" customHeight="1">
      <c r="A757" s="44"/>
      <c r="B757" s="44"/>
      <c r="C757" s="44"/>
      <c r="D757" s="44"/>
      <c r="E757" s="44"/>
      <c r="F757" s="44"/>
      <c r="G757" s="44"/>
      <c r="H757" s="44"/>
      <c r="I757" s="190"/>
      <c r="J757" s="48"/>
      <c r="K757" s="48"/>
      <c r="L757" s="44"/>
      <c r="M757" s="44"/>
      <c r="N757" s="44"/>
      <c r="O757" s="44"/>
      <c r="P757" s="44"/>
      <c r="Q757" s="44"/>
      <c r="R757" s="44"/>
      <c r="S757" s="44"/>
      <c r="T757" s="44"/>
      <c r="U757" s="44"/>
      <c r="V757" s="44"/>
      <c r="W757" s="44"/>
      <c r="X757" s="44"/>
      <c r="Y757" s="44"/>
      <c r="Z757" s="44"/>
    </row>
    <row r="758" spans="1:26" ht="15.75" customHeight="1">
      <c r="A758" s="44"/>
      <c r="B758" s="44"/>
      <c r="C758" s="44"/>
      <c r="D758" s="44"/>
      <c r="E758" s="44"/>
      <c r="F758" s="44"/>
      <c r="G758" s="44"/>
      <c r="H758" s="44"/>
      <c r="I758" s="190"/>
      <c r="J758" s="48"/>
      <c r="K758" s="48"/>
      <c r="L758" s="44"/>
      <c r="M758" s="44"/>
      <c r="N758" s="44"/>
      <c r="O758" s="44"/>
      <c r="P758" s="44"/>
      <c r="Q758" s="44"/>
      <c r="R758" s="44"/>
      <c r="S758" s="44"/>
      <c r="T758" s="44"/>
      <c r="U758" s="44"/>
      <c r="V758" s="44"/>
      <c r="W758" s="44"/>
      <c r="X758" s="44"/>
      <c r="Y758" s="44"/>
      <c r="Z758" s="44"/>
    </row>
    <row r="759" spans="1:26" ht="15.75" customHeight="1">
      <c r="A759" s="44"/>
      <c r="B759" s="44"/>
      <c r="C759" s="44"/>
      <c r="D759" s="44"/>
      <c r="E759" s="44"/>
      <c r="F759" s="44"/>
      <c r="G759" s="44"/>
      <c r="H759" s="44"/>
      <c r="I759" s="190"/>
      <c r="J759" s="48"/>
      <c r="K759" s="48"/>
      <c r="L759" s="44"/>
      <c r="M759" s="44"/>
      <c r="N759" s="44"/>
      <c r="O759" s="44"/>
      <c r="P759" s="44"/>
      <c r="Q759" s="44"/>
      <c r="R759" s="44"/>
      <c r="S759" s="44"/>
      <c r="T759" s="44"/>
      <c r="U759" s="44"/>
      <c r="V759" s="44"/>
      <c r="W759" s="44"/>
      <c r="X759" s="44"/>
      <c r="Y759" s="44"/>
      <c r="Z759" s="44"/>
    </row>
    <row r="760" spans="1:26" ht="15.75" customHeight="1">
      <c r="A760" s="44"/>
      <c r="B760" s="44"/>
      <c r="C760" s="44"/>
      <c r="D760" s="44"/>
      <c r="E760" s="44"/>
      <c r="F760" s="44"/>
      <c r="G760" s="44"/>
      <c r="H760" s="44"/>
      <c r="I760" s="190"/>
      <c r="J760" s="48"/>
      <c r="K760" s="48"/>
      <c r="L760" s="44"/>
      <c r="M760" s="44"/>
      <c r="N760" s="44"/>
      <c r="O760" s="44"/>
      <c r="P760" s="44"/>
      <c r="Q760" s="44"/>
      <c r="R760" s="44"/>
      <c r="S760" s="44"/>
      <c r="T760" s="44"/>
      <c r="U760" s="44"/>
      <c r="V760" s="44"/>
      <c r="W760" s="44"/>
      <c r="X760" s="44"/>
      <c r="Y760" s="44"/>
      <c r="Z760" s="44"/>
    </row>
    <row r="761" spans="1:26" ht="15.75" customHeight="1">
      <c r="A761" s="44"/>
      <c r="B761" s="44"/>
      <c r="C761" s="44"/>
      <c r="D761" s="44"/>
      <c r="E761" s="44"/>
      <c r="F761" s="44"/>
      <c r="G761" s="44"/>
      <c r="H761" s="44"/>
      <c r="I761" s="190"/>
      <c r="J761" s="48"/>
      <c r="K761" s="48"/>
      <c r="L761" s="44"/>
      <c r="M761" s="44"/>
      <c r="N761" s="44"/>
      <c r="O761" s="44"/>
      <c r="P761" s="44"/>
      <c r="Q761" s="44"/>
      <c r="R761" s="44"/>
      <c r="S761" s="44"/>
      <c r="T761" s="44"/>
      <c r="U761" s="44"/>
      <c r="V761" s="44"/>
      <c r="W761" s="44"/>
      <c r="X761" s="44"/>
      <c r="Y761" s="44"/>
      <c r="Z761" s="44"/>
    </row>
    <row r="762" spans="1:26" ht="15.75" customHeight="1">
      <c r="A762" s="44"/>
      <c r="B762" s="44"/>
      <c r="C762" s="44"/>
      <c r="D762" s="44"/>
      <c r="E762" s="44"/>
      <c r="F762" s="44"/>
      <c r="G762" s="44"/>
      <c r="H762" s="44"/>
      <c r="I762" s="190"/>
      <c r="J762" s="48"/>
      <c r="K762" s="48"/>
      <c r="L762" s="44"/>
      <c r="M762" s="44"/>
      <c r="N762" s="44"/>
      <c r="O762" s="44"/>
      <c r="P762" s="44"/>
      <c r="Q762" s="44"/>
      <c r="R762" s="44"/>
      <c r="S762" s="44"/>
      <c r="T762" s="44"/>
      <c r="U762" s="44"/>
      <c r="V762" s="44"/>
      <c r="W762" s="44"/>
      <c r="X762" s="44"/>
      <c r="Y762" s="44"/>
      <c r="Z762" s="44"/>
    </row>
    <row r="763" spans="1:26" ht="15.75" customHeight="1">
      <c r="A763" s="44"/>
      <c r="B763" s="44"/>
      <c r="C763" s="44"/>
      <c r="D763" s="44"/>
      <c r="E763" s="44"/>
      <c r="F763" s="44"/>
      <c r="G763" s="44"/>
      <c r="H763" s="44"/>
      <c r="I763" s="190"/>
      <c r="J763" s="48"/>
      <c r="K763" s="48"/>
      <c r="L763" s="44"/>
      <c r="M763" s="44"/>
      <c r="N763" s="44"/>
      <c r="O763" s="44"/>
      <c r="P763" s="44"/>
      <c r="Q763" s="44"/>
      <c r="R763" s="44"/>
      <c r="S763" s="44"/>
      <c r="T763" s="44"/>
      <c r="U763" s="44"/>
      <c r="V763" s="44"/>
      <c r="W763" s="44"/>
      <c r="X763" s="44"/>
      <c r="Y763" s="44"/>
      <c r="Z763" s="44"/>
    </row>
    <row r="764" spans="1:26" ht="15.75" customHeight="1">
      <c r="A764" s="44"/>
      <c r="B764" s="44"/>
      <c r="C764" s="44"/>
      <c r="D764" s="44"/>
      <c r="E764" s="44"/>
      <c r="F764" s="44"/>
      <c r="G764" s="44"/>
      <c r="H764" s="44"/>
      <c r="I764" s="190"/>
      <c r="J764" s="48"/>
      <c r="K764" s="48"/>
      <c r="L764" s="44"/>
      <c r="M764" s="44"/>
      <c r="N764" s="44"/>
      <c r="O764" s="44"/>
      <c r="P764" s="44"/>
      <c r="Q764" s="44"/>
      <c r="R764" s="44"/>
      <c r="S764" s="44"/>
      <c r="T764" s="44"/>
      <c r="U764" s="44"/>
      <c r="V764" s="44"/>
      <c r="W764" s="44"/>
      <c r="X764" s="44"/>
      <c r="Y764" s="44"/>
      <c r="Z764" s="44"/>
    </row>
    <row r="765" spans="1:26" ht="15.75" customHeight="1">
      <c r="A765" s="44"/>
      <c r="B765" s="44"/>
      <c r="C765" s="44"/>
      <c r="D765" s="44"/>
      <c r="E765" s="44"/>
      <c r="F765" s="44"/>
      <c r="G765" s="44"/>
      <c r="H765" s="44"/>
      <c r="I765" s="190"/>
      <c r="J765" s="48"/>
      <c r="K765" s="48"/>
      <c r="L765" s="44"/>
      <c r="M765" s="44"/>
      <c r="N765" s="44"/>
      <c r="O765" s="44"/>
      <c r="P765" s="44"/>
      <c r="Q765" s="44"/>
      <c r="R765" s="44"/>
      <c r="S765" s="44"/>
      <c r="T765" s="44"/>
      <c r="U765" s="44"/>
      <c r="V765" s="44"/>
      <c r="W765" s="44"/>
      <c r="X765" s="44"/>
      <c r="Y765" s="44"/>
      <c r="Z765" s="44"/>
    </row>
    <row r="766" spans="1:26" ht="15.75" customHeight="1">
      <c r="A766" s="44"/>
      <c r="B766" s="44"/>
      <c r="C766" s="44"/>
      <c r="D766" s="44"/>
      <c r="E766" s="44"/>
      <c r="F766" s="44"/>
      <c r="G766" s="44"/>
      <c r="H766" s="44"/>
      <c r="I766" s="190"/>
      <c r="J766" s="48"/>
      <c r="K766" s="48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4"/>
      <c r="Z766" s="44"/>
    </row>
    <row r="767" spans="1:26" ht="15.75" customHeight="1">
      <c r="A767" s="44"/>
      <c r="B767" s="44"/>
      <c r="C767" s="44"/>
      <c r="D767" s="44"/>
      <c r="E767" s="44"/>
      <c r="F767" s="44"/>
      <c r="G767" s="44"/>
      <c r="H767" s="44"/>
      <c r="I767" s="190"/>
      <c r="J767" s="48"/>
      <c r="K767" s="48"/>
      <c r="L767" s="44"/>
      <c r="M767" s="44"/>
      <c r="N767" s="44"/>
      <c r="O767" s="44"/>
      <c r="P767" s="44"/>
      <c r="Q767" s="44"/>
      <c r="R767" s="44"/>
      <c r="S767" s="44"/>
      <c r="T767" s="44"/>
      <c r="U767" s="44"/>
      <c r="V767" s="44"/>
      <c r="W767" s="44"/>
      <c r="X767" s="44"/>
      <c r="Y767" s="44"/>
      <c r="Z767" s="44"/>
    </row>
    <row r="768" spans="1:26" ht="15.75" customHeight="1">
      <c r="A768" s="44"/>
      <c r="B768" s="44"/>
      <c r="C768" s="44"/>
      <c r="D768" s="44"/>
      <c r="E768" s="44"/>
      <c r="F768" s="44"/>
      <c r="G768" s="44"/>
      <c r="H768" s="44"/>
      <c r="I768" s="190"/>
      <c r="J768" s="48"/>
      <c r="K768" s="48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  <c r="Z768" s="44"/>
    </row>
    <row r="769" spans="1:26" ht="15.75" customHeight="1">
      <c r="A769" s="44"/>
      <c r="B769" s="44"/>
      <c r="C769" s="44"/>
      <c r="D769" s="44"/>
      <c r="E769" s="44"/>
      <c r="F769" s="44"/>
      <c r="G769" s="44"/>
      <c r="H769" s="44"/>
      <c r="I769" s="190"/>
      <c r="J769" s="48"/>
      <c r="K769" s="48"/>
      <c r="L769" s="44"/>
      <c r="M769" s="44"/>
      <c r="N769" s="44"/>
      <c r="O769" s="44"/>
      <c r="P769" s="44"/>
      <c r="Q769" s="44"/>
      <c r="R769" s="44"/>
      <c r="S769" s="44"/>
      <c r="T769" s="44"/>
      <c r="U769" s="44"/>
      <c r="V769" s="44"/>
      <c r="W769" s="44"/>
      <c r="X769" s="44"/>
      <c r="Y769" s="44"/>
      <c r="Z769" s="44"/>
    </row>
    <row r="770" spans="1:26" ht="15.75" customHeight="1">
      <c r="A770" s="44"/>
      <c r="B770" s="44"/>
      <c r="C770" s="44"/>
      <c r="D770" s="44"/>
      <c r="E770" s="44"/>
      <c r="F770" s="44"/>
      <c r="G770" s="44"/>
      <c r="H770" s="44"/>
      <c r="I770" s="190"/>
      <c r="J770" s="48"/>
      <c r="K770" s="48"/>
      <c r="L770" s="44"/>
      <c r="M770" s="44"/>
      <c r="N770" s="44"/>
      <c r="O770" s="44"/>
      <c r="P770" s="44"/>
      <c r="Q770" s="44"/>
      <c r="R770" s="44"/>
      <c r="S770" s="44"/>
      <c r="T770" s="44"/>
      <c r="U770" s="44"/>
      <c r="V770" s="44"/>
      <c r="W770" s="44"/>
      <c r="X770" s="44"/>
      <c r="Y770" s="44"/>
      <c r="Z770" s="44"/>
    </row>
    <row r="771" spans="1:26" ht="15.75" customHeight="1">
      <c r="A771" s="44"/>
      <c r="B771" s="44"/>
      <c r="C771" s="44"/>
      <c r="D771" s="44"/>
      <c r="E771" s="44"/>
      <c r="F771" s="44"/>
      <c r="G771" s="44"/>
      <c r="H771" s="44"/>
      <c r="I771" s="190"/>
      <c r="J771" s="48"/>
      <c r="K771" s="48"/>
      <c r="L771" s="44"/>
      <c r="M771" s="44"/>
      <c r="N771" s="44"/>
      <c r="O771" s="44"/>
      <c r="P771" s="44"/>
      <c r="Q771" s="44"/>
      <c r="R771" s="44"/>
      <c r="S771" s="44"/>
      <c r="T771" s="44"/>
      <c r="U771" s="44"/>
      <c r="V771" s="44"/>
      <c r="W771" s="44"/>
      <c r="X771" s="44"/>
      <c r="Y771" s="44"/>
      <c r="Z771" s="44"/>
    </row>
    <row r="772" spans="1:26" ht="15.75" customHeight="1">
      <c r="A772" s="44"/>
      <c r="B772" s="44"/>
      <c r="C772" s="44"/>
      <c r="D772" s="44"/>
      <c r="E772" s="44"/>
      <c r="F772" s="44"/>
      <c r="G772" s="44"/>
      <c r="H772" s="44"/>
      <c r="I772" s="190"/>
      <c r="J772" s="48"/>
      <c r="K772" s="48"/>
      <c r="L772" s="44"/>
      <c r="M772" s="44"/>
      <c r="N772" s="44"/>
      <c r="O772" s="44"/>
      <c r="P772" s="44"/>
      <c r="Q772" s="44"/>
      <c r="R772" s="44"/>
      <c r="S772" s="44"/>
      <c r="T772" s="44"/>
      <c r="U772" s="44"/>
      <c r="V772" s="44"/>
      <c r="W772" s="44"/>
      <c r="X772" s="44"/>
      <c r="Y772" s="44"/>
      <c r="Z772" s="44"/>
    </row>
    <row r="773" spans="1:26" ht="15.75" customHeight="1">
      <c r="A773" s="44"/>
      <c r="B773" s="44"/>
      <c r="C773" s="44"/>
      <c r="D773" s="44"/>
      <c r="E773" s="44"/>
      <c r="F773" s="44"/>
      <c r="G773" s="44"/>
      <c r="H773" s="44"/>
      <c r="I773" s="190"/>
      <c r="J773" s="48"/>
      <c r="K773" s="48"/>
      <c r="L773" s="44"/>
      <c r="M773" s="44"/>
      <c r="N773" s="44"/>
      <c r="O773" s="44"/>
      <c r="P773" s="44"/>
      <c r="Q773" s="44"/>
      <c r="R773" s="44"/>
      <c r="S773" s="44"/>
      <c r="T773" s="44"/>
      <c r="U773" s="44"/>
      <c r="V773" s="44"/>
      <c r="W773" s="44"/>
      <c r="X773" s="44"/>
      <c r="Y773" s="44"/>
      <c r="Z773" s="44"/>
    </row>
    <row r="774" spans="1:26" ht="15.75" customHeight="1">
      <c r="A774" s="44"/>
      <c r="B774" s="44"/>
      <c r="C774" s="44"/>
      <c r="D774" s="44"/>
      <c r="E774" s="44"/>
      <c r="F774" s="44"/>
      <c r="G774" s="44"/>
      <c r="H774" s="44"/>
      <c r="I774" s="190"/>
      <c r="J774" s="48"/>
      <c r="K774" s="48"/>
      <c r="L774" s="44"/>
      <c r="M774" s="44"/>
      <c r="N774" s="44"/>
      <c r="O774" s="44"/>
      <c r="P774" s="44"/>
      <c r="Q774" s="44"/>
      <c r="R774" s="44"/>
      <c r="S774" s="44"/>
      <c r="T774" s="44"/>
      <c r="U774" s="44"/>
      <c r="V774" s="44"/>
      <c r="W774" s="44"/>
      <c r="X774" s="44"/>
      <c r="Y774" s="44"/>
      <c r="Z774" s="44"/>
    </row>
    <row r="775" spans="1:26" ht="15.75" customHeight="1">
      <c r="A775" s="44"/>
      <c r="B775" s="44"/>
      <c r="C775" s="44"/>
      <c r="D775" s="44"/>
      <c r="E775" s="44"/>
      <c r="F775" s="44"/>
      <c r="G775" s="44"/>
      <c r="H775" s="44"/>
      <c r="I775" s="190"/>
      <c r="J775" s="48"/>
      <c r="K775" s="48"/>
      <c r="L775" s="44"/>
      <c r="M775" s="44"/>
      <c r="N775" s="44"/>
      <c r="O775" s="44"/>
      <c r="P775" s="44"/>
      <c r="Q775" s="44"/>
      <c r="R775" s="44"/>
      <c r="S775" s="44"/>
      <c r="T775" s="44"/>
      <c r="U775" s="44"/>
      <c r="V775" s="44"/>
      <c r="W775" s="44"/>
      <c r="X775" s="44"/>
      <c r="Y775" s="44"/>
      <c r="Z775" s="44"/>
    </row>
    <row r="776" spans="1:26" ht="15.75" customHeight="1">
      <c r="A776" s="44"/>
      <c r="B776" s="44"/>
      <c r="C776" s="44"/>
      <c r="D776" s="44"/>
      <c r="E776" s="44"/>
      <c r="F776" s="44"/>
      <c r="G776" s="44"/>
      <c r="H776" s="44"/>
      <c r="I776" s="190"/>
      <c r="J776" s="48"/>
      <c r="K776" s="48"/>
      <c r="L776" s="44"/>
      <c r="M776" s="44"/>
      <c r="N776" s="44"/>
      <c r="O776" s="44"/>
      <c r="P776" s="44"/>
      <c r="Q776" s="44"/>
      <c r="R776" s="44"/>
      <c r="S776" s="44"/>
      <c r="T776" s="44"/>
      <c r="U776" s="44"/>
      <c r="V776" s="44"/>
      <c r="W776" s="44"/>
      <c r="X776" s="44"/>
      <c r="Y776" s="44"/>
      <c r="Z776" s="44"/>
    </row>
    <row r="777" spans="1:26" ht="15.75" customHeight="1">
      <c r="A777" s="44"/>
      <c r="B777" s="44"/>
      <c r="C777" s="44"/>
      <c r="D777" s="44"/>
      <c r="E777" s="44"/>
      <c r="F777" s="44"/>
      <c r="G777" s="44"/>
      <c r="H777" s="44"/>
      <c r="I777" s="190"/>
      <c r="J777" s="48"/>
      <c r="K777" s="48"/>
      <c r="L777" s="44"/>
      <c r="M777" s="44"/>
      <c r="N777" s="44"/>
      <c r="O777" s="44"/>
      <c r="P777" s="44"/>
      <c r="Q777" s="44"/>
      <c r="R777" s="44"/>
      <c r="S777" s="44"/>
      <c r="T777" s="44"/>
      <c r="U777" s="44"/>
      <c r="V777" s="44"/>
      <c r="W777" s="44"/>
      <c r="X777" s="44"/>
      <c r="Y777" s="44"/>
      <c r="Z777" s="44"/>
    </row>
    <row r="778" spans="1:26" ht="15.75" customHeight="1">
      <c r="A778" s="44"/>
      <c r="B778" s="44"/>
      <c r="C778" s="44"/>
      <c r="D778" s="44"/>
      <c r="E778" s="44"/>
      <c r="F778" s="44"/>
      <c r="G778" s="44"/>
      <c r="H778" s="44"/>
      <c r="I778" s="190"/>
      <c r="J778" s="48"/>
      <c r="K778" s="48"/>
      <c r="L778" s="44"/>
      <c r="M778" s="44"/>
      <c r="N778" s="44"/>
      <c r="O778" s="44"/>
      <c r="P778" s="44"/>
      <c r="Q778" s="44"/>
      <c r="R778" s="44"/>
      <c r="S778" s="44"/>
      <c r="T778" s="44"/>
      <c r="U778" s="44"/>
      <c r="V778" s="44"/>
      <c r="W778" s="44"/>
      <c r="X778" s="44"/>
      <c r="Y778" s="44"/>
      <c r="Z778" s="44"/>
    </row>
    <row r="779" spans="1:26" ht="15.75" customHeight="1">
      <c r="A779" s="44"/>
      <c r="B779" s="44"/>
      <c r="C779" s="44"/>
      <c r="D779" s="44"/>
      <c r="E779" s="44"/>
      <c r="F779" s="44"/>
      <c r="G779" s="44"/>
      <c r="H779" s="44"/>
      <c r="I779" s="190"/>
      <c r="J779" s="48"/>
      <c r="K779" s="48"/>
      <c r="L779" s="44"/>
      <c r="M779" s="44"/>
      <c r="N779" s="44"/>
      <c r="O779" s="44"/>
      <c r="P779" s="44"/>
      <c r="Q779" s="44"/>
      <c r="R779" s="44"/>
      <c r="S779" s="44"/>
      <c r="T779" s="44"/>
      <c r="U779" s="44"/>
      <c r="V779" s="44"/>
      <c r="W779" s="44"/>
      <c r="X779" s="44"/>
      <c r="Y779" s="44"/>
      <c r="Z779" s="44"/>
    </row>
    <row r="780" spans="1:26" ht="15.75" customHeight="1">
      <c r="A780" s="44"/>
      <c r="B780" s="44"/>
      <c r="C780" s="44"/>
      <c r="D780" s="44"/>
      <c r="E780" s="44"/>
      <c r="F780" s="44"/>
      <c r="G780" s="44"/>
      <c r="H780" s="44"/>
      <c r="I780" s="190"/>
      <c r="J780" s="48"/>
      <c r="K780" s="48"/>
      <c r="L780" s="44"/>
      <c r="M780" s="44"/>
      <c r="N780" s="44"/>
      <c r="O780" s="44"/>
      <c r="P780" s="44"/>
      <c r="Q780" s="44"/>
      <c r="R780" s="44"/>
      <c r="S780" s="44"/>
      <c r="T780" s="44"/>
      <c r="U780" s="44"/>
      <c r="V780" s="44"/>
      <c r="W780" s="44"/>
      <c r="X780" s="44"/>
      <c r="Y780" s="44"/>
      <c r="Z780" s="44"/>
    </row>
    <row r="781" spans="1:26" ht="15.75" customHeight="1">
      <c r="A781" s="44"/>
      <c r="B781" s="44"/>
      <c r="C781" s="44"/>
      <c r="D781" s="44"/>
      <c r="E781" s="44"/>
      <c r="F781" s="44"/>
      <c r="G781" s="44"/>
      <c r="H781" s="44"/>
      <c r="I781" s="190"/>
      <c r="J781" s="48"/>
      <c r="K781" s="48"/>
      <c r="L781" s="44"/>
      <c r="M781" s="44"/>
      <c r="N781" s="44"/>
      <c r="O781" s="44"/>
      <c r="P781" s="44"/>
      <c r="Q781" s="44"/>
      <c r="R781" s="44"/>
      <c r="S781" s="44"/>
      <c r="T781" s="44"/>
      <c r="U781" s="44"/>
      <c r="V781" s="44"/>
      <c r="W781" s="44"/>
      <c r="X781" s="44"/>
      <c r="Y781" s="44"/>
      <c r="Z781" s="44"/>
    </row>
    <row r="782" spans="1:26" ht="15.75" customHeight="1">
      <c r="A782" s="44"/>
      <c r="B782" s="44"/>
      <c r="C782" s="44"/>
      <c r="D782" s="44"/>
      <c r="E782" s="44"/>
      <c r="F782" s="44"/>
      <c r="G782" s="44"/>
      <c r="H782" s="44"/>
      <c r="I782" s="190"/>
      <c r="J782" s="48"/>
      <c r="K782" s="48"/>
      <c r="L782" s="44"/>
      <c r="M782" s="44"/>
      <c r="N782" s="44"/>
      <c r="O782" s="44"/>
      <c r="P782" s="44"/>
      <c r="Q782" s="44"/>
      <c r="R782" s="44"/>
      <c r="S782" s="44"/>
      <c r="T782" s="44"/>
      <c r="U782" s="44"/>
      <c r="V782" s="44"/>
      <c r="W782" s="44"/>
      <c r="X782" s="44"/>
      <c r="Y782" s="44"/>
      <c r="Z782" s="44"/>
    </row>
    <row r="783" spans="1:26" ht="15.75" customHeight="1">
      <c r="A783" s="44"/>
      <c r="B783" s="44"/>
      <c r="C783" s="44"/>
      <c r="D783" s="44"/>
      <c r="E783" s="44"/>
      <c r="F783" s="44"/>
      <c r="G783" s="44"/>
      <c r="H783" s="44"/>
      <c r="I783" s="190"/>
      <c r="J783" s="48"/>
      <c r="K783" s="48"/>
      <c r="L783" s="44"/>
      <c r="M783" s="44"/>
      <c r="N783" s="44"/>
      <c r="O783" s="44"/>
      <c r="P783" s="44"/>
      <c r="Q783" s="44"/>
      <c r="R783" s="44"/>
      <c r="S783" s="44"/>
      <c r="T783" s="44"/>
      <c r="U783" s="44"/>
      <c r="V783" s="44"/>
      <c r="W783" s="44"/>
      <c r="X783" s="44"/>
      <c r="Y783" s="44"/>
      <c r="Z783" s="44"/>
    </row>
    <row r="784" spans="1:26" ht="15.75" customHeight="1">
      <c r="A784" s="44"/>
      <c r="B784" s="44"/>
      <c r="C784" s="44"/>
      <c r="D784" s="44"/>
      <c r="E784" s="44"/>
      <c r="F784" s="44"/>
      <c r="G784" s="44"/>
      <c r="H784" s="44"/>
      <c r="I784" s="190"/>
      <c r="J784" s="48"/>
      <c r="K784" s="48"/>
      <c r="L784" s="44"/>
      <c r="M784" s="44"/>
      <c r="N784" s="44"/>
      <c r="O784" s="44"/>
      <c r="P784" s="44"/>
      <c r="Q784" s="44"/>
      <c r="R784" s="44"/>
      <c r="S784" s="44"/>
      <c r="T784" s="44"/>
      <c r="U784" s="44"/>
      <c r="V784" s="44"/>
      <c r="W784" s="44"/>
      <c r="X784" s="44"/>
      <c r="Y784" s="44"/>
      <c r="Z784" s="44"/>
    </row>
    <row r="785" spans="1:26" ht="15.75" customHeight="1">
      <c r="A785" s="44"/>
      <c r="B785" s="44"/>
      <c r="C785" s="44"/>
      <c r="D785" s="44"/>
      <c r="E785" s="44"/>
      <c r="F785" s="44"/>
      <c r="G785" s="44"/>
      <c r="H785" s="44"/>
      <c r="I785" s="190"/>
      <c r="J785" s="48"/>
      <c r="K785" s="48"/>
      <c r="L785" s="44"/>
      <c r="M785" s="44"/>
      <c r="N785" s="44"/>
      <c r="O785" s="44"/>
      <c r="P785" s="44"/>
      <c r="Q785" s="44"/>
      <c r="R785" s="44"/>
      <c r="S785" s="44"/>
      <c r="T785" s="44"/>
      <c r="U785" s="44"/>
      <c r="V785" s="44"/>
      <c r="W785" s="44"/>
      <c r="X785" s="44"/>
      <c r="Y785" s="44"/>
      <c r="Z785" s="44"/>
    </row>
    <row r="786" spans="1:26" ht="15.75" customHeight="1">
      <c r="A786" s="44"/>
      <c r="B786" s="44"/>
      <c r="C786" s="44"/>
      <c r="D786" s="44"/>
      <c r="E786" s="44"/>
      <c r="F786" s="44"/>
      <c r="G786" s="44"/>
      <c r="H786" s="44"/>
      <c r="I786" s="190"/>
      <c r="J786" s="48"/>
      <c r="K786" s="48"/>
      <c r="L786" s="44"/>
      <c r="M786" s="44"/>
      <c r="N786" s="44"/>
      <c r="O786" s="44"/>
      <c r="P786" s="44"/>
      <c r="Q786" s="44"/>
      <c r="R786" s="44"/>
      <c r="S786" s="44"/>
      <c r="T786" s="44"/>
      <c r="U786" s="44"/>
      <c r="V786" s="44"/>
      <c r="W786" s="44"/>
      <c r="X786" s="44"/>
      <c r="Y786" s="44"/>
      <c r="Z786" s="44"/>
    </row>
    <row r="787" spans="1:26" ht="15.75" customHeight="1">
      <c r="A787" s="44"/>
      <c r="B787" s="44"/>
      <c r="C787" s="44"/>
      <c r="D787" s="44"/>
      <c r="E787" s="44"/>
      <c r="F787" s="44"/>
      <c r="G787" s="44"/>
      <c r="H787" s="44"/>
      <c r="I787" s="190"/>
      <c r="J787" s="48"/>
      <c r="K787" s="48"/>
      <c r="L787" s="44"/>
      <c r="M787" s="44"/>
      <c r="N787" s="44"/>
      <c r="O787" s="44"/>
      <c r="P787" s="44"/>
      <c r="Q787" s="44"/>
      <c r="R787" s="44"/>
      <c r="S787" s="44"/>
      <c r="T787" s="44"/>
      <c r="U787" s="44"/>
      <c r="V787" s="44"/>
      <c r="W787" s="44"/>
      <c r="X787" s="44"/>
      <c r="Y787" s="44"/>
      <c r="Z787" s="44"/>
    </row>
    <row r="788" spans="1:26" ht="15.75" customHeight="1">
      <c r="A788" s="44"/>
      <c r="B788" s="44"/>
      <c r="C788" s="44"/>
      <c r="D788" s="44"/>
      <c r="E788" s="44"/>
      <c r="F788" s="44"/>
      <c r="G788" s="44"/>
      <c r="H788" s="44"/>
      <c r="I788" s="190"/>
      <c r="J788" s="48"/>
      <c r="K788" s="48"/>
      <c r="L788" s="44"/>
      <c r="M788" s="44"/>
      <c r="N788" s="44"/>
      <c r="O788" s="44"/>
      <c r="P788" s="44"/>
      <c r="Q788" s="44"/>
      <c r="R788" s="44"/>
      <c r="S788" s="44"/>
      <c r="T788" s="44"/>
      <c r="U788" s="44"/>
      <c r="V788" s="44"/>
      <c r="W788" s="44"/>
      <c r="X788" s="44"/>
      <c r="Y788" s="44"/>
      <c r="Z788" s="44"/>
    </row>
    <row r="789" spans="1:26" ht="15.75" customHeight="1">
      <c r="A789" s="44"/>
      <c r="B789" s="44"/>
      <c r="C789" s="44"/>
      <c r="D789" s="44"/>
      <c r="E789" s="44"/>
      <c r="F789" s="44"/>
      <c r="G789" s="44"/>
      <c r="H789" s="44"/>
      <c r="I789" s="190"/>
      <c r="J789" s="48"/>
      <c r="K789" s="48"/>
      <c r="L789" s="44"/>
      <c r="M789" s="44"/>
      <c r="N789" s="44"/>
      <c r="O789" s="44"/>
      <c r="P789" s="44"/>
      <c r="Q789" s="44"/>
      <c r="R789" s="44"/>
      <c r="S789" s="44"/>
      <c r="T789" s="44"/>
      <c r="U789" s="44"/>
      <c r="V789" s="44"/>
      <c r="W789" s="44"/>
      <c r="X789" s="44"/>
      <c r="Y789" s="44"/>
      <c r="Z789" s="44"/>
    </row>
    <row r="790" spans="1:26" ht="15.75" customHeight="1">
      <c r="A790" s="44"/>
      <c r="B790" s="44"/>
      <c r="C790" s="44"/>
      <c r="D790" s="44"/>
      <c r="E790" s="44"/>
      <c r="F790" s="44"/>
      <c r="G790" s="44"/>
      <c r="H790" s="44"/>
      <c r="I790" s="190"/>
      <c r="J790" s="48"/>
      <c r="K790" s="48"/>
      <c r="L790" s="44"/>
      <c r="M790" s="44"/>
      <c r="N790" s="44"/>
      <c r="O790" s="44"/>
      <c r="P790" s="44"/>
      <c r="Q790" s="44"/>
      <c r="R790" s="44"/>
      <c r="S790" s="44"/>
      <c r="T790" s="44"/>
      <c r="U790" s="44"/>
      <c r="V790" s="44"/>
      <c r="W790" s="44"/>
      <c r="X790" s="44"/>
      <c r="Y790" s="44"/>
      <c r="Z790" s="44"/>
    </row>
    <row r="791" spans="1:26" ht="15.75" customHeight="1">
      <c r="A791" s="44"/>
      <c r="B791" s="44"/>
      <c r="C791" s="44"/>
      <c r="D791" s="44"/>
      <c r="E791" s="44"/>
      <c r="F791" s="44"/>
      <c r="G791" s="44"/>
      <c r="H791" s="44"/>
      <c r="I791" s="190"/>
      <c r="J791" s="48"/>
      <c r="K791" s="48"/>
      <c r="L791" s="44"/>
      <c r="M791" s="44"/>
      <c r="N791" s="44"/>
      <c r="O791" s="44"/>
      <c r="P791" s="44"/>
      <c r="Q791" s="44"/>
      <c r="R791" s="44"/>
      <c r="S791" s="44"/>
      <c r="T791" s="44"/>
      <c r="U791" s="44"/>
      <c r="V791" s="44"/>
      <c r="W791" s="44"/>
      <c r="X791" s="44"/>
      <c r="Y791" s="44"/>
      <c r="Z791" s="44"/>
    </row>
    <row r="792" spans="1:26" ht="15.75" customHeight="1">
      <c r="A792" s="44"/>
      <c r="B792" s="44"/>
      <c r="C792" s="44"/>
      <c r="D792" s="44"/>
      <c r="E792" s="44"/>
      <c r="F792" s="44"/>
      <c r="G792" s="44"/>
      <c r="H792" s="44"/>
      <c r="I792" s="190"/>
      <c r="J792" s="48"/>
      <c r="K792" s="48"/>
      <c r="L792" s="44"/>
      <c r="M792" s="44"/>
      <c r="N792" s="44"/>
      <c r="O792" s="44"/>
      <c r="P792" s="44"/>
      <c r="Q792" s="44"/>
      <c r="R792" s="44"/>
      <c r="S792" s="44"/>
      <c r="T792" s="44"/>
      <c r="U792" s="44"/>
      <c r="V792" s="44"/>
      <c r="W792" s="44"/>
      <c r="X792" s="44"/>
      <c r="Y792" s="44"/>
      <c r="Z792" s="44"/>
    </row>
    <row r="793" spans="1:26" ht="15.75" customHeight="1">
      <c r="A793" s="44"/>
      <c r="B793" s="44"/>
      <c r="C793" s="44"/>
      <c r="D793" s="44"/>
      <c r="E793" s="44"/>
      <c r="F793" s="44"/>
      <c r="G793" s="44"/>
      <c r="H793" s="44"/>
      <c r="I793" s="190"/>
      <c r="J793" s="48"/>
      <c r="K793" s="48"/>
      <c r="L793" s="44"/>
      <c r="M793" s="44"/>
      <c r="N793" s="44"/>
      <c r="O793" s="44"/>
      <c r="P793" s="44"/>
      <c r="Q793" s="44"/>
      <c r="R793" s="44"/>
      <c r="S793" s="44"/>
      <c r="T793" s="44"/>
      <c r="U793" s="44"/>
      <c r="V793" s="44"/>
      <c r="W793" s="44"/>
      <c r="X793" s="44"/>
      <c r="Y793" s="44"/>
      <c r="Z793" s="44"/>
    </row>
    <row r="794" spans="1:26" ht="15.75" customHeight="1">
      <c r="A794" s="44"/>
      <c r="B794" s="44"/>
      <c r="C794" s="44"/>
      <c r="D794" s="44"/>
      <c r="E794" s="44"/>
      <c r="F794" s="44"/>
      <c r="G794" s="44"/>
      <c r="H794" s="44"/>
      <c r="I794" s="190"/>
      <c r="J794" s="48"/>
      <c r="K794" s="48"/>
      <c r="L794" s="44"/>
      <c r="M794" s="44"/>
      <c r="N794" s="44"/>
      <c r="O794" s="44"/>
      <c r="P794" s="44"/>
      <c r="Q794" s="44"/>
      <c r="R794" s="44"/>
      <c r="S794" s="44"/>
      <c r="T794" s="44"/>
      <c r="U794" s="44"/>
      <c r="V794" s="44"/>
      <c r="W794" s="44"/>
      <c r="X794" s="44"/>
      <c r="Y794" s="44"/>
      <c r="Z794" s="44"/>
    </row>
    <row r="795" spans="1:26" ht="15.75" customHeight="1">
      <c r="A795" s="44"/>
      <c r="B795" s="44"/>
      <c r="C795" s="44"/>
      <c r="D795" s="44"/>
      <c r="E795" s="44"/>
      <c r="F795" s="44"/>
      <c r="G795" s="44"/>
      <c r="H795" s="44"/>
      <c r="I795" s="190"/>
      <c r="J795" s="48"/>
      <c r="K795" s="48"/>
      <c r="L795" s="44"/>
      <c r="M795" s="44"/>
      <c r="N795" s="44"/>
      <c r="O795" s="44"/>
      <c r="P795" s="44"/>
      <c r="Q795" s="44"/>
      <c r="R795" s="44"/>
      <c r="S795" s="44"/>
      <c r="T795" s="44"/>
      <c r="U795" s="44"/>
      <c r="V795" s="44"/>
      <c r="W795" s="44"/>
      <c r="X795" s="44"/>
      <c r="Y795" s="44"/>
      <c r="Z795" s="44"/>
    </row>
    <row r="796" spans="1:26" ht="15.75" customHeight="1">
      <c r="A796" s="44"/>
      <c r="B796" s="44"/>
      <c r="C796" s="44"/>
      <c r="D796" s="44"/>
      <c r="E796" s="44"/>
      <c r="F796" s="44"/>
      <c r="G796" s="44"/>
      <c r="H796" s="44"/>
      <c r="I796" s="190"/>
      <c r="J796" s="48"/>
      <c r="K796" s="48"/>
      <c r="L796" s="44"/>
      <c r="M796" s="44"/>
      <c r="N796" s="44"/>
      <c r="O796" s="44"/>
      <c r="P796" s="44"/>
      <c r="Q796" s="44"/>
      <c r="R796" s="44"/>
      <c r="S796" s="44"/>
      <c r="T796" s="44"/>
      <c r="U796" s="44"/>
      <c r="V796" s="44"/>
      <c r="W796" s="44"/>
      <c r="X796" s="44"/>
      <c r="Y796" s="44"/>
      <c r="Z796" s="44"/>
    </row>
    <row r="797" spans="1:26" ht="15.75" customHeight="1">
      <c r="A797" s="44"/>
      <c r="B797" s="44"/>
      <c r="C797" s="44"/>
      <c r="D797" s="44"/>
      <c r="E797" s="44"/>
      <c r="F797" s="44"/>
      <c r="G797" s="44"/>
      <c r="H797" s="44"/>
      <c r="I797" s="190"/>
      <c r="J797" s="48"/>
      <c r="K797" s="48"/>
      <c r="L797" s="44"/>
      <c r="M797" s="44"/>
      <c r="N797" s="44"/>
      <c r="O797" s="44"/>
      <c r="P797" s="44"/>
      <c r="Q797" s="44"/>
      <c r="R797" s="44"/>
      <c r="S797" s="44"/>
      <c r="T797" s="44"/>
      <c r="U797" s="44"/>
      <c r="V797" s="44"/>
      <c r="W797" s="44"/>
      <c r="X797" s="44"/>
      <c r="Y797" s="44"/>
      <c r="Z797" s="44"/>
    </row>
    <row r="798" spans="1:26" ht="15.75" customHeight="1">
      <c r="A798" s="44"/>
      <c r="B798" s="44"/>
      <c r="C798" s="44"/>
      <c r="D798" s="44"/>
      <c r="E798" s="44"/>
      <c r="F798" s="44"/>
      <c r="G798" s="44"/>
      <c r="H798" s="44"/>
      <c r="I798" s="190"/>
      <c r="J798" s="48"/>
      <c r="K798" s="48"/>
      <c r="L798" s="44"/>
      <c r="M798" s="44"/>
      <c r="N798" s="44"/>
      <c r="O798" s="44"/>
      <c r="P798" s="44"/>
      <c r="Q798" s="44"/>
      <c r="R798" s="44"/>
      <c r="S798" s="44"/>
      <c r="T798" s="44"/>
      <c r="U798" s="44"/>
      <c r="V798" s="44"/>
      <c r="W798" s="44"/>
      <c r="X798" s="44"/>
      <c r="Y798" s="44"/>
      <c r="Z798" s="44"/>
    </row>
    <row r="799" spans="1:26" ht="15.75" customHeight="1">
      <c r="A799" s="44"/>
      <c r="B799" s="44"/>
      <c r="C799" s="44"/>
      <c r="D799" s="44"/>
      <c r="E799" s="44"/>
      <c r="F799" s="44"/>
      <c r="G799" s="44"/>
      <c r="H799" s="44"/>
      <c r="I799" s="190"/>
      <c r="J799" s="48"/>
      <c r="K799" s="48"/>
      <c r="L799" s="44"/>
      <c r="M799" s="44"/>
      <c r="N799" s="44"/>
      <c r="O799" s="44"/>
      <c r="P799" s="44"/>
      <c r="Q799" s="44"/>
      <c r="R799" s="44"/>
      <c r="S799" s="44"/>
      <c r="T799" s="44"/>
      <c r="U799" s="44"/>
      <c r="V799" s="44"/>
      <c r="W799" s="44"/>
      <c r="X799" s="44"/>
      <c r="Y799" s="44"/>
      <c r="Z799" s="44"/>
    </row>
    <row r="800" spans="1:26" ht="15.75" customHeight="1">
      <c r="A800" s="44"/>
      <c r="B800" s="44"/>
      <c r="C800" s="44"/>
      <c r="D800" s="44"/>
      <c r="E800" s="44"/>
      <c r="F800" s="44"/>
      <c r="G800" s="44"/>
      <c r="H800" s="44"/>
      <c r="I800" s="190"/>
      <c r="J800" s="48"/>
      <c r="K800" s="48"/>
      <c r="L800" s="44"/>
      <c r="M800" s="44"/>
      <c r="N800" s="44"/>
      <c r="O800" s="44"/>
      <c r="P800" s="44"/>
      <c r="Q800" s="44"/>
      <c r="R800" s="44"/>
      <c r="S800" s="44"/>
      <c r="T800" s="44"/>
      <c r="U800" s="44"/>
      <c r="V800" s="44"/>
      <c r="W800" s="44"/>
      <c r="X800" s="44"/>
      <c r="Y800" s="44"/>
      <c r="Z800" s="44"/>
    </row>
    <row r="801" spans="1:26" ht="15.75" customHeight="1">
      <c r="A801" s="44"/>
      <c r="B801" s="44"/>
      <c r="C801" s="44"/>
      <c r="D801" s="44"/>
      <c r="E801" s="44"/>
      <c r="F801" s="44"/>
      <c r="G801" s="44"/>
      <c r="H801" s="44"/>
      <c r="I801" s="190"/>
      <c r="J801" s="48"/>
      <c r="K801" s="48"/>
      <c r="L801" s="44"/>
      <c r="M801" s="44"/>
      <c r="N801" s="44"/>
      <c r="O801" s="44"/>
      <c r="P801" s="44"/>
      <c r="Q801" s="44"/>
      <c r="R801" s="44"/>
      <c r="S801" s="44"/>
      <c r="T801" s="44"/>
      <c r="U801" s="44"/>
      <c r="V801" s="44"/>
      <c r="W801" s="44"/>
      <c r="X801" s="44"/>
      <c r="Y801" s="44"/>
      <c r="Z801" s="44"/>
    </row>
    <row r="802" spans="1:26" ht="15.75" customHeight="1">
      <c r="A802" s="44"/>
      <c r="B802" s="44"/>
      <c r="C802" s="44"/>
      <c r="D802" s="44"/>
      <c r="E802" s="44"/>
      <c r="F802" s="44"/>
      <c r="G802" s="44"/>
      <c r="H802" s="44"/>
      <c r="I802" s="190"/>
      <c r="J802" s="48"/>
      <c r="K802" s="48"/>
      <c r="L802" s="44"/>
      <c r="M802" s="44"/>
      <c r="N802" s="44"/>
      <c r="O802" s="44"/>
      <c r="P802" s="44"/>
      <c r="Q802" s="44"/>
      <c r="R802" s="44"/>
      <c r="S802" s="44"/>
      <c r="T802" s="44"/>
      <c r="U802" s="44"/>
      <c r="V802" s="44"/>
      <c r="W802" s="44"/>
      <c r="X802" s="44"/>
      <c r="Y802" s="44"/>
      <c r="Z802" s="44"/>
    </row>
    <row r="803" spans="1:26" ht="15.75" customHeight="1">
      <c r="A803" s="44"/>
      <c r="B803" s="44"/>
      <c r="C803" s="44"/>
      <c r="D803" s="44"/>
      <c r="E803" s="44"/>
      <c r="F803" s="44"/>
      <c r="G803" s="44"/>
      <c r="H803" s="44"/>
      <c r="I803" s="190"/>
      <c r="J803" s="48"/>
      <c r="K803" s="48"/>
      <c r="L803" s="44"/>
      <c r="M803" s="44"/>
      <c r="N803" s="44"/>
      <c r="O803" s="44"/>
      <c r="P803" s="44"/>
      <c r="Q803" s="44"/>
      <c r="R803" s="44"/>
      <c r="S803" s="44"/>
      <c r="T803" s="44"/>
      <c r="U803" s="44"/>
      <c r="V803" s="44"/>
      <c r="W803" s="44"/>
      <c r="X803" s="44"/>
      <c r="Y803" s="44"/>
      <c r="Z803" s="44"/>
    </row>
    <row r="804" spans="1:26" ht="15.75" customHeight="1">
      <c r="A804" s="44"/>
      <c r="B804" s="44"/>
      <c r="C804" s="44"/>
      <c r="D804" s="44"/>
      <c r="E804" s="44"/>
      <c r="F804" s="44"/>
      <c r="G804" s="44"/>
      <c r="H804" s="44"/>
      <c r="I804" s="190"/>
      <c r="J804" s="48"/>
      <c r="K804" s="48"/>
      <c r="L804" s="44"/>
      <c r="M804" s="44"/>
      <c r="N804" s="44"/>
      <c r="O804" s="44"/>
      <c r="P804" s="44"/>
      <c r="Q804" s="44"/>
      <c r="R804" s="44"/>
      <c r="S804" s="44"/>
      <c r="T804" s="44"/>
      <c r="U804" s="44"/>
      <c r="V804" s="44"/>
      <c r="W804" s="44"/>
      <c r="X804" s="44"/>
      <c r="Y804" s="44"/>
      <c r="Z804" s="44"/>
    </row>
    <row r="805" spans="1:26" ht="15.75" customHeight="1">
      <c r="A805" s="44"/>
      <c r="B805" s="44"/>
      <c r="C805" s="44"/>
      <c r="D805" s="44"/>
      <c r="E805" s="44"/>
      <c r="F805" s="44"/>
      <c r="G805" s="44"/>
      <c r="H805" s="44"/>
      <c r="I805" s="190"/>
      <c r="J805" s="48"/>
      <c r="K805" s="48"/>
      <c r="L805" s="44"/>
      <c r="M805" s="44"/>
      <c r="N805" s="44"/>
      <c r="O805" s="44"/>
      <c r="P805" s="44"/>
      <c r="Q805" s="44"/>
      <c r="R805" s="44"/>
      <c r="S805" s="44"/>
      <c r="T805" s="44"/>
      <c r="U805" s="44"/>
      <c r="V805" s="44"/>
      <c r="W805" s="44"/>
      <c r="X805" s="44"/>
      <c r="Y805" s="44"/>
      <c r="Z805" s="44"/>
    </row>
    <row r="806" spans="1:26" ht="15.75" customHeight="1">
      <c r="A806" s="44"/>
      <c r="B806" s="44"/>
      <c r="C806" s="44"/>
      <c r="D806" s="44"/>
      <c r="E806" s="44"/>
      <c r="F806" s="44"/>
      <c r="G806" s="44"/>
      <c r="H806" s="44"/>
      <c r="I806" s="190"/>
      <c r="J806" s="48"/>
      <c r="K806" s="48"/>
      <c r="L806" s="44"/>
      <c r="M806" s="44"/>
      <c r="N806" s="44"/>
      <c r="O806" s="44"/>
      <c r="P806" s="44"/>
      <c r="Q806" s="44"/>
      <c r="R806" s="44"/>
      <c r="S806" s="44"/>
      <c r="T806" s="44"/>
      <c r="U806" s="44"/>
      <c r="V806" s="44"/>
      <c r="W806" s="44"/>
      <c r="X806" s="44"/>
      <c r="Y806" s="44"/>
      <c r="Z806" s="44"/>
    </row>
    <row r="807" spans="1:26" ht="15.75" customHeight="1">
      <c r="A807" s="44"/>
      <c r="B807" s="44"/>
      <c r="C807" s="44"/>
      <c r="D807" s="44"/>
      <c r="E807" s="44"/>
      <c r="F807" s="44"/>
      <c r="G807" s="44"/>
      <c r="H807" s="44"/>
      <c r="I807" s="190"/>
      <c r="J807" s="48"/>
      <c r="K807" s="48"/>
      <c r="L807" s="44"/>
      <c r="M807" s="44"/>
      <c r="N807" s="44"/>
      <c r="O807" s="44"/>
      <c r="P807" s="44"/>
      <c r="Q807" s="44"/>
      <c r="R807" s="44"/>
      <c r="S807" s="44"/>
      <c r="T807" s="44"/>
      <c r="U807" s="44"/>
      <c r="V807" s="44"/>
      <c r="W807" s="44"/>
      <c r="X807" s="44"/>
      <c r="Y807" s="44"/>
      <c r="Z807" s="44"/>
    </row>
    <row r="808" spans="1:26" ht="15.75" customHeight="1">
      <c r="A808" s="44"/>
      <c r="B808" s="44"/>
      <c r="C808" s="44"/>
      <c r="D808" s="44"/>
      <c r="E808" s="44"/>
      <c r="F808" s="44"/>
      <c r="G808" s="44"/>
      <c r="H808" s="44"/>
      <c r="I808" s="190"/>
      <c r="J808" s="48"/>
      <c r="K808" s="48"/>
      <c r="L808" s="44"/>
      <c r="M808" s="44"/>
      <c r="N808" s="44"/>
      <c r="O808" s="44"/>
      <c r="P808" s="44"/>
      <c r="Q808" s="44"/>
      <c r="R808" s="44"/>
      <c r="S808" s="44"/>
      <c r="T808" s="44"/>
      <c r="U808" s="44"/>
      <c r="V808" s="44"/>
      <c r="W808" s="44"/>
      <c r="X808" s="44"/>
      <c r="Y808" s="44"/>
      <c r="Z808" s="44"/>
    </row>
    <row r="809" spans="1:26" ht="15.75" customHeight="1">
      <c r="A809" s="44"/>
      <c r="B809" s="44"/>
      <c r="C809" s="44"/>
      <c r="D809" s="44"/>
      <c r="E809" s="44"/>
      <c r="F809" s="44"/>
      <c r="G809" s="44"/>
      <c r="H809" s="44"/>
      <c r="I809" s="190"/>
      <c r="J809" s="48"/>
      <c r="K809" s="48"/>
      <c r="L809" s="44"/>
      <c r="M809" s="44"/>
      <c r="N809" s="44"/>
      <c r="O809" s="44"/>
      <c r="P809" s="44"/>
      <c r="Q809" s="44"/>
      <c r="R809" s="44"/>
      <c r="S809" s="44"/>
      <c r="T809" s="44"/>
      <c r="U809" s="44"/>
      <c r="V809" s="44"/>
      <c r="W809" s="44"/>
      <c r="X809" s="44"/>
      <c r="Y809" s="44"/>
      <c r="Z809" s="44"/>
    </row>
    <row r="810" spans="1:26" ht="15.75" customHeight="1">
      <c r="A810" s="44"/>
      <c r="B810" s="44"/>
      <c r="C810" s="44"/>
      <c r="D810" s="44"/>
      <c r="E810" s="44"/>
      <c r="F810" s="44"/>
      <c r="G810" s="44"/>
      <c r="H810" s="44"/>
      <c r="I810" s="190"/>
      <c r="J810" s="48"/>
      <c r="K810" s="48"/>
      <c r="L810" s="44"/>
      <c r="M810" s="44"/>
      <c r="N810" s="44"/>
      <c r="O810" s="44"/>
      <c r="P810" s="44"/>
      <c r="Q810" s="44"/>
      <c r="R810" s="44"/>
      <c r="S810" s="44"/>
      <c r="T810" s="44"/>
      <c r="U810" s="44"/>
      <c r="V810" s="44"/>
      <c r="W810" s="44"/>
      <c r="X810" s="44"/>
      <c r="Y810" s="44"/>
      <c r="Z810" s="44"/>
    </row>
    <row r="811" spans="1:26" ht="15.75" customHeight="1">
      <c r="A811" s="44"/>
      <c r="B811" s="44"/>
      <c r="C811" s="44"/>
      <c r="D811" s="44"/>
      <c r="E811" s="44"/>
      <c r="F811" s="44"/>
      <c r="G811" s="44"/>
      <c r="H811" s="44"/>
      <c r="I811" s="190"/>
      <c r="J811" s="48"/>
      <c r="K811" s="48"/>
      <c r="L811" s="44"/>
      <c r="M811" s="44"/>
      <c r="N811" s="44"/>
      <c r="O811" s="44"/>
      <c r="P811" s="44"/>
      <c r="Q811" s="44"/>
      <c r="R811" s="44"/>
      <c r="S811" s="44"/>
      <c r="T811" s="44"/>
      <c r="U811" s="44"/>
      <c r="V811" s="44"/>
      <c r="W811" s="44"/>
      <c r="X811" s="44"/>
      <c r="Y811" s="44"/>
      <c r="Z811" s="44"/>
    </row>
    <row r="812" spans="1:26" ht="15.75" customHeight="1">
      <c r="A812" s="44"/>
      <c r="B812" s="44"/>
      <c r="C812" s="44"/>
      <c r="D812" s="44"/>
      <c r="E812" s="44"/>
      <c r="F812" s="44"/>
      <c r="G812" s="44"/>
      <c r="H812" s="44"/>
      <c r="I812" s="190"/>
      <c r="J812" s="48"/>
      <c r="K812" s="48"/>
      <c r="L812" s="44"/>
      <c r="M812" s="44"/>
      <c r="N812" s="44"/>
      <c r="O812" s="44"/>
      <c r="P812" s="44"/>
      <c r="Q812" s="44"/>
      <c r="R812" s="44"/>
      <c r="S812" s="44"/>
      <c r="T812" s="44"/>
      <c r="U812" s="44"/>
      <c r="V812" s="44"/>
      <c r="W812" s="44"/>
      <c r="X812" s="44"/>
      <c r="Y812" s="44"/>
      <c r="Z812" s="44"/>
    </row>
    <row r="813" spans="1:26" ht="15.75" customHeight="1">
      <c r="A813" s="44"/>
      <c r="B813" s="44"/>
      <c r="C813" s="44"/>
      <c r="D813" s="44"/>
      <c r="E813" s="44"/>
      <c r="F813" s="44"/>
      <c r="G813" s="44"/>
      <c r="H813" s="44"/>
      <c r="I813" s="190"/>
      <c r="J813" s="48"/>
      <c r="K813" s="48"/>
      <c r="L813" s="44"/>
      <c r="M813" s="44"/>
      <c r="N813" s="44"/>
      <c r="O813" s="44"/>
      <c r="P813" s="44"/>
      <c r="Q813" s="44"/>
      <c r="R813" s="44"/>
      <c r="S813" s="44"/>
      <c r="T813" s="44"/>
      <c r="U813" s="44"/>
      <c r="V813" s="44"/>
      <c r="W813" s="44"/>
      <c r="X813" s="44"/>
      <c r="Y813" s="44"/>
      <c r="Z813" s="44"/>
    </row>
    <row r="814" spans="1:26" ht="15.75" customHeight="1">
      <c r="A814" s="44"/>
      <c r="B814" s="44"/>
      <c r="C814" s="44"/>
      <c r="D814" s="44"/>
      <c r="E814" s="44"/>
      <c r="F814" s="44"/>
      <c r="G814" s="44"/>
      <c r="H814" s="44"/>
      <c r="I814" s="190"/>
      <c r="J814" s="48"/>
      <c r="K814" s="48"/>
      <c r="L814" s="44"/>
      <c r="M814" s="44"/>
      <c r="N814" s="44"/>
      <c r="O814" s="44"/>
      <c r="P814" s="44"/>
      <c r="Q814" s="44"/>
      <c r="R814" s="44"/>
      <c r="S814" s="44"/>
      <c r="T814" s="44"/>
      <c r="U814" s="44"/>
      <c r="V814" s="44"/>
      <c r="W814" s="44"/>
      <c r="X814" s="44"/>
      <c r="Y814" s="44"/>
      <c r="Z814" s="44"/>
    </row>
    <row r="815" spans="1:26" ht="15.75" customHeight="1">
      <c r="A815" s="44"/>
      <c r="B815" s="44"/>
      <c r="C815" s="44"/>
      <c r="D815" s="44"/>
      <c r="E815" s="44"/>
      <c r="F815" s="44"/>
      <c r="G815" s="44"/>
      <c r="H815" s="44"/>
      <c r="I815" s="190"/>
      <c r="J815" s="48"/>
      <c r="K815" s="48"/>
      <c r="L815" s="44"/>
      <c r="M815" s="44"/>
      <c r="N815" s="44"/>
      <c r="O815" s="44"/>
      <c r="P815" s="44"/>
      <c r="Q815" s="44"/>
      <c r="R815" s="44"/>
      <c r="S815" s="44"/>
      <c r="T815" s="44"/>
      <c r="U815" s="44"/>
      <c r="V815" s="44"/>
      <c r="W815" s="44"/>
      <c r="X815" s="44"/>
      <c r="Y815" s="44"/>
      <c r="Z815" s="44"/>
    </row>
    <row r="816" spans="1:26" ht="15.75" customHeight="1">
      <c r="A816" s="44"/>
      <c r="B816" s="44"/>
      <c r="C816" s="44"/>
      <c r="D816" s="44"/>
      <c r="E816" s="44"/>
      <c r="F816" s="44"/>
      <c r="G816" s="44"/>
      <c r="H816" s="44"/>
      <c r="I816" s="190"/>
      <c r="J816" s="48"/>
      <c r="K816" s="48"/>
      <c r="L816" s="44"/>
      <c r="M816" s="44"/>
      <c r="N816" s="44"/>
      <c r="O816" s="44"/>
      <c r="P816" s="44"/>
      <c r="Q816" s="44"/>
      <c r="R816" s="44"/>
      <c r="S816" s="44"/>
      <c r="T816" s="44"/>
      <c r="U816" s="44"/>
      <c r="V816" s="44"/>
      <c r="W816" s="44"/>
      <c r="X816" s="44"/>
      <c r="Y816" s="44"/>
      <c r="Z816" s="44"/>
    </row>
    <row r="817" spans="1:26" ht="15.75" customHeight="1">
      <c r="A817" s="44"/>
      <c r="B817" s="44"/>
      <c r="C817" s="44"/>
      <c r="D817" s="44"/>
      <c r="E817" s="44"/>
      <c r="F817" s="44"/>
      <c r="G817" s="44"/>
      <c r="H817" s="44"/>
      <c r="I817" s="190"/>
      <c r="J817" s="48"/>
      <c r="K817" s="48"/>
      <c r="L817" s="44"/>
      <c r="M817" s="44"/>
      <c r="N817" s="44"/>
      <c r="O817" s="44"/>
      <c r="P817" s="44"/>
      <c r="Q817" s="44"/>
      <c r="R817" s="44"/>
      <c r="S817" s="44"/>
      <c r="T817" s="44"/>
      <c r="U817" s="44"/>
      <c r="V817" s="44"/>
      <c r="W817" s="44"/>
      <c r="X817" s="44"/>
      <c r="Y817" s="44"/>
      <c r="Z817" s="44"/>
    </row>
    <row r="818" spans="1:26" ht="15.75" customHeight="1">
      <c r="A818" s="44"/>
      <c r="B818" s="44"/>
      <c r="C818" s="44"/>
      <c r="D818" s="44"/>
      <c r="E818" s="44"/>
      <c r="F818" s="44"/>
      <c r="G818" s="44"/>
      <c r="H818" s="44"/>
      <c r="I818" s="190"/>
      <c r="J818" s="48"/>
      <c r="K818" s="48"/>
      <c r="L818" s="44"/>
      <c r="M818" s="44"/>
      <c r="N818" s="44"/>
      <c r="O818" s="44"/>
      <c r="P818" s="44"/>
      <c r="Q818" s="44"/>
      <c r="R818" s="44"/>
      <c r="S818" s="44"/>
      <c r="T818" s="44"/>
      <c r="U818" s="44"/>
      <c r="V818" s="44"/>
      <c r="W818" s="44"/>
      <c r="X818" s="44"/>
      <c r="Y818" s="44"/>
      <c r="Z818" s="44"/>
    </row>
    <row r="819" spans="1:26" ht="15.75" customHeight="1">
      <c r="A819" s="44"/>
      <c r="B819" s="44"/>
      <c r="C819" s="44"/>
      <c r="D819" s="44"/>
      <c r="E819" s="44"/>
      <c r="F819" s="44"/>
      <c r="G819" s="44"/>
      <c r="H819" s="44"/>
      <c r="I819" s="190"/>
      <c r="J819" s="48"/>
      <c r="K819" s="48"/>
      <c r="L819" s="44"/>
      <c r="M819" s="44"/>
      <c r="N819" s="44"/>
      <c r="O819" s="44"/>
      <c r="P819" s="44"/>
      <c r="Q819" s="44"/>
      <c r="R819" s="44"/>
      <c r="S819" s="44"/>
      <c r="T819" s="44"/>
      <c r="U819" s="44"/>
      <c r="V819" s="44"/>
      <c r="W819" s="44"/>
      <c r="X819" s="44"/>
      <c r="Y819" s="44"/>
      <c r="Z819" s="44"/>
    </row>
    <row r="820" spans="1:26" ht="15.75" customHeight="1">
      <c r="A820" s="44"/>
      <c r="B820" s="44"/>
      <c r="C820" s="44"/>
      <c r="D820" s="44"/>
      <c r="E820" s="44"/>
      <c r="F820" s="44"/>
      <c r="G820" s="44"/>
      <c r="H820" s="44"/>
      <c r="I820" s="190"/>
      <c r="J820" s="48"/>
      <c r="K820" s="48"/>
      <c r="L820" s="44"/>
      <c r="M820" s="44"/>
      <c r="N820" s="44"/>
      <c r="O820" s="44"/>
      <c r="P820" s="44"/>
      <c r="Q820" s="44"/>
      <c r="R820" s="44"/>
      <c r="S820" s="44"/>
      <c r="T820" s="44"/>
      <c r="U820" s="44"/>
      <c r="V820" s="44"/>
      <c r="W820" s="44"/>
      <c r="X820" s="44"/>
      <c r="Y820" s="44"/>
      <c r="Z820" s="44"/>
    </row>
    <row r="821" spans="1:26" ht="15.75" customHeight="1">
      <c r="A821" s="44"/>
      <c r="B821" s="44"/>
      <c r="C821" s="44"/>
      <c r="D821" s="44"/>
      <c r="E821" s="44"/>
      <c r="F821" s="44"/>
      <c r="G821" s="44"/>
      <c r="H821" s="44"/>
      <c r="I821" s="190"/>
      <c r="J821" s="48"/>
      <c r="K821" s="48"/>
      <c r="L821" s="44"/>
      <c r="M821" s="44"/>
      <c r="N821" s="44"/>
      <c r="O821" s="44"/>
      <c r="P821" s="44"/>
      <c r="Q821" s="44"/>
      <c r="R821" s="44"/>
      <c r="S821" s="44"/>
      <c r="T821" s="44"/>
      <c r="U821" s="44"/>
      <c r="V821" s="44"/>
      <c r="W821" s="44"/>
      <c r="X821" s="44"/>
      <c r="Y821" s="44"/>
      <c r="Z821" s="44"/>
    </row>
    <row r="822" spans="1:26" ht="15.75" customHeight="1">
      <c r="A822" s="44"/>
      <c r="B822" s="44"/>
      <c r="C822" s="44"/>
      <c r="D822" s="44"/>
      <c r="E822" s="44"/>
      <c r="F822" s="44"/>
      <c r="G822" s="44"/>
      <c r="H822" s="44"/>
      <c r="I822" s="190"/>
      <c r="J822" s="48"/>
      <c r="K822" s="48"/>
      <c r="L822" s="44"/>
      <c r="M822" s="44"/>
      <c r="N822" s="44"/>
      <c r="O822" s="44"/>
      <c r="P822" s="44"/>
      <c r="Q822" s="44"/>
      <c r="R822" s="44"/>
      <c r="S822" s="44"/>
      <c r="T822" s="44"/>
      <c r="U822" s="44"/>
      <c r="V822" s="44"/>
      <c r="W822" s="44"/>
      <c r="X822" s="44"/>
      <c r="Y822" s="44"/>
      <c r="Z822" s="44"/>
    </row>
    <row r="823" spans="1:26" ht="15.75" customHeight="1">
      <c r="A823" s="44"/>
      <c r="B823" s="44"/>
      <c r="C823" s="44"/>
      <c r="D823" s="44"/>
      <c r="E823" s="44"/>
      <c r="F823" s="44"/>
      <c r="G823" s="44"/>
      <c r="H823" s="44"/>
      <c r="I823" s="190"/>
      <c r="J823" s="48"/>
      <c r="K823" s="48"/>
      <c r="L823" s="44"/>
      <c r="M823" s="44"/>
      <c r="N823" s="44"/>
      <c r="O823" s="44"/>
      <c r="P823" s="44"/>
      <c r="Q823" s="44"/>
      <c r="R823" s="44"/>
      <c r="S823" s="44"/>
      <c r="T823" s="44"/>
      <c r="U823" s="44"/>
      <c r="V823" s="44"/>
      <c r="W823" s="44"/>
      <c r="X823" s="44"/>
      <c r="Y823" s="44"/>
      <c r="Z823" s="44"/>
    </row>
    <row r="824" spans="1:26" ht="15.75" customHeight="1">
      <c r="A824" s="44"/>
      <c r="B824" s="44"/>
      <c r="C824" s="44"/>
      <c r="D824" s="44"/>
      <c r="E824" s="44"/>
      <c r="F824" s="44"/>
      <c r="G824" s="44"/>
      <c r="H824" s="44"/>
      <c r="I824" s="190"/>
      <c r="J824" s="48"/>
      <c r="K824" s="48"/>
      <c r="L824" s="44"/>
      <c r="M824" s="44"/>
      <c r="N824" s="44"/>
      <c r="O824" s="44"/>
      <c r="P824" s="44"/>
      <c r="Q824" s="44"/>
      <c r="R824" s="44"/>
      <c r="S824" s="44"/>
      <c r="T824" s="44"/>
      <c r="U824" s="44"/>
      <c r="V824" s="44"/>
      <c r="W824" s="44"/>
      <c r="X824" s="44"/>
      <c r="Y824" s="44"/>
      <c r="Z824" s="44"/>
    </row>
    <row r="825" spans="1:26" ht="15.75" customHeight="1">
      <c r="A825" s="44"/>
      <c r="B825" s="44"/>
      <c r="C825" s="44"/>
      <c r="D825" s="44"/>
      <c r="E825" s="44"/>
      <c r="F825" s="44"/>
      <c r="G825" s="44"/>
      <c r="H825" s="44"/>
      <c r="I825" s="190"/>
      <c r="J825" s="48"/>
      <c r="K825" s="48"/>
      <c r="L825" s="44"/>
      <c r="M825" s="44"/>
      <c r="N825" s="44"/>
      <c r="O825" s="44"/>
      <c r="P825" s="44"/>
      <c r="Q825" s="44"/>
      <c r="R825" s="44"/>
      <c r="S825" s="44"/>
      <c r="T825" s="44"/>
      <c r="U825" s="44"/>
      <c r="V825" s="44"/>
      <c r="W825" s="44"/>
      <c r="X825" s="44"/>
      <c r="Y825" s="44"/>
      <c r="Z825" s="44"/>
    </row>
    <row r="826" spans="1:26" ht="15.75" customHeight="1">
      <c r="A826" s="44"/>
      <c r="B826" s="44"/>
      <c r="C826" s="44"/>
      <c r="D826" s="44"/>
      <c r="E826" s="44"/>
      <c r="F826" s="44"/>
      <c r="G826" s="44"/>
      <c r="H826" s="44"/>
      <c r="I826" s="190"/>
      <c r="J826" s="48"/>
      <c r="K826" s="48"/>
      <c r="L826" s="44"/>
      <c r="M826" s="44"/>
      <c r="N826" s="44"/>
      <c r="O826" s="44"/>
      <c r="P826" s="44"/>
      <c r="Q826" s="44"/>
      <c r="R826" s="44"/>
      <c r="S826" s="44"/>
      <c r="T826" s="44"/>
      <c r="U826" s="44"/>
      <c r="V826" s="44"/>
      <c r="W826" s="44"/>
      <c r="X826" s="44"/>
      <c r="Y826" s="44"/>
      <c r="Z826" s="44"/>
    </row>
    <row r="827" spans="1:26" ht="15.75" customHeight="1">
      <c r="A827" s="44"/>
      <c r="B827" s="44"/>
      <c r="C827" s="44"/>
      <c r="D827" s="44"/>
      <c r="E827" s="44"/>
      <c r="F827" s="44"/>
      <c r="G827" s="44"/>
      <c r="H827" s="44"/>
      <c r="I827" s="190"/>
      <c r="J827" s="48"/>
      <c r="K827" s="48"/>
      <c r="L827" s="44"/>
      <c r="M827" s="44"/>
      <c r="N827" s="44"/>
      <c r="O827" s="44"/>
      <c r="P827" s="44"/>
      <c r="Q827" s="44"/>
      <c r="R827" s="44"/>
      <c r="S827" s="44"/>
      <c r="T827" s="44"/>
      <c r="U827" s="44"/>
      <c r="V827" s="44"/>
      <c r="W827" s="44"/>
      <c r="X827" s="44"/>
      <c r="Y827" s="44"/>
      <c r="Z827" s="44"/>
    </row>
    <row r="828" spans="1:26" ht="15.75" customHeight="1">
      <c r="A828" s="44"/>
      <c r="B828" s="44"/>
      <c r="C828" s="44"/>
      <c r="D828" s="44"/>
      <c r="E828" s="44"/>
      <c r="F828" s="44"/>
      <c r="G828" s="44"/>
      <c r="H828" s="44"/>
      <c r="I828" s="190"/>
      <c r="J828" s="48"/>
      <c r="K828" s="48"/>
      <c r="L828" s="44"/>
      <c r="M828" s="44"/>
      <c r="N828" s="44"/>
      <c r="O828" s="44"/>
      <c r="P828" s="44"/>
      <c r="Q828" s="44"/>
      <c r="R828" s="44"/>
      <c r="S828" s="44"/>
      <c r="T828" s="44"/>
      <c r="U828" s="44"/>
      <c r="V828" s="44"/>
      <c r="W828" s="44"/>
      <c r="X828" s="44"/>
      <c r="Y828" s="44"/>
      <c r="Z828" s="44"/>
    </row>
    <row r="829" spans="1:26" ht="15.75" customHeight="1">
      <c r="A829" s="44"/>
      <c r="B829" s="44"/>
      <c r="C829" s="44"/>
      <c r="D829" s="44"/>
      <c r="E829" s="44"/>
      <c r="F829" s="44"/>
      <c r="G829" s="44"/>
      <c r="H829" s="44"/>
      <c r="I829" s="190"/>
      <c r="J829" s="48"/>
      <c r="K829" s="48"/>
      <c r="L829" s="44"/>
      <c r="M829" s="44"/>
      <c r="N829" s="44"/>
      <c r="O829" s="44"/>
      <c r="P829" s="44"/>
      <c r="Q829" s="44"/>
      <c r="R829" s="44"/>
      <c r="S829" s="44"/>
      <c r="T829" s="44"/>
      <c r="U829" s="44"/>
      <c r="V829" s="44"/>
      <c r="W829" s="44"/>
      <c r="X829" s="44"/>
      <c r="Y829" s="44"/>
      <c r="Z829" s="44"/>
    </row>
    <row r="830" spans="1:26" ht="15.75" customHeight="1">
      <c r="A830" s="44"/>
      <c r="B830" s="44"/>
      <c r="C830" s="44"/>
      <c r="D830" s="44"/>
      <c r="E830" s="44"/>
      <c r="F830" s="44"/>
      <c r="G830" s="44"/>
      <c r="H830" s="44"/>
      <c r="I830" s="190"/>
      <c r="J830" s="48"/>
      <c r="K830" s="48"/>
      <c r="L830" s="44"/>
      <c r="M830" s="44"/>
      <c r="N830" s="44"/>
      <c r="O830" s="44"/>
      <c r="P830" s="44"/>
      <c r="Q830" s="44"/>
      <c r="R830" s="44"/>
      <c r="S830" s="44"/>
      <c r="T830" s="44"/>
      <c r="U830" s="44"/>
      <c r="V830" s="44"/>
      <c r="W830" s="44"/>
      <c r="X830" s="44"/>
      <c r="Y830" s="44"/>
      <c r="Z830" s="44"/>
    </row>
    <row r="831" spans="1:26" ht="15.75" customHeight="1">
      <c r="A831" s="44"/>
      <c r="B831" s="44"/>
      <c r="C831" s="44"/>
      <c r="D831" s="44"/>
      <c r="E831" s="44"/>
      <c r="F831" s="44"/>
      <c r="G831" s="44"/>
      <c r="H831" s="44"/>
      <c r="I831" s="190"/>
      <c r="J831" s="48"/>
      <c r="K831" s="48"/>
      <c r="L831" s="44"/>
      <c r="M831" s="44"/>
      <c r="N831" s="44"/>
      <c r="O831" s="44"/>
      <c r="P831" s="44"/>
      <c r="Q831" s="44"/>
      <c r="R831" s="44"/>
      <c r="S831" s="44"/>
      <c r="T831" s="44"/>
      <c r="U831" s="44"/>
      <c r="V831" s="44"/>
      <c r="W831" s="44"/>
      <c r="X831" s="44"/>
      <c r="Y831" s="44"/>
      <c r="Z831" s="44"/>
    </row>
    <row r="832" spans="1:26" ht="15.75" customHeight="1">
      <c r="A832" s="44"/>
      <c r="B832" s="44"/>
      <c r="C832" s="44"/>
      <c r="D832" s="44"/>
      <c r="E832" s="44"/>
      <c r="F832" s="44"/>
      <c r="G832" s="44"/>
      <c r="H832" s="44"/>
      <c r="I832" s="190"/>
      <c r="J832" s="48"/>
      <c r="K832" s="48"/>
      <c r="L832" s="44"/>
      <c r="M832" s="44"/>
      <c r="N832" s="44"/>
      <c r="O832" s="44"/>
      <c r="P832" s="44"/>
      <c r="Q832" s="44"/>
      <c r="R832" s="44"/>
      <c r="S832" s="44"/>
      <c r="T832" s="44"/>
      <c r="U832" s="44"/>
      <c r="V832" s="44"/>
      <c r="W832" s="44"/>
      <c r="X832" s="44"/>
      <c r="Y832" s="44"/>
      <c r="Z832" s="44"/>
    </row>
    <row r="833" spans="1:26" ht="15.75" customHeight="1">
      <c r="A833" s="44"/>
      <c r="B833" s="44"/>
      <c r="C833" s="44"/>
      <c r="D833" s="44"/>
      <c r="E833" s="44"/>
      <c r="F833" s="44"/>
      <c r="G833" s="44"/>
      <c r="H833" s="44"/>
      <c r="I833" s="190"/>
      <c r="J833" s="48"/>
      <c r="K833" s="48"/>
      <c r="L833" s="44"/>
      <c r="M833" s="44"/>
      <c r="N833" s="44"/>
      <c r="O833" s="44"/>
      <c r="P833" s="44"/>
      <c r="Q833" s="44"/>
      <c r="R833" s="44"/>
      <c r="S833" s="44"/>
      <c r="T833" s="44"/>
      <c r="U833" s="44"/>
      <c r="V833" s="44"/>
      <c r="W833" s="44"/>
      <c r="X833" s="44"/>
      <c r="Y833" s="44"/>
      <c r="Z833" s="44"/>
    </row>
    <row r="834" spans="1:26" ht="15.75" customHeight="1">
      <c r="A834" s="44"/>
      <c r="B834" s="44"/>
      <c r="C834" s="44"/>
      <c r="D834" s="44"/>
      <c r="E834" s="44"/>
      <c r="F834" s="44"/>
      <c r="G834" s="44"/>
      <c r="H834" s="44"/>
      <c r="I834" s="190"/>
      <c r="J834" s="48"/>
      <c r="K834" s="48"/>
      <c r="L834" s="44"/>
      <c r="M834" s="44"/>
      <c r="N834" s="44"/>
      <c r="O834" s="44"/>
      <c r="P834" s="44"/>
      <c r="Q834" s="44"/>
      <c r="R834" s="44"/>
      <c r="S834" s="44"/>
      <c r="T834" s="44"/>
      <c r="U834" s="44"/>
      <c r="V834" s="44"/>
      <c r="W834" s="44"/>
      <c r="X834" s="44"/>
      <c r="Y834" s="44"/>
      <c r="Z834" s="44"/>
    </row>
    <row r="835" spans="1:26" ht="15.75" customHeight="1">
      <c r="A835" s="44"/>
      <c r="B835" s="44"/>
      <c r="C835" s="44"/>
      <c r="D835" s="44"/>
      <c r="E835" s="44"/>
      <c r="F835" s="44"/>
      <c r="G835" s="44"/>
      <c r="H835" s="44"/>
      <c r="I835" s="190"/>
      <c r="J835" s="48"/>
      <c r="K835" s="48"/>
      <c r="L835" s="44"/>
      <c r="M835" s="44"/>
      <c r="N835" s="44"/>
      <c r="O835" s="44"/>
      <c r="P835" s="44"/>
      <c r="Q835" s="44"/>
      <c r="R835" s="44"/>
      <c r="S835" s="44"/>
      <c r="T835" s="44"/>
      <c r="U835" s="44"/>
      <c r="V835" s="44"/>
      <c r="W835" s="44"/>
      <c r="X835" s="44"/>
      <c r="Y835" s="44"/>
      <c r="Z835" s="44"/>
    </row>
    <row r="836" spans="1:26" ht="15.75" customHeight="1">
      <c r="A836" s="44"/>
      <c r="B836" s="44"/>
      <c r="C836" s="44"/>
      <c r="D836" s="44"/>
      <c r="E836" s="44"/>
      <c r="F836" s="44"/>
      <c r="G836" s="44"/>
      <c r="H836" s="44"/>
      <c r="I836" s="190"/>
      <c r="J836" s="48"/>
      <c r="K836" s="48"/>
      <c r="L836" s="44"/>
      <c r="M836" s="44"/>
      <c r="N836" s="44"/>
      <c r="O836" s="44"/>
      <c r="P836" s="44"/>
      <c r="Q836" s="44"/>
      <c r="R836" s="44"/>
      <c r="S836" s="44"/>
      <c r="T836" s="44"/>
      <c r="U836" s="44"/>
      <c r="V836" s="44"/>
      <c r="W836" s="44"/>
      <c r="X836" s="44"/>
      <c r="Y836" s="44"/>
      <c r="Z836" s="44"/>
    </row>
    <row r="837" spans="1:26" ht="15.75" customHeight="1">
      <c r="A837" s="44"/>
      <c r="B837" s="44"/>
      <c r="C837" s="44"/>
      <c r="D837" s="44"/>
      <c r="E837" s="44"/>
      <c r="F837" s="44"/>
      <c r="G837" s="44"/>
      <c r="H837" s="44"/>
      <c r="I837" s="190"/>
      <c r="J837" s="48"/>
      <c r="K837" s="48"/>
      <c r="L837" s="44"/>
      <c r="M837" s="44"/>
      <c r="N837" s="44"/>
      <c r="O837" s="44"/>
      <c r="P837" s="44"/>
      <c r="Q837" s="44"/>
      <c r="R837" s="44"/>
      <c r="S837" s="44"/>
      <c r="T837" s="44"/>
      <c r="U837" s="44"/>
      <c r="V837" s="44"/>
      <c r="W837" s="44"/>
      <c r="X837" s="44"/>
      <c r="Y837" s="44"/>
      <c r="Z837" s="44"/>
    </row>
    <row r="838" spans="1:26" ht="15.75" customHeight="1">
      <c r="A838" s="44"/>
      <c r="B838" s="44"/>
      <c r="C838" s="44"/>
      <c r="D838" s="44"/>
      <c r="E838" s="44"/>
      <c r="F838" s="44"/>
      <c r="G838" s="44"/>
      <c r="H838" s="44"/>
      <c r="I838" s="190"/>
      <c r="J838" s="48"/>
      <c r="K838" s="48"/>
      <c r="L838" s="44"/>
      <c r="M838" s="44"/>
      <c r="N838" s="44"/>
      <c r="O838" s="44"/>
      <c r="P838" s="44"/>
      <c r="Q838" s="44"/>
      <c r="R838" s="44"/>
      <c r="S838" s="44"/>
      <c r="T838" s="44"/>
      <c r="U838" s="44"/>
      <c r="V838" s="44"/>
      <c r="W838" s="44"/>
      <c r="X838" s="44"/>
      <c r="Y838" s="44"/>
      <c r="Z838" s="44"/>
    </row>
    <row r="839" spans="1:26" ht="15.75" customHeight="1">
      <c r="A839" s="44"/>
      <c r="B839" s="44"/>
      <c r="C839" s="44"/>
      <c r="D839" s="44"/>
      <c r="E839" s="44"/>
      <c r="F839" s="44"/>
      <c r="G839" s="44"/>
      <c r="H839" s="44"/>
      <c r="I839" s="190"/>
      <c r="J839" s="48"/>
      <c r="K839" s="48"/>
      <c r="L839" s="44"/>
      <c r="M839" s="44"/>
      <c r="N839" s="44"/>
      <c r="O839" s="44"/>
      <c r="P839" s="44"/>
      <c r="Q839" s="44"/>
      <c r="R839" s="44"/>
      <c r="S839" s="44"/>
      <c r="T839" s="44"/>
      <c r="U839" s="44"/>
      <c r="V839" s="44"/>
      <c r="W839" s="44"/>
      <c r="X839" s="44"/>
      <c r="Y839" s="44"/>
      <c r="Z839" s="44"/>
    </row>
    <row r="840" spans="1:26" ht="15.75" customHeight="1">
      <c r="A840" s="44"/>
      <c r="B840" s="44"/>
      <c r="C840" s="44"/>
      <c r="D840" s="44"/>
      <c r="E840" s="44"/>
      <c r="F840" s="44"/>
      <c r="G840" s="44"/>
      <c r="H840" s="44"/>
      <c r="I840" s="190"/>
      <c r="J840" s="48"/>
      <c r="K840" s="48"/>
      <c r="L840" s="44"/>
      <c r="M840" s="44"/>
      <c r="N840" s="44"/>
      <c r="O840" s="44"/>
      <c r="P840" s="44"/>
      <c r="Q840" s="44"/>
      <c r="R840" s="44"/>
      <c r="S840" s="44"/>
      <c r="T840" s="44"/>
      <c r="U840" s="44"/>
      <c r="V840" s="44"/>
      <c r="W840" s="44"/>
      <c r="X840" s="44"/>
      <c r="Y840" s="44"/>
      <c r="Z840" s="44"/>
    </row>
    <row r="841" spans="1:26" ht="15.75" customHeight="1">
      <c r="A841" s="44"/>
      <c r="B841" s="44"/>
      <c r="C841" s="44"/>
      <c r="D841" s="44"/>
      <c r="E841" s="44"/>
      <c r="F841" s="44"/>
      <c r="G841" s="44"/>
      <c r="H841" s="44"/>
      <c r="I841" s="190"/>
      <c r="J841" s="48"/>
      <c r="K841" s="48"/>
      <c r="L841" s="44"/>
      <c r="M841" s="44"/>
      <c r="N841" s="44"/>
      <c r="O841" s="44"/>
      <c r="P841" s="44"/>
      <c r="Q841" s="44"/>
      <c r="R841" s="44"/>
      <c r="S841" s="44"/>
      <c r="T841" s="44"/>
      <c r="U841" s="44"/>
      <c r="V841" s="44"/>
      <c r="W841" s="44"/>
      <c r="X841" s="44"/>
      <c r="Y841" s="44"/>
      <c r="Z841" s="44"/>
    </row>
    <row r="842" spans="1:26" ht="15.75" customHeight="1">
      <c r="A842" s="44"/>
      <c r="B842" s="44"/>
      <c r="C842" s="44"/>
      <c r="D842" s="44"/>
      <c r="E842" s="44"/>
      <c r="F842" s="44"/>
      <c r="G842" s="44"/>
      <c r="H842" s="44"/>
      <c r="I842" s="190"/>
      <c r="J842" s="48"/>
      <c r="K842" s="48"/>
      <c r="L842" s="44"/>
      <c r="M842" s="44"/>
      <c r="N842" s="44"/>
      <c r="O842" s="44"/>
      <c r="P842" s="44"/>
      <c r="Q842" s="44"/>
      <c r="R842" s="44"/>
      <c r="S842" s="44"/>
      <c r="T842" s="44"/>
      <c r="U842" s="44"/>
      <c r="V842" s="44"/>
      <c r="W842" s="44"/>
      <c r="X842" s="44"/>
      <c r="Y842" s="44"/>
      <c r="Z842" s="44"/>
    </row>
    <row r="843" spans="1:26" ht="15.75" customHeight="1">
      <c r="A843" s="44"/>
      <c r="B843" s="44"/>
      <c r="C843" s="44"/>
      <c r="D843" s="44"/>
      <c r="E843" s="44"/>
      <c r="F843" s="44"/>
      <c r="G843" s="44"/>
      <c r="H843" s="44"/>
      <c r="I843" s="190"/>
      <c r="J843" s="48"/>
      <c r="K843" s="48"/>
      <c r="L843" s="44"/>
      <c r="M843" s="44"/>
      <c r="N843" s="44"/>
      <c r="O843" s="44"/>
      <c r="P843" s="44"/>
      <c r="Q843" s="44"/>
      <c r="R843" s="44"/>
      <c r="S843" s="44"/>
      <c r="T843" s="44"/>
      <c r="U843" s="44"/>
      <c r="V843" s="44"/>
      <c r="W843" s="44"/>
      <c r="X843" s="44"/>
      <c r="Y843" s="44"/>
      <c r="Z843" s="44"/>
    </row>
    <row r="844" spans="1:26" ht="15.75" customHeight="1">
      <c r="A844" s="44"/>
      <c r="B844" s="44"/>
      <c r="C844" s="44"/>
      <c r="D844" s="44"/>
      <c r="E844" s="44"/>
      <c r="F844" s="44"/>
      <c r="G844" s="44"/>
      <c r="H844" s="44"/>
      <c r="I844" s="190"/>
      <c r="J844" s="48"/>
      <c r="K844" s="48"/>
      <c r="L844" s="44"/>
      <c r="M844" s="44"/>
      <c r="N844" s="44"/>
      <c r="O844" s="44"/>
      <c r="P844" s="44"/>
      <c r="Q844" s="44"/>
      <c r="R844" s="44"/>
      <c r="S844" s="44"/>
      <c r="T844" s="44"/>
      <c r="U844" s="44"/>
      <c r="V844" s="44"/>
      <c r="W844" s="44"/>
      <c r="X844" s="44"/>
      <c r="Y844" s="44"/>
      <c r="Z844" s="44"/>
    </row>
    <row r="845" spans="1:26" ht="15.75" customHeight="1">
      <c r="A845" s="44"/>
      <c r="B845" s="44"/>
      <c r="C845" s="44"/>
      <c r="D845" s="44"/>
      <c r="E845" s="44"/>
      <c r="F845" s="44"/>
      <c r="G845" s="44"/>
      <c r="H845" s="44"/>
      <c r="I845" s="190"/>
      <c r="J845" s="48"/>
      <c r="K845" s="48"/>
      <c r="L845" s="44"/>
      <c r="M845" s="44"/>
      <c r="N845" s="44"/>
      <c r="O845" s="44"/>
      <c r="P845" s="44"/>
      <c r="Q845" s="44"/>
      <c r="R845" s="44"/>
      <c r="S845" s="44"/>
      <c r="T845" s="44"/>
      <c r="U845" s="44"/>
      <c r="V845" s="44"/>
      <c r="W845" s="44"/>
      <c r="X845" s="44"/>
      <c r="Y845" s="44"/>
      <c r="Z845" s="44"/>
    </row>
    <row r="846" spans="1:26" ht="15.75" customHeight="1">
      <c r="A846" s="44"/>
      <c r="B846" s="44"/>
      <c r="C846" s="44"/>
      <c r="D846" s="44"/>
      <c r="E846" s="44"/>
      <c r="F846" s="44"/>
      <c r="G846" s="44"/>
      <c r="H846" s="44"/>
      <c r="I846" s="190"/>
      <c r="J846" s="48"/>
      <c r="K846" s="48"/>
      <c r="L846" s="44"/>
      <c r="M846" s="44"/>
      <c r="N846" s="44"/>
      <c r="O846" s="44"/>
      <c r="P846" s="44"/>
      <c r="Q846" s="44"/>
      <c r="R846" s="44"/>
      <c r="S846" s="44"/>
      <c r="T846" s="44"/>
      <c r="U846" s="44"/>
      <c r="V846" s="44"/>
      <c r="W846" s="44"/>
      <c r="X846" s="44"/>
      <c r="Y846" s="44"/>
      <c r="Z846" s="44"/>
    </row>
    <row r="847" spans="1:26" ht="15.75" customHeight="1">
      <c r="A847" s="44"/>
      <c r="B847" s="44"/>
      <c r="C847" s="44"/>
      <c r="D847" s="44"/>
      <c r="E847" s="44"/>
      <c r="F847" s="44"/>
      <c r="G847" s="44"/>
      <c r="H847" s="44"/>
      <c r="I847" s="190"/>
      <c r="J847" s="48"/>
      <c r="K847" s="48"/>
      <c r="L847" s="44"/>
      <c r="M847" s="44"/>
      <c r="N847" s="44"/>
      <c r="O847" s="44"/>
      <c r="P847" s="44"/>
      <c r="Q847" s="44"/>
      <c r="R847" s="44"/>
      <c r="S847" s="44"/>
      <c r="T847" s="44"/>
      <c r="U847" s="44"/>
      <c r="V847" s="44"/>
      <c r="W847" s="44"/>
      <c r="X847" s="44"/>
      <c r="Y847" s="44"/>
      <c r="Z847" s="44"/>
    </row>
    <row r="848" spans="1:26" ht="15.75" customHeight="1">
      <c r="A848" s="44"/>
      <c r="B848" s="44"/>
      <c r="C848" s="44"/>
      <c r="D848" s="44"/>
      <c r="E848" s="44"/>
      <c r="F848" s="44"/>
      <c r="G848" s="44"/>
      <c r="H848" s="44"/>
      <c r="I848" s="190"/>
      <c r="J848" s="48"/>
      <c r="K848" s="48"/>
      <c r="L848" s="44"/>
      <c r="M848" s="44"/>
      <c r="N848" s="44"/>
      <c r="O848" s="44"/>
      <c r="P848" s="44"/>
      <c r="Q848" s="44"/>
      <c r="R848" s="44"/>
      <c r="S848" s="44"/>
      <c r="T848" s="44"/>
      <c r="U848" s="44"/>
      <c r="V848" s="44"/>
      <c r="W848" s="44"/>
      <c r="X848" s="44"/>
      <c r="Y848" s="44"/>
      <c r="Z848" s="44"/>
    </row>
    <row r="849" spans="1:26" ht="15.75" customHeight="1">
      <c r="A849" s="44"/>
      <c r="B849" s="44"/>
      <c r="C849" s="44"/>
      <c r="D849" s="44"/>
      <c r="E849" s="44"/>
      <c r="F849" s="44"/>
      <c r="G849" s="44"/>
      <c r="H849" s="44"/>
      <c r="I849" s="190"/>
      <c r="J849" s="48"/>
      <c r="K849" s="48"/>
      <c r="L849" s="44"/>
      <c r="M849" s="44"/>
      <c r="N849" s="44"/>
      <c r="O849" s="44"/>
      <c r="P849" s="44"/>
      <c r="Q849" s="44"/>
      <c r="R849" s="44"/>
      <c r="S849" s="44"/>
      <c r="T849" s="44"/>
      <c r="U849" s="44"/>
      <c r="V849" s="44"/>
      <c r="W849" s="44"/>
      <c r="X849" s="44"/>
      <c r="Y849" s="44"/>
      <c r="Z849" s="44"/>
    </row>
    <row r="850" spans="1:26" ht="15.75" customHeight="1">
      <c r="A850" s="44"/>
      <c r="B850" s="44"/>
      <c r="C850" s="44"/>
      <c r="D850" s="44"/>
      <c r="E850" s="44"/>
      <c r="F850" s="44"/>
      <c r="G850" s="44"/>
      <c r="H850" s="44"/>
      <c r="I850" s="190"/>
      <c r="J850" s="48"/>
      <c r="K850" s="48"/>
      <c r="L850" s="44"/>
      <c r="M850" s="44"/>
      <c r="N850" s="44"/>
      <c r="O850" s="44"/>
      <c r="P850" s="44"/>
      <c r="Q850" s="44"/>
      <c r="R850" s="44"/>
      <c r="S850" s="44"/>
      <c r="T850" s="44"/>
      <c r="U850" s="44"/>
      <c r="V850" s="44"/>
      <c r="W850" s="44"/>
      <c r="X850" s="44"/>
      <c r="Y850" s="44"/>
      <c r="Z850" s="44"/>
    </row>
    <row r="851" spans="1:26" ht="15.75" customHeight="1">
      <c r="A851" s="44"/>
      <c r="B851" s="44"/>
      <c r="C851" s="44"/>
      <c r="D851" s="44"/>
      <c r="E851" s="44"/>
      <c r="F851" s="44"/>
      <c r="G851" s="44"/>
      <c r="H851" s="44"/>
      <c r="I851" s="190"/>
      <c r="J851" s="48"/>
      <c r="K851" s="48"/>
      <c r="L851" s="44"/>
      <c r="M851" s="44"/>
      <c r="N851" s="44"/>
      <c r="O851" s="44"/>
      <c r="P851" s="44"/>
      <c r="Q851" s="44"/>
      <c r="R851" s="44"/>
      <c r="S851" s="44"/>
      <c r="T851" s="44"/>
      <c r="U851" s="44"/>
      <c r="V851" s="44"/>
      <c r="W851" s="44"/>
      <c r="X851" s="44"/>
      <c r="Y851" s="44"/>
      <c r="Z851" s="44"/>
    </row>
    <row r="852" spans="1:26" ht="15.75" customHeight="1">
      <c r="A852" s="44"/>
      <c r="B852" s="44"/>
      <c r="C852" s="44"/>
      <c r="D852" s="44"/>
      <c r="E852" s="44"/>
      <c r="F852" s="44"/>
      <c r="G852" s="44"/>
      <c r="H852" s="44"/>
      <c r="I852" s="190"/>
      <c r="J852" s="48"/>
      <c r="K852" s="48"/>
      <c r="L852" s="44"/>
      <c r="M852" s="44"/>
      <c r="N852" s="44"/>
      <c r="O852" s="44"/>
      <c r="P852" s="44"/>
      <c r="Q852" s="44"/>
      <c r="R852" s="44"/>
      <c r="S852" s="44"/>
      <c r="T852" s="44"/>
      <c r="U852" s="44"/>
      <c r="V852" s="44"/>
      <c r="W852" s="44"/>
      <c r="X852" s="44"/>
      <c r="Y852" s="44"/>
      <c r="Z852" s="44"/>
    </row>
    <row r="853" spans="1:26" ht="15.75" customHeight="1">
      <c r="A853" s="44"/>
      <c r="B853" s="44"/>
      <c r="C853" s="44"/>
      <c r="D853" s="44"/>
      <c r="E853" s="44"/>
      <c r="F853" s="44"/>
      <c r="G853" s="44"/>
      <c r="H853" s="44"/>
      <c r="I853" s="190"/>
      <c r="J853" s="48"/>
      <c r="K853" s="48"/>
      <c r="L853" s="44"/>
      <c r="M853" s="44"/>
      <c r="N853" s="44"/>
      <c r="O853" s="44"/>
      <c r="P853" s="44"/>
      <c r="Q853" s="44"/>
      <c r="R853" s="44"/>
      <c r="S853" s="44"/>
      <c r="T853" s="44"/>
      <c r="U853" s="44"/>
      <c r="V853" s="44"/>
      <c r="W853" s="44"/>
      <c r="X853" s="44"/>
      <c r="Y853" s="44"/>
      <c r="Z853" s="44"/>
    </row>
    <row r="854" spans="1:26" ht="15.75" customHeight="1">
      <c r="A854" s="44"/>
      <c r="B854" s="44"/>
      <c r="C854" s="44"/>
      <c r="D854" s="44"/>
      <c r="E854" s="44"/>
      <c r="F854" s="44"/>
      <c r="G854" s="44"/>
      <c r="H854" s="44"/>
      <c r="I854" s="190"/>
      <c r="J854" s="48"/>
      <c r="K854" s="48"/>
      <c r="L854" s="44"/>
      <c r="M854" s="44"/>
      <c r="N854" s="44"/>
      <c r="O854" s="44"/>
      <c r="P854" s="44"/>
      <c r="Q854" s="44"/>
      <c r="R854" s="44"/>
      <c r="S854" s="44"/>
      <c r="T854" s="44"/>
      <c r="U854" s="44"/>
      <c r="V854" s="44"/>
      <c r="W854" s="44"/>
      <c r="X854" s="44"/>
      <c r="Y854" s="44"/>
      <c r="Z854" s="44"/>
    </row>
    <row r="855" spans="1:26" ht="15.75" customHeight="1">
      <c r="A855" s="44"/>
      <c r="B855" s="44"/>
      <c r="C855" s="44"/>
      <c r="D855" s="44"/>
      <c r="E855" s="44"/>
      <c r="F855" s="44"/>
      <c r="G855" s="44"/>
      <c r="H855" s="44"/>
      <c r="I855" s="190"/>
      <c r="J855" s="48"/>
      <c r="K855" s="48"/>
      <c r="L855" s="44"/>
      <c r="M855" s="44"/>
      <c r="N855" s="44"/>
      <c r="O855" s="44"/>
      <c r="P855" s="44"/>
      <c r="Q855" s="44"/>
      <c r="R855" s="44"/>
      <c r="S855" s="44"/>
      <c r="T855" s="44"/>
      <c r="U855" s="44"/>
      <c r="V855" s="44"/>
      <c r="W855" s="44"/>
      <c r="X855" s="44"/>
      <c r="Y855" s="44"/>
      <c r="Z855" s="44"/>
    </row>
    <row r="856" spans="1:26" ht="15.75" customHeight="1">
      <c r="A856" s="44"/>
      <c r="B856" s="44"/>
      <c r="C856" s="44"/>
      <c r="D856" s="44"/>
      <c r="E856" s="44"/>
      <c r="F856" s="44"/>
      <c r="G856" s="44"/>
      <c r="H856" s="44"/>
      <c r="I856" s="190"/>
      <c r="J856" s="48"/>
      <c r="K856" s="48"/>
      <c r="L856" s="44"/>
      <c r="M856" s="44"/>
      <c r="N856" s="44"/>
      <c r="O856" s="44"/>
      <c r="P856" s="44"/>
      <c r="Q856" s="44"/>
      <c r="R856" s="44"/>
      <c r="S856" s="44"/>
      <c r="T856" s="44"/>
      <c r="U856" s="44"/>
      <c r="V856" s="44"/>
      <c r="W856" s="44"/>
      <c r="X856" s="44"/>
      <c r="Y856" s="44"/>
      <c r="Z856" s="44"/>
    </row>
    <row r="857" spans="1:26" ht="15.75" customHeight="1">
      <c r="A857" s="44"/>
      <c r="B857" s="44"/>
      <c r="C857" s="44"/>
      <c r="D857" s="44"/>
      <c r="E857" s="44"/>
      <c r="F857" s="44"/>
      <c r="G857" s="44"/>
      <c r="H857" s="44"/>
      <c r="I857" s="190"/>
      <c r="J857" s="48"/>
      <c r="K857" s="48"/>
      <c r="L857" s="44"/>
      <c r="M857" s="44"/>
      <c r="N857" s="44"/>
      <c r="O857" s="44"/>
      <c r="P857" s="44"/>
      <c r="Q857" s="44"/>
      <c r="R857" s="44"/>
      <c r="S857" s="44"/>
      <c r="T857" s="44"/>
      <c r="U857" s="44"/>
      <c r="V857" s="44"/>
      <c r="W857" s="44"/>
      <c r="X857" s="44"/>
      <c r="Y857" s="44"/>
      <c r="Z857" s="44"/>
    </row>
    <row r="858" spans="1:26" ht="15.75" customHeight="1">
      <c r="A858" s="44"/>
      <c r="B858" s="44"/>
      <c r="C858" s="44"/>
      <c r="D858" s="44"/>
      <c r="E858" s="44"/>
      <c r="F858" s="44"/>
      <c r="G858" s="44"/>
      <c r="H858" s="44"/>
      <c r="I858" s="190"/>
      <c r="J858" s="48"/>
      <c r="K858" s="48"/>
      <c r="L858" s="44"/>
      <c r="M858" s="44"/>
      <c r="N858" s="44"/>
      <c r="O858" s="44"/>
      <c r="P858" s="44"/>
      <c r="Q858" s="44"/>
      <c r="R858" s="44"/>
      <c r="S858" s="44"/>
      <c r="T858" s="44"/>
      <c r="U858" s="44"/>
      <c r="V858" s="44"/>
      <c r="W858" s="44"/>
      <c r="X858" s="44"/>
      <c r="Y858" s="44"/>
      <c r="Z858" s="44"/>
    </row>
    <row r="859" spans="1:26" ht="15.75" customHeight="1">
      <c r="A859" s="44"/>
      <c r="B859" s="44"/>
      <c r="C859" s="44"/>
      <c r="D859" s="44"/>
      <c r="E859" s="44"/>
      <c r="F859" s="44"/>
      <c r="G859" s="44"/>
      <c r="H859" s="44"/>
      <c r="I859" s="190"/>
      <c r="J859" s="48"/>
      <c r="K859" s="48"/>
      <c r="L859" s="44"/>
      <c r="M859" s="44"/>
      <c r="N859" s="44"/>
      <c r="O859" s="44"/>
      <c r="P859" s="44"/>
      <c r="Q859" s="44"/>
      <c r="R859" s="44"/>
      <c r="S859" s="44"/>
      <c r="T859" s="44"/>
      <c r="U859" s="44"/>
      <c r="V859" s="44"/>
      <c r="W859" s="44"/>
      <c r="X859" s="44"/>
      <c r="Y859" s="44"/>
      <c r="Z859" s="44"/>
    </row>
    <row r="860" spans="1:26" ht="15.75" customHeight="1">
      <c r="A860" s="44"/>
      <c r="B860" s="44"/>
      <c r="C860" s="44"/>
      <c r="D860" s="44"/>
      <c r="E860" s="44"/>
      <c r="F860" s="44"/>
      <c r="G860" s="44"/>
      <c r="H860" s="44"/>
      <c r="I860" s="190"/>
      <c r="J860" s="48"/>
      <c r="K860" s="48"/>
      <c r="L860" s="44"/>
      <c r="M860" s="44"/>
      <c r="N860" s="44"/>
      <c r="O860" s="44"/>
      <c r="P860" s="44"/>
      <c r="Q860" s="44"/>
      <c r="R860" s="44"/>
      <c r="S860" s="44"/>
      <c r="T860" s="44"/>
      <c r="U860" s="44"/>
      <c r="V860" s="44"/>
      <c r="W860" s="44"/>
      <c r="X860" s="44"/>
      <c r="Y860" s="44"/>
      <c r="Z860" s="44"/>
    </row>
    <row r="861" spans="1:26" ht="15.75" customHeight="1">
      <c r="A861" s="44"/>
      <c r="B861" s="44"/>
      <c r="C861" s="44"/>
      <c r="D861" s="44"/>
      <c r="E861" s="44"/>
      <c r="F861" s="44"/>
      <c r="G861" s="44"/>
      <c r="H861" s="44"/>
      <c r="I861" s="190"/>
      <c r="J861" s="48"/>
      <c r="K861" s="48"/>
      <c r="L861" s="44"/>
      <c r="M861" s="44"/>
      <c r="N861" s="44"/>
      <c r="O861" s="44"/>
      <c r="P861" s="44"/>
      <c r="Q861" s="44"/>
      <c r="R861" s="44"/>
      <c r="S861" s="44"/>
      <c r="T861" s="44"/>
      <c r="U861" s="44"/>
      <c r="V861" s="44"/>
      <c r="W861" s="44"/>
      <c r="X861" s="44"/>
      <c r="Y861" s="44"/>
      <c r="Z861" s="44"/>
    </row>
    <row r="862" spans="1:26" ht="15.75" customHeight="1">
      <c r="A862" s="44"/>
      <c r="B862" s="44"/>
      <c r="C862" s="44"/>
      <c r="D862" s="44"/>
      <c r="E862" s="44"/>
      <c r="F862" s="44"/>
      <c r="G862" s="44"/>
      <c r="H862" s="44"/>
      <c r="I862" s="190"/>
      <c r="J862" s="48"/>
      <c r="K862" s="48"/>
      <c r="L862" s="44"/>
      <c r="M862" s="44"/>
      <c r="N862" s="44"/>
      <c r="O862" s="44"/>
      <c r="P862" s="44"/>
      <c r="Q862" s="44"/>
      <c r="R862" s="44"/>
      <c r="S862" s="44"/>
      <c r="T862" s="44"/>
      <c r="U862" s="44"/>
      <c r="V862" s="44"/>
      <c r="W862" s="44"/>
      <c r="X862" s="44"/>
      <c r="Y862" s="44"/>
      <c r="Z862" s="44"/>
    </row>
    <row r="863" spans="1:26" ht="15.75" customHeight="1">
      <c r="A863" s="44"/>
      <c r="B863" s="44"/>
      <c r="C863" s="44"/>
      <c r="D863" s="44"/>
      <c r="E863" s="44"/>
      <c r="F863" s="44"/>
      <c r="G863" s="44"/>
      <c r="H863" s="44"/>
      <c r="I863" s="190"/>
      <c r="J863" s="48"/>
      <c r="K863" s="48"/>
      <c r="L863" s="44"/>
      <c r="M863" s="44"/>
      <c r="N863" s="44"/>
      <c r="O863" s="44"/>
      <c r="P863" s="44"/>
      <c r="Q863" s="44"/>
      <c r="R863" s="44"/>
      <c r="S863" s="44"/>
      <c r="T863" s="44"/>
      <c r="U863" s="44"/>
      <c r="V863" s="44"/>
      <c r="W863" s="44"/>
      <c r="X863" s="44"/>
      <c r="Y863" s="44"/>
      <c r="Z863" s="44"/>
    </row>
    <row r="864" spans="1:26" ht="15.75" customHeight="1">
      <c r="A864" s="44"/>
      <c r="B864" s="44"/>
      <c r="C864" s="44"/>
      <c r="D864" s="44"/>
      <c r="E864" s="44"/>
      <c r="F864" s="44"/>
      <c r="G864" s="44"/>
      <c r="H864" s="44"/>
      <c r="I864" s="190"/>
      <c r="J864" s="48"/>
      <c r="K864" s="48"/>
      <c r="L864" s="44"/>
      <c r="M864" s="44"/>
      <c r="N864" s="44"/>
      <c r="O864" s="44"/>
      <c r="P864" s="44"/>
      <c r="Q864" s="44"/>
      <c r="R864" s="44"/>
      <c r="S864" s="44"/>
      <c r="T864" s="44"/>
      <c r="U864" s="44"/>
      <c r="V864" s="44"/>
      <c r="W864" s="44"/>
      <c r="X864" s="44"/>
      <c r="Y864" s="44"/>
      <c r="Z864" s="44"/>
    </row>
    <row r="865" spans="1:26" ht="15.75" customHeight="1">
      <c r="A865" s="44"/>
      <c r="B865" s="44"/>
      <c r="C865" s="44"/>
      <c r="D865" s="44"/>
      <c r="E865" s="44"/>
      <c r="F865" s="44"/>
      <c r="G865" s="44"/>
      <c r="H865" s="44"/>
      <c r="I865" s="190"/>
      <c r="J865" s="48"/>
      <c r="K865" s="48"/>
      <c r="L865" s="44"/>
      <c r="M865" s="44"/>
      <c r="N865" s="44"/>
      <c r="O865" s="44"/>
      <c r="P865" s="44"/>
      <c r="Q865" s="44"/>
      <c r="R865" s="44"/>
      <c r="S865" s="44"/>
      <c r="T865" s="44"/>
      <c r="U865" s="44"/>
      <c r="V865" s="44"/>
      <c r="W865" s="44"/>
      <c r="X865" s="44"/>
      <c r="Y865" s="44"/>
      <c r="Z865" s="44"/>
    </row>
    <row r="866" spans="1:26" ht="15.75" customHeight="1">
      <c r="A866" s="44"/>
      <c r="B866" s="44"/>
      <c r="C866" s="44"/>
      <c r="D866" s="44"/>
      <c r="E866" s="44"/>
      <c r="F866" s="44"/>
      <c r="G866" s="44"/>
      <c r="H866" s="44"/>
      <c r="I866" s="190"/>
      <c r="J866" s="48"/>
      <c r="K866" s="48"/>
      <c r="L866" s="44"/>
      <c r="M866" s="44"/>
      <c r="N866" s="44"/>
      <c r="O866" s="44"/>
      <c r="P866" s="44"/>
      <c r="Q866" s="44"/>
      <c r="R866" s="44"/>
      <c r="S866" s="44"/>
      <c r="T866" s="44"/>
      <c r="U866" s="44"/>
      <c r="V866" s="44"/>
      <c r="W866" s="44"/>
      <c r="X866" s="44"/>
      <c r="Y866" s="44"/>
      <c r="Z866" s="44"/>
    </row>
    <row r="867" spans="1:26" ht="15.75" customHeight="1">
      <c r="A867" s="44"/>
      <c r="B867" s="44"/>
      <c r="C867" s="44"/>
      <c r="D867" s="44"/>
      <c r="E867" s="44"/>
      <c r="F867" s="44"/>
      <c r="G867" s="44"/>
      <c r="H867" s="44"/>
      <c r="I867" s="190"/>
      <c r="J867" s="48"/>
      <c r="K867" s="48"/>
      <c r="L867" s="44"/>
      <c r="M867" s="44"/>
      <c r="N867" s="44"/>
      <c r="O867" s="44"/>
      <c r="P867" s="44"/>
      <c r="Q867" s="44"/>
      <c r="R867" s="44"/>
      <c r="S867" s="44"/>
      <c r="T867" s="44"/>
      <c r="U867" s="44"/>
      <c r="V867" s="44"/>
      <c r="W867" s="44"/>
      <c r="X867" s="44"/>
      <c r="Y867" s="44"/>
      <c r="Z867" s="44"/>
    </row>
    <row r="868" spans="1:26" ht="15.75" customHeight="1">
      <c r="A868" s="44"/>
      <c r="B868" s="44"/>
      <c r="C868" s="44"/>
      <c r="D868" s="44"/>
      <c r="E868" s="44"/>
      <c r="F868" s="44"/>
      <c r="G868" s="44"/>
      <c r="H868" s="44"/>
      <c r="I868" s="190"/>
      <c r="J868" s="48"/>
      <c r="K868" s="48"/>
      <c r="L868" s="44"/>
      <c r="M868" s="44"/>
      <c r="N868" s="44"/>
      <c r="O868" s="44"/>
      <c r="P868" s="44"/>
      <c r="Q868" s="44"/>
      <c r="R868" s="44"/>
      <c r="S868" s="44"/>
      <c r="T868" s="44"/>
      <c r="U868" s="44"/>
      <c r="V868" s="44"/>
      <c r="W868" s="44"/>
      <c r="X868" s="44"/>
      <c r="Y868" s="44"/>
      <c r="Z868" s="44"/>
    </row>
    <row r="869" spans="1:26" ht="15.75" customHeight="1">
      <c r="A869" s="44"/>
      <c r="B869" s="44"/>
      <c r="C869" s="44"/>
      <c r="D869" s="44"/>
      <c r="E869" s="44"/>
      <c r="F869" s="44"/>
      <c r="G869" s="44"/>
      <c r="H869" s="44"/>
      <c r="I869" s="190"/>
      <c r="J869" s="48"/>
      <c r="K869" s="48"/>
      <c r="L869" s="44"/>
      <c r="M869" s="44"/>
      <c r="N869" s="44"/>
      <c r="O869" s="44"/>
      <c r="P869" s="44"/>
      <c r="Q869" s="44"/>
      <c r="R869" s="44"/>
      <c r="S869" s="44"/>
      <c r="T869" s="44"/>
      <c r="U869" s="44"/>
      <c r="V869" s="44"/>
      <c r="W869" s="44"/>
      <c r="X869" s="44"/>
      <c r="Y869" s="44"/>
      <c r="Z869" s="44"/>
    </row>
    <row r="870" spans="1:26" ht="15.75" customHeight="1">
      <c r="A870" s="44"/>
      <c r="B870" s="44"/>
      <c r="C870" s="44"/>
      <c r="D870" s="44"/>
      <c r="E870" s="44"/>
      <c r="F870" s="44"/>
      <c r="G870" s="44"/>
      <c r="H870" s="44"/>
      <c r="I870" s="190"/>
      <c r="J870" s="48"/>
      <c r="K870" s="48"/>
      <c r="L870" s="44"/>
      <c r="M870" s="44"/>
      <c r="N870" s="44"/>
      <c r="O870" s="44"/>
      <c r="P870" s="44"/>
      <c r="Q870" s="44"/>
      <c r="R870" s="44"/>
      <c r="S870" s="44"/>
      <c r="T870" s="44"/>
      <c r="U870" s="44"/>
      <c r="V870" s="44"/>
      <c r="W870" s="44"/>
      <c r="X870" s="44"/>
      <c r="Y870" s="44"/>
      <c r="Z870" s="44"/>
    </row>
    <row r="871" spans="1:26" ht="15.75" customHeight="1">
      <c r="A871" s="44"/>
      <c r="B871" s="44"/>
      <c r="C871" s="44"/>
      <c r="D871" s="44"/>
      <c r="E871" s="44"/>
      <c r="F871" s="44"/>
      <c r="G871" s="44"/>
      <c r="H871" s="44"/>
      <c r="I871" s="190"/>
      <c r="J871" s="48"/>
      <c r="K871" s="48"/>
      <c r="L871" s="44"/>
      <c r="M871" s="44"/>
      <c r="N871" s="44"/>
      <c r="O871" s="44"/>
      <c r="P871" s="44"/>
      <c r="Q871" s="44"/>
      <c r="R871" s="44"/>
      <c r="S871" s="44"/>
      <c r="T871" s="44"/>
      <c r="U871" s="44"/>
      <c r="V871" s="44"/>
      <c r="W871" s="44"/>
      <c r="X871" s="44"/>
      <c r="Y871" s="44"/>
      <c r="Z871" s="44"/>
    </row>
    <row r="872" spans="1:26" ht="15.75" customHeight="1">
      <c r="A872" s="44"/>
      <c r="B872" s="44"/>
      <c r="C872" s="44"/>
      <c r="D872" s="44"/>
      <c r="E872" s="44"/>
      <c r="F872" s="44"/>
      <c r="G872" s="44"/>
      <c r="H872" s="44"/>
      <c r="I872" s="190"/>
      <c r="J872" s="48"/>
      <c r="K872" s="48"/>
      <c r="L872" s="44"/>
      <c r="M872" s="44"/>
      <c r="N872" s="44"/>
      <c r="O872" s="44"/>
      <c r="P872" s="44"/>
      <c r="Q872" s="44"/>
      <c r="R872" s="44"/>
      <c r="S872" s="44"/>
      <c r="T872" s="44"/>
      <c r="U872" s="44"/>
      <c r="V872" s="44"/>
      <c r="W872" s="44"/>
      <c r="X872" s="44"/>
      <c r="Y872" s="44"/>
      <c r="Z872" s="44"/>
    </row>
    <row r="873" spans="1:26" ht="15.75" customHeight="1">
      <c r="A873" s="44"/>
      <c r="B873" s="44"/>
      <c r="C873" s="44"/>
      <c r="D873" s="44"/>
      <c r="E873" s="44"/>
      <c r="F873" s="44"/>
      <c r="G873" s="44"/>
      <c r="H873" s="44"/>
      <c r="I873" s="190"/>
      <c r="J873" s="48"/>
      <c r="K873" s="48"/>
      <c r="L873" s="44"/>
      <c r="M873" s="44"/>
      <c r="N873" s="44"/>
      <c r="O873" s="44"/>
      <c r="P873" s="44"/>
      <c r="Q873" s="44"/>
      <c r="R873" s="44"/>
      <c r="S873" s="44"/>
      <c r="T873" s="44"/>
      <c r="U873" s="44"/>
      <c r="V873" s="44"/>
      <c r="W873" s="44"/>
      <c r="X873" s="44"/>
      <c r="Y873" s="44"/>
      <c r="Z873" s="44"/>
    </row>
    <row r="874" spans="1:26" ht="15.75" customHeight="1">
      <c r="A874" s="44"/>
      <c r="B874" s="44"/>
      <c r="C874" s="44"/>
      <c r="D874" s="44"/>
      <c r="E874" s="44"/>
      <c r="F874" s="44"/>
      <c r="G874" s="44"/>
      <c r="H874" s="44"/>
      <c r="I874" s="190"/>
      <c r="J874" s="48"/>
      <c r="K874" s="48"/>
      <c r="L874" s="44"/>
      <c r="M874" s="44"/>
      <c r="N874" s="44"/>
      <c r="O874" s="44"/>
      <c r="P874" s="44"/>
      <c r="Q874" s="44"/>
      <c r="R874" s="44"/>
      <c r="S874" s="44"/>
      <c r="T874" s="44"/>
      <c r="U874" s="44"/>
      <c r="V874" s="44"/>
      <c r="W874" s="44"/>
      <c r="X874" s="44"/>
      <c r="Y874" s="44"/>
      <c r="Z874" s="44"/>
    </row>
    <row r="875" spans="1:26" ht="15.75" customHeight="1">
      <c r="A875" s="44"/>
      <c r="B875" s="44"/>
      <c r="C875" s="44"/>
      <c r="D875" s="44"/>
      <c r="E875" s="44"/>
      <c r="F875" s="44"/>
      <c r="G875" s="44"/>
      <c r="H875" s="44"/>
      <c r="I875" s="190"/>
      <c r="J875" s="48"/>
      <c r="K875" s="48"/>
      <c r="L875" s="44"/>
      <c r="M875" s="44"/>
      <c r="N875" s="44"/>
      <c r="O875" s="44"/>
      <c r="P875" s="44"/>
      <c r="Q875" s="44"/>
      <c r="R875" s="44"/>
      <c r="S875" s="44"/>
      <c r="T875" s="44"/>
      <c r="U875" s="44"/>
      <c r="V875" s="44"/>
      <c r="W875" s="44"/>
      <c r="X875" s="44"/>
      <c r="Y875" s="44"/>
      <c r="Z875" s="44"/>
    </row>
    <row r="876" spans="1:26" ht="15.75" customHeight="1">
      <c r="A876" s="44"/>
      <c r="B876" s="44"/>
      <c r="C876" s="44"/>
      <c r="D876" s="44"/>
      <c r="E876" s="44"/>
      <c r="F876" s="44"/>
      <c r="G876" s="44"/>
      <c r="H876" s="44"/>
      <c r="I876" s="190"/>
      <c r="J876" s="48"/>
      <c r="K876" s="48"/>
      <c r="L876" s="44"/>
      <c r="M876" s="44"/>
      <c r="N876" s="44"/>
      <c r="O876" s="44"/>
      <c r="P876" s="44"/>
      <c r="Q876" s="44"/>
      <c r="R876" s="44"/>
      <c r="S876" s="44"/>
      <c r="T876" s="44"/>
      <c r="U876" s="44"/>
      <c r="V876" s="44"/>
      <c r="W876" s="44"/>
      <c r="X876" s="44"/>
      <c r="Y876" s="44"/>
      <c r="Z876" s="44"/>
    </row>
    <row r="877" spans="1:26" ht="15.75" customHeight="1">
      <c r="A877" s="44"/>
      <c r="B877" s="44"/>
      <c r="C877" s="44"/>
      <c r="D877" s="44"/>
      <c r="E877" s="44"/>
      <c r="F877" s="44"/>
      <c r="G877" s="44"/>
      <c r="H877" s="44"/>
      <c r="I877" s="190"/>
      <c r="J877" s="48"/>
      <c r="K877" s="48"/>
      <c r="L877" s="44"/>
      <c r="M877" s="44"/>
      <c r="N877" s="44"/>
      <c r="O877" s="44"/>
      <c r="P877" s="44"/>
      <c r="Q877" s="44"/>
      <c r="R877" s="44"/>
      <c r="S877" s="44"/>
      <c r="T877" s="44"/>
      <c r="U877" s="44"/>
      <c r="V877" s="44"/>
      <c r="W877" s="44"/>
      <c r="X877" s="44"/>
      <c r="Y877" s="44"/>
      <c r="Z877" s="44"/>
    </row>
    <row r="878" spans="1:26" ht="15.75" customHeight="1">
      <c r="A878" s="44"/>
      <c r="B878" s="44"/>
      <c r="C878" s="44"/>
      <c r="D878" s="44"/>
      <c r="E878" s="44"/>
      <c r="F878" s="44"/>
      <c r="G878" s="44"/>
      <c r="H878" s="44"/>
      <c r="I878" s="190"/>
      <c r="J878" s="48"/>
      <c r="K878" s="48"/>
      <c r="L878" s="44"/>
      <c r="M878" s="44"/>
      <c r="N878" s="44"/>
      <c r="O878" s="44"/>
      <c r="P878" s="44"/>
      <c r="Q878" s="44"/>
      <c r="R878" s="44"/>
      <c r="S878" s="44"/>
      <c r="T878" s="44"/>
      <c r="U878" s="44"/>
      <c r="V878" s="44"/>
      <c r="W878" s="44"/>
      <c r="X878" s="44"/>
      <c r="Y878" s="44"/>
      <c r="Z878" s="44"/>
    </row>
    <row r="879" spans="1:26" ht="15.75" customHeight="1">
      <c r="A879" s="44"/>
      <c r="B879" s="44"/>
      <c r="C879" s="44"/>
      <c r="D879" s="44"/>
      <c r="E879" s="44"/>
      <c r="F879" s="44"/>
      <c r="G879" s="44"/>
      <c r="H879" s="44"/>
      <c r="I879" s="190"/>
      <c r="J879" s="48"/>
      <c r="K879" s="48"/>
      <c r="L879" s="44"/>
      <c r="M879" s="44"/>
      <c r="N879" s="44"/>
      <c r="O879" s="44"/>
      <c r="P879" s="44"/>
      <c r="Q879" s="44"/>
      <c r="R879" s="44"/>
      <c r="S879" s="44"/>
      <c r="T879" s="44"/>
      <c r="U879" s="44"/>
      <c r="V879" s="44"/>
      <c r="W879" s="44"/>
      <c r="X879" s="44"/>
      <c r="Y879" s="44"/>
      <c r="Z879" s="44"/>
    </row>
    <row r="880" spans="1:26" ht="15.75" customHeight="1">
      <c r="A880" s="44"/>
      <c r="B880" s="44"/>
      <c r="C880" s="44"/>
      <c r="D880" s="44"/>
      <c r="E880" s="44"/>
      <c r="F880" s="44"/>
      <c r="G880" s="44"/>
      <c r="H880" s="44"/>
      <c r="I880" s="190"/>
      <c r="J880" s="48"/>
      <c r="K880" s="48"/>
      <c r="L880" s="44"/>
      <c r="M880" s="44"/>
      <c r="N880" s="44"/>
      <c r="O880" s="44"/>
      <c r="P880" s="44"/>
      <c r="Q880" s="44"/>
      <c r="R880" s="44"/>
      <c r="S880" s="44"/>
      <c r="T880" s="44"/>
      <c r="U880" s="44"/>
      <c r="V880" s="44"/>
      <c r="W880" s="44"/>
      <c r="X880" s="44"/>
      <c r="Y880" s="44"/>
      <c r="Z880" s="44"/>
    </row>
    <row r="881" spans="1:26" ht="15.75" customHeight="1">
      <c r="A881" s="44"/>
      <c r="B881" s="44"/>
      <c r="C881" s="44"/>
      <c r="D881" s="44"/>
      <c r="E881" s="44"/>
      <c r="F881" s="44"/>
      <c r="G881" s="44"/>
      <c r="H881" s="44"/>
      <c r="I881" s="190"/>
      <c r="J881" s="48"/>
      <c r="K881" s="48"/>
      <c r="L881" s="44"/>
      <c r="M881" s="44"/>
      <c r="N881" s="44"/>
      <c r="O881" s="44"/>
      <c r="P881" s="44"/>
      <c r="Q881" s="44"/>
      <c r="R881" s="44"/>
      <c r="S881" s="44"/>
      <c r="T881" s="44"/>
      <c r="U881" s="44"/>
      <c r="V881" s="44"/>
      <c r="W881" s="44"/>
      <c r="X881" s="44"/>
      <c r="Y881" s="44"/>
      <c r="Z881" s="44"/>
    </row>
    <row r="882" spans="1:26" ht="15.75" customHeight="1">
      <c r="A882" s="44"/>
      <c r="B882" s="44"/>
      <c r="C882" s="44"/>
      <c r="D882" s="44"/>
      <c r="E882" s="44"/>
      <c r="F882" s="44"/>
      <c r="G882" s="44"/>
      <c r="H882" s="44"/>
      <c r="I882" s="190"/>
      <c r="J882" s="48"/>
      <c r="K882" s="48"/>
      <c r="L882" s="44"/>
      <c r="M882" s="44"/>
      <c r="N882" s="44"/>
      <c r="O882" s="44"/>
      <c r="P882" s="44"/>
      <c r="Q882" s="44"/>
      <c r="R882" s="44"/>
      <c r="S882" s="44"/>
      <c r="T882" s="44"/>
      <c r="U882" s="44"/>
      <c r="V882" s="44"/>
      <c r="W882" s="44"/>
      <c r="X882" s="44"/>
      <c r="Y882" s="44"/>
      <c r="Z882" s="44"/>
    </row>
    <row r="883" spans="1:26" ht="15.75" customHeight="1">
      <c r="A883" s="44"/>
      <c r="B883" s="44"/>
      <c r="C883" s="44"/>
      <c r="D883" s="44"/>
      <c r="E883" s="44"/>
      <c r="F883" s="44"/>
      <c r="G883" s="44"/>
      <c r="H883" s="44"/>
      <c r="I883" s="190"/>
      <c r="J883" s="48"/>
      <c r="K883" s="48"/>
      <c r="L883" s="44"/>
      <c r="M883" s="44"/>
      <c r="N883" s="44"/>
      <c r="O883" s="44"/>
      <c r="P883" s="44"/>
      <c r="Q883" s="44"/>
      <c r="R883" s="44"/>
      <c r="S883" s="44"/>
      <c r="T883" s="44"/>
      <c r="U883" s="44"/>
      <c r="V883" s="44"/>
      <c r="W883" s="44"/>
      <c r="X883" s="44"/>
      <c r="Y883" s="44"/>
      <c r="Z883" s="44"/>
    </row>
    <row r="884" spans="1:26" ht="15.75" customHeight="1">
      <c r="A884" s="44"/>
      <c r="B884" s="44"/>
      <c r="C884" s="44"/>
      <c r="D884" s="44"/>
      <c r="E884" s="44"/>
      <c r="F884" s="44"/>
      <c r="G884" s="44"/>
      <c r="H884" s="44"/>
      <c r="I884" s="190"/>
      <c r="J884" s="48"/>
      <c r="K884" s="48"/>
      <c r="L884" s="44"/>
      <c r="M884" s="44"/>
      <c r="N884" s="44"/>
      <c r="O884" s="44"/>
      <c r="P884" s="44"/>
      <c r="Q884" s="44"/>
      <c r="R884" s="44"/>
      <c r="S884" s="44"/>
      <c r="T884" s="44"/>
      <c r="U884" s="44"/>
      <c r="V884" s="44"/>
      <c r="W884" s="44"/>
      <c r="X884" s="44"/>
      <c r="Y884" s="44"/>
      <c r="Z884" s="44"/>
    </row>
    <row r="885" spans="1:26" ht="15.75" customHeight="1">
      <c r="A885" s="44"/>
      <c r="B885" s="44"/>
      <c r="C885" s="44"/>
      <c r="D885" s="44"/>
      <c r="E885" s="44"/>
      <c r="F885" s="44"/>
      <c r="G885" s="44"/>
      <c r="H885" s="44"/>
      <c r="I885" s="190"/>
      <c r="J885" s="48"/>
      <c r="K885" s="48"/>
      <c r="L885" s="44"/>
      <c r="M885" s="44"/>
      <c r="N885" s="44"/>
      <c r="O885" s="44"/>
      <c r="P885" s="44"/>
      <c r="Q885" s="44"/>
      <c r="R885" s="44"/>
      <c r="S885" s="44"/>
      <c r="T885" s="44"/>
      <c r="U885" s="44"/>
      <c r="V885" s="44"/>
      <c r="W885" s="44"/>
      <c r="X885" s="44"/>
      <c r="Y885" s="44"/>
      <c r="Z885" s="44"/>
    </row>
    <row r="886" spans="1:26" ht="15.75" customHeight="1">
      <c r="A886" s="44"/>
      <c r="B886" s="44"/>
      <c r="C886" s="44"/>
      <c r="D886" s="44"/>
      <c r="E886" s="44"/>
      <c r="F886" s="44"/>
      <c r="G886" s="44"/>
      <c r="H886" s="44"/>
      <c r="I886" s="190"/>
      <c r="J886" s="48"/>
      <c r="K886" s="48"/>
      <c r="L886" s="44"/>
      <c r="M886" s="44"/>
      <c r="N886" s="44"/>
      <c r="O886" s="44"/>
      <c r="P886" s="44"/>
      <c r="Q886" s="44"/>
      <c r="R886" s="44"/>
      <c r="S886" s="44"/>
      <c r="T886" s="44"/>
      <c r="U886" s="44"/>
      <c r="V886" s="44"/>
      <c r="W886" s="44"/>
      <c r="X886" s="44"/>
      <c r="Y886" s="44"/>
      <c r="Z886" s="44"/>
    </row>
    <row r="887" spans="1:26" ht="15.75" customHeight="1">
      <c r="A887" s="44"/>
      <c r="B887" s="44"/>
      <c r="C887" s="44"/>
      <c r="D887" s="44"/>
      <c r="E887" s="44"/>
      <c r="F887" s="44"/>
      <c r="G887" s="44"/>
      <c r="H887" s="44"/>
      <c r="I887" s="190"/>
      <c r="J887" s="48"/>
      <c r="K887" s="48"/>
      <c r="L887" s="44"/>
      <c r="M887" s="44"/>
      <c r="N887" s="44"/>
      <c r="O887" s="44"/>
      <c r="P887" s="44"/>
      <c r="Q887" s="44"/>
      <c r="R887" s="44"/>
      <c r="S887" s="44"/>
      <c r="T887" s="44"/>
      <c r="U887" s="44"/>
      <c r="V887" s="44"/>
      <c r="W887" s="44"/>
      <c r="X887" s="44"/>
      <c r="Y887" s="44"/>
      <c r="Z887" s="44"/>
    </row>
    <row r="888" spans="1:26" ht="15.75" customHeight="1">
      <c r="A888" s="44"/>
      <c r="B888" s="44"/>
      <c r="C888" s="44"/>
      <c r="D888" s="44"/>
      <c r="E888" s="44"/>
      <c r="F888" s="44"/>
      <c r="G888" s="44"/>
      <c r="H888" s="44"/>
      <c r="I888" s="190"/>
      <c r="J888" s="48"/>
      <c r="K888" s="48"/>
      <c r="L888" s="44"/>
      <c r="M888" s="44"/>
      <c r="N888" s="44"/>
      <c r="O888" s="44"/>
      <c r="P888" s="44"/>
      <c r="Q888" s="44"/>
      <c r="R888" s="44"/>
      <c r="S888" s="44"/>
      <c r="T888" s="44"/>
      <c r="U888" s="44"/>
      <c r="V888" s="44"/>
      <c r="W888" s="44"/>
      <c r="X888" s="44"/>
      <c r="Y888" s="44"/>
      <c r="Z888" s="44"/>
    </row>
    <row r="889" spans="1:26" ht="15.75" customHeight="1">
      <c r="A889" s="44"/>
      <c r="B889" s="44"/>
      <c r="C889" s="44"/>
      <c r="D889" s="44"/>
      <c r="E889" s="44"/>
      <c r="F889" s="44"/>
      <c r="G889" s="44"/>
      <c r="H889" s="44"/>
      <c r="I889" s="190"/>
      <c r="J889" s="48"/>
      <c r="K889" s="48"/>
      <c r="L889" s="44"/>
      <c r="M889" s="44"/>
      <c r="N889" s="44"/>
      <c r="O889" s="44"/>
      <c r="P889" s="44"/>
      <c r="Q889" s="44"/>
      <c r="R889" s="44"/>
      <c r="S889" s="44"/>
      <c r="T889" s="44"/>
      <c r="U889" s="44"/>
      <c r="V889" s="44"/>
      <c r="W889" s="44"/>
      <c r="X889" s="44"/>
      <c r="Y889" s="44"/>
      <c r="Z889" s="44"/>
    </row>
    <row r="890" spans="1:26" ht="15.75" customHeight="1">
      <c r="A890" s="44"/>
      <c r="B890" s="44"/>
      <c r="C890" s="44"/>
      <c r="D890" s="44"/>
      <c r="E890" s="44"/>
      <c r="F890" s="44"/>
      <c r="G890" s="44"/>
      <c r="H890" s="44"/>
      <c r="I890" s="190"/>
      <c r="J890" s="48"/>
      <c r="K890" s="48"/>
      <c r="L890" s="44"/>
      <c r="M890" s="44"/>
      <c r="N890" s="44"/>
      <c r="O890" s="44"/>
      <c r="P890" s="44"/>
      <c r="Q890" s="44"/>
      <c r="R890" s="44"/>
      <c r="S890" s="44"/>
      <c r="T890" s="44"/>
      <c r="U890" s="44"/>
      <c r="V890" s="44"/>
      <c r="W890" s="44"/>
      <c r="X890" s="44"/>
      <c r="Y890" s="44"/>
      <c r="Z890" s="44"/>
    </row>
    <row r="891" spans="1:26" ht="15.75" customHeight="1">
      <c r="A891" s="44"/>
      <c r="B891" s="44"/>
      <c r="C891" s="44"/>
      <c r="D891" s="44"/>
      <c r="E891" s="44"/>
      <c r="F891" s="44"/>
      <c r="G891" s="44"/>
      <c r="H891" s="44"/>
      <c r="I891" s="190"/>
      <c r="J891" s="48"/>
      <c r="K891" s="48"/>
      <c r="L891" s="44"/>
      <c r="M891" s="44"/>
      <c r="N891" s="44"/>
      <c r="O891" s="44"/>
      <c r="P891" s="44"/>
      <c r="Q891" s="44"/>
      <c r="R891" s="44"/>
      <c r="S891" s="44"/>
      <c r="T891" s="44"/>
      <c r="U891" s="44"/>
      <c r="V891" s="44"/>
      <c r="W891" s="44"/>
      <c r="X891" s="44"/>
      <c r="Y891" s="44"/>
      <c r="Z891" s="44"/>
    </row>
    <row r="892" spans="1:26" ht="15.75" customHeight="1">
      <c r="A892" s="44"/>
      <c r="B892" s="44"/>
      <c r="C892" s="44"/>
      <c r="D892" s="44"/>
      <c r="E892" s="44"/>
      <c r="F892" s="44"/>
      <c r="G892" s="44"/>
      <c r="H892" s="44"/>
      <c r="I892" s="190"/>
      <c r="J892" s="48"/>
      <c r="K892" s="48"/>
      <c r="L892" s="44"/>
      <c r="M892" s="44"/>
      <c r="N892" s="44"/>
      <c r="O892" s="44"/>
      <c r="P892" s="44"/>
      <c r="Q892" s="44"/>
      <c r="R892" s="44"/>
      <c r="S892" s="44"/>
      <c r="T892" s="44"/>
      <c r="U892" s="44"/>
      <c r="V892" s="44"/>
      <c r="W892" s="44"/>
      <c r="X892" s="44"/>
      <c r="Y892" s="44"/>
      <c r="Z892" s="44"/>
    </row>
    <row r="893" spans="1:26" ht="15.75" customHeight="1">
      <c r="A893" s="44"/>
      <c r="B893" s="44"/>
      <c r="C893" s="44"/>
      <c r="D893" s="44"/>
      <c r="E893" s="44"/>
      <c r="F893" s="44"/>
      <c r="G893" s="44"/>
      <c r="H893" s="44"/>
      <c r="I893" s="190"/>
      <c r="J893" s="48"/>
      <c r="K893" s="48"/>
      <c r="L893" s="44"/>
      <c r="M893" s="44"/>
      <c r="N893" s="44"/>
      <c r="O893" s="44"/>
      <c r="P893" s="44"/>
      <c r="Q893" s="44"/>
      <c r="R893" s="44"/>
      <c r="S893" s="44"/>
      <c r="T893" s="44"/>
      <c r="U893" s="44"/>
      <c r="V893" s="44"/>
      <c r="W893" s="44"/>
      <c r="X893" s="44"/>
      <c r="Y893" s="44"/>
      <c r="Z893" s="44"/>
    </row>
    <row r="894" spans="1:26" ht="15.75" customHeight="1">
      <c r="A894" s="44"/>
      <c r="B894" s="44"/>
      <c r="C894" s="44"/>
      <c r="D894" s="44"/>
      <c r="E894" s="44"/>
      <c r="F894" s="44"/>
      <c r="G894" s="44"/>
      <c r="H894" s="44"/>
      <c r="I894" s="190"/>
      <c r="J894" s="48"/>
      <c r="K894" s="48"/>
      <c r="L894" s="44"/>
      <c r="M894" s="44"/>
      <c r="N894" s="44"/>
      <c r="O894" s="44"/>
      <c r="P894" s="44"/>
      <c r="Q894" s="44"/>
      <c r="R894" s="44"/>
      <c r="S894" s="44"/>
      <c r="T894" s="44"/>
      <c r="U894" s="44"/>
      <c r="V894" s="44"/>
      <c r="W894" s="44"/>
      <c r="X894" s="44"/>
      <c r="Y894" s="44"/>
      <c r="Z894" s="44"/>
    </row>
    <row r="895" spans="1:26" ht="15.75" customHeight="1">
      <c r="A895" s="44"/>
      <c r="B895" s="44"/>
      <c r="C895" s="44"/>
      <c r="D895" s="44"/>
      <c r="E895" s="44"/>
      <c r="F895" s="44"/>
      <c r="G895" s="44"/>
      <c r="H895" s="44"/>
      <c r="I895" s="190"/>
      <c r="J895" s="48"/>
      <c r="K895" s="48"/>
      <c r="L895" s="44"/>
      <c r="M895" s="44"/>
      <c r="N895" s="44"/>
      <c r="O895" s="44"/>
      <c r="P895" s="44"/>
      <c r="Q895" s="44"/>
      <c r="R895" s="44"/>
      <c r="S895" s="44"/>
      <c r="T895" s="44"/>
      <c r="U895" s="44"/>
      <c r="V895" s="44"/>
      <c r="W895" s="44"/>
      <c r="X895" s="44"/>
      <c r="Y895" s="44"/>
      <c r="Z895" s="44"/>
    </row>
    <row r="896" spans="1:26" ht="15.75" customHeight="1">
      <c r="A896" s="44"/>
      <c r="B896" s="44"/>
      <c r="C896" s="44"/>
      <c r="D896" s="44"/>
      <c r="E896" s="44"/>
      <c r="F896" s="44"/>
      <c r="G896" s="44"/>
      <c r="H896" s="44"/>
      <c r="I896" s="190"/>
      <c r="J896" s="48"/>
      <c r="K896" s="48"/>
      <c r="L896" s="44"/>
      <c r="M896" s="44"/>
      <c r="N896" s="44"/>
      <c r="O896" s="44"/>
      <c r="P896" s="44"/>
      <c r="Q896" s="44"/>
      <c r="R896" s="44"/>
      <c r="S896" s="44"/>
      <c r="T896" s="44"/>
      <c r="U896" s="44"/>
      <c r="V896" s="44"/>
      <c r="W896" s="44"/>
      <c r="X896" s="44"/>
      <c r="Y896" s="44"/>
      <c r="Z896" s="44"/>
    </row>
    <row r="897" spans="1:26" ht="15.75" customHeight="1">
      <c r="A897" s="44"/>
      <c r="B897" s="44"/>
      <c r="C897" s="44"/>
      <c r="D897" s="44"/>
      <c r="E897" s="44"/>
      <c r="F897" s="44"/>
      <c r="G897" s="44"/>
      <c r="H897" s="44"/>
      <c r="I897" s="190"/>
      <c r="J897" s="48"/>
      <c r="K897" s="48"/>
      <c r="L897" s="44"/>
      <c r="M897" s="44"/>
      <c r="N897" s="44"/>
      <c r="O897" s="44"/>
      <c r="P897" s="44"/>
      <c r="Q897" s="44"/>
      <c r="R897" s="44"/>
      <c r="S897" s="44"/>
      <c r="T897" s="44"/>
      <c r="U897" s="44"/>
      <c r="V897" s="44"/>
      <c r="W897" s="44"/>
      <c r="X897" s="44"/>
      <c r="Y897" s="44"/>
      <c r="Z897" s="44"/>
    </row>
    <row r="898" spans="1:26" ht="15.75" customHeight="1">
      <c r="A898" s="44"/>
      <c r="B898" s="44"/>
      <c r="C898" s="44"/>
      <c r="D898" s="44"/>
      <c r="E898" s="44"/>
      <c r="F898" s="44"/>
      <c r="G898" s="44"/>
      <c r="H898" s="44"/>
      <c r="I898" s="190"/>
      <c r="J898" s="48"/>
      <c r="K898" s="48"/>
      <c r="L898" s="44"/>
      <c r="M898" s="44"/>
      <c r="N898" s="44"/>
      <c r="O898" s="44"/>
      <c r="P898" s="44"/>
      <c r="Q898" s="44"/>
      <c r="R898" s="44"/>
      <c r="S898" s="44"/>
      <c r="T898" s="44"/>
      <c r="U898" s="44"/>
      <c r="V898" s="44"/>
      <c r="W898" s="44"/>
      <c r="X898" s="44"/>
      <c r="Y898" s="44"/>
      <c r="Z898" s="44"/>
    </row>
    <row r="899" spans="1:26" ht="15.75" customHeight="1">
      <c r="A899" s="44"/>
      <c r="B899" s="44"/>
      <c r="C899" s="44"/>
      <c r="D899" s="44"/>
      <c r="E899" s="44"/>
      <c r="F899" s="44"/>
      <c r="G899" s="44"/>
      <c r="H899" s="44"/>
      <c r="I899" s="190"/>
      <c r="J899" s="48"/>
      <c r="K899" s="48"/>
      <c r="L899" s="44"/>
      <c r="M899" s="44"/>
      <c r="N899" s="44"/>
      <c r="O899" s="44"/>
      <c r="P899" s="44"/>
      <c r="Q899" s="44"/>
      <c r="R899" s="44"/>
      <c r="S899" s="44"/>
      <c r="T899" s="44"/>
      <c r="U899" s="44"/>
      <c r="V899" s="44"/>
      <c r="W899" s="44"/>
      <c r="X899" s="44"/>
      <c r="Y899" s="44"/>
      <c r="Z899" s="44"/>
    </row>
    <row r="900" spans="1:26" ht="15.75" customHeight="1">
      <c r="A900" s="44"/>
      <c r="B900" s="44"/>
      <c r="C900" s="44"/>
      <c r="D900" s="44"/>
      <c r="E900" s="44"/>
      <c r="F900" s="44"/>
      <c r="G900" s="44"/>
      <c r="H900" s="44"/>
      <c r="I900" s="190"/>
      <c r="J900" s="48"/>
      <c r="K900" s="48"/>
      <c r="L900" s="44"/>
      <c r="M900" s="44"/>
      <c r="N900" s="44"/>
      <c r="O900" s="44"/>
      <c r="P900" s="44"/>
      <c r="Q900" s="44"/>
      <c r="R900" s="44"/>
      <c r="S900" s="44"/>
      <c r="T900" s="44"/>
      <c r="U900" s="44"/>
      <c r="V900" s="44"/>
      <c r="W900" s="44"/>
      <c r="X900" s="44"/>
      <c r="Y900" s="44"/>
      <c r="Z900" s="44"/>
    </row>
    <row r="901" spans="1:26" ht="15.75" customHeight="1">
      <c r="A901" s="44"/>
      <c r="B901" s="44"/>
      <c r="C901" s="44"/>
      <c r="D901" s="44"/>
      <c r="E901" s="44"/>
      <c r="F901" s="44"/>
      <c r="G901" s="44"/>
      <c r="H901" s="44"/>
      <c r="I901" s="190"/>
      <c r="J901" s="48"/>
      <c r="K901" s="48"/>
      <c r="L901" s="44"/>
      <c r="M901" s="44"/>
      <c r="N901" s="44"/>
      <c r="O901" s="44"/>
      <c r="P901" s="44"/>
      <c r="Q901" s="44"/>
      <c r="R901" s="44"/>
      <c r="S901" s="44"/>
      <c r="T901" s="44"/>
      <c r="U901" s="44"/>
      <c r="V901" s="44"/>
      <c r="W901" s="44"/>
      <c r="X901" s="44"/>
      <c r="Y901" s="44"/>
      <c r="Z901" s="44"/>
    </row>
    <row r="902" spans="1:26" ht="15.75" customHeight="1">
      <c r="A902" s="44"/>
      <c r="B902" s="44"/>
      <c r="C902" s="44"/>
      <c r="D902" s="44"/>
      <c r="E902" s="44"/>
      <c r="F902" s="44"/>
      <c r="G902" s="44"/>
      <c r="H902" s="44"/>
      <c r="I902" s="190"/>
      <c r="J902" s="48"/>
      <c r="K902" s="48"/>
      <c r="L902" s="44"/>
      <c r="M902" s="44"/>
      <c r="N902" s="44"/>
      <c r="O902" s="44"/>
      <c r="P902" s="44"/>
      <c r="Q902" s="44"/>
      <c r="R902" s="44"/>
      <c r="S902" s="44"/>
      <c r="T902" s="44"/>
      <c r="U902" s="44"/>
      <c r="V902" s="44"/>
      <c r="W902" s="44"/>
      <c r="X902" s="44"/>
      <c r="Y902" s="44"/>
      <c r="Z902" s="44"/>
    </row>
    <row r="903" spans="1:26" ht="15.75" customHeight="1">
      <c r="A903" s="44"/>
      <c r="B903" s="44"/>
      <c r="C903" s="44"/>
      <c r="D903" s="44"/>
      <c r="E903" s="44"/>
      <c r="F903" s="44"/>
      <c r="G903" s="44"/>
      <c r="H903" s="44"/>
      <c r="I903" s="190"/>
      <c r="J903" s="48"/>
      <c r="K903" s="48"/>
      <c r="L903" s="44"/>
      <c r="M903" s="44"/>
      <c r="N903" s="44"/>
      <c r="O903" s="44"/>
      <c r="P903" s="44"/>
      <c r="Q903" s="44"/>
      <c r="R903" s="44"/>
      <c r="S903" s="44"/>
      <c r="T903" s="44"/>
      <c r="U903" s="44"/>
      <c r="V903" s="44"/>
      <c r="W903" s="44"/>
      <c r="X903" s="44"/>
      <c r="Y903" s="44"/>
      <c r="Z903" s="44"/>
    </row>
    <row r="904" spans="1:26" ht="15.75" customHeight="1">
      <c r="A904" s="44"/>
      <c r="B904" s="44"/>
      <c r="C904" s="44"/>
      <c r="D904" s="44"/>
      <c r="E904" s="44"/>
      <c r="F904" s="44"/>
      <c r="G904" s="44"/>
      <c r="H904" s="44"/>
      <c r="I904" s="190"/>
      <c r="J904" s="48"/>
      <c r="K904" s="48"/>
      <c r="L904" s="44"/>
      <c r="M904" s="44"/>
      <c r="N904" s="44"/>
      <c r="O904" s="44"/>
      <c r="P904" s="44"/>
      <c r="Q904" s="44"/>
      <c r="R904" s="44"/>
      <c r="S904" s="44"/>
      <c r="T904" s="44"/>
      <c r="U904" s="44"/>
      <c r="V904" s="44"/>
      <c r="W904" s="44"/>
      <c r="X904" s="44"/>
      <c r="Y904" s="44"/>
      <c r="Z904" s="44"/>
    </row>
    <row r="905" spans="1:26" ht="15.75" customHeight="1">
      <c r="A905" s="44"/>
      <c r="B905" s="44"/>
      <c r="C905" s="44"/>
      <c r="D905" s="44"/>
      <c r="E905" s="44"/>
      <c r="F905" s="44"/>
      <c r="G905" s="44"/>
      <c r="H905" s="44"/>
      <c r="I905" s="190"/>
      <c r="J905" s="48"/>
      <c r="K905" s="48"/>
      <c r="L905" s="44"/>
      <c r="M905" s="44"/>
      <c r="N905" s="44"/>
      <c r="O905" s="44"/>
      <c r="P905" s="44"/>
      <c r="Q905" s="44"/>
      <c r="R905" s="44"/>
      <c r="S905" s="44"/>
      <c r="T905" s="44"/>
      <c r="U905" s="44"/>
      <c r="V905" s="44"/>
      <c r="W905" s="44"/>
      <c r="X905" s="44"/>
      <c r="Y905" s="44"/>
      <c r="Z905" s="44"/>
    </row>
    <row r="906" spans="1:26" ht="15.75" customHeight="1">
      <c r="A906" s="44"/>
      <c r="B906" s="44"/>
      <c r="C906" s="44"/>
      <c r="D906" s="44"/>
      <c r="E906" s="44"/>
      <c r="F906" s="44"/>
      <c r="G906" s="44"/>
      <c r="H906" s="44"/>
      <c r="I906" s="190"/>
      <c r="J906" s="48"/>
      <c r="K906" s="48"/>
      <c r="L906" s="44"/>
      <c r="M906" s="44"/>
      <c r="N906" s="44"/>
      <c r="O906" s="44"/>
      <c r="P906" s="44"/>
      <c r="Q906" s="44"/>
      <c r="R906" s="44"/>
      <c r="S906" s="44"/>
      <c r="T906" s="44"/>
      <c r="U906" s="44"/>
      <c r="V906" s="44"/>
      <c r="W906" s="44"/>
      <c r="X906" s="44"/>
      <c r="Y906" s="44"/>
      <c r="Z906" s="44"/>
    </row>
    <row r="907" spans="1:26" ht="15.75" customHeight="1">
      <c r="A907" s="44"/>
      <c r="B907" s="44"/>
      <c r="C907" s="44"/>
      <c r="D907" s="44"/>
      <c r="E907" s="44"/>
      <c r="F907" s="44"/>
      <c r="G907" s="44"/>
      <c r="H907" s="44"/>
      <c r="I907" s="190"/>
      <c r="J907" s="48"/>
      <c r="K907" s="48"/>
      <c r="L907" s="44"/>
      <c r="M907" s="44"/>
      <c r="N907" s="44"/>
      <c r="O907" s="44"/>
      <c r="P907" s="44"/>
      <c r="Q907" s="44"/>
      <c r="R907" s="44"/>
      <c r="S907" s="44"/>
      <c r="T907" s="44"/>
      <c r="U907" s="44"/>
      <c r="V907" s="44"/>
      <c r="W907" s="44"/>
      <c r="X907" s="44"/>
      <c r="Y907" s="44"/>
      <c r="Z907" s="44"/>
    </row>
    <row r="908" spans="1:26" ht="15.75" customHeight="1">
      <c r="A908" s="44"/>
      <c r="B908" s="44"/>
      <c r="C908" s="44"/>
      <c r="D908" s="44"/>
      <c r="E908" s="44"/>
      <c r="F908" s="44"/>
      <c r="G908" s="44"/>
      <c r="H908" s="44"/>
      <c r="I908" s="190"/>
      <c r="J908" s="48"/>
      <c r="K908" s="48"/>
      <c r="L908" s="44"/>
      <c r="M908" s="44"/>
      <c r="N908" s="44"/>
      <c r="O908" s="44"/>
      <c r="P908" s="44"/>
      <c r="Q908" s="44"/>
      <c r="R908" s="44"/>
      <c r="S908" s="44"/>
      <c r="T908" s="44"/>
      <c r="U908" s="44"/>
      <c r="V908" s="44"/>
      <c r="W908" s="44"/>
      <c r="X908" s="44"/>
      <c r="Y908" s="44"/>
      <c r="Z908" s="44"/>
    </row>
    <row r="909" spans="1:26" ht="15.75" customHeight="1">
      <c r="A909" s="44"/>
      <c r="B909" s="44"/>
      <c r="C909" s="44"/>
      <c r="D909" s="44"/>
      <c r="E909" s="44"/>
      <c r="F909" s="44"/>
      <c r="G909" s="44"/>
      <c r="H909" s="44"/>
      <c r="I909" s="190"/>
      <c r="J909" s="48"/>
      <c r="K909" s="48"/>
      <c r="L909" s="44"/>
      <c r="M909" s="44"/>
      <c r="N909" s="44"/>
      <c r="O909" s="44"/>
      <c r="P909" s="44"/>
      <c r="Q909" s="44"/>
      <c r="R909" s="44"/>
      <c r="S909" s="44"/>
      <c r="T909" s="44"/>
      <c r="U909" s="44"/>
      <c r="V909" s="44"/>
      <c r="W909" s="44"/>
      <c r="X909" s="44"/>
      <c r="Y909" s="44"/>
      <c r="Z909" s="44"/>
    </row>
    <row r="910" spans="1:26" ht="15.75" customHeight="1">
      <c r="A910" s="44"/>
      <c r="B910" s="44"/>
      <c r="C910" s="44"/>
      <c r="D910" s="44"/>
      <c r="E910" s="44"/>
      <c r="F910" s="44"/>
      <c r="G910" s="44"/>
      <c r="H910" s="44"/>
      <c r="I910" s="190"/>
      <c r="J910" s="48"/>
      <c r="K910" s="48"/>
      <c r="L910" s="44"/>
      <c r="M910" s="44"/>
      <c r="N910" s="44"/>
      <c r="O910" s="44"/>
      <c r="P910" s="44"/>
      <c r="Q910" s="44"/>
      <c r="R910" s="44"/>
      <c r="S910" s="44"/>
      <c r="T910" s="44"/>
      <c r="U910" s="44"/>
      <c r="V910" s="44"/>
      <c r="W910" s="44"/>
      <c r="X910" s="44"/>
      <c r="Y910" s="44"/>
      <c r="Z910" s="44"/>
    </row>
    <row r="911" spans="1:26" ht="15.75" customHeight="1">
      <c r="A911" s="44"/>
      <c r="B911" s="44"/>
      <c r="C911" s="44"/>
      <c r="D911" s="44"/>
      <c r="E911" s="44"/>
      <c r="F911" s="44"/>
      <c r="G911" s="44"/>
      <c r="H911" s="44"/>
      <c r="I911" s="190"/>
      <c r="J911" s="48"/>
      <c r="K911" s="48"/>
      <c r="L911" s="44"/>
      <c r="M911" s="44"/>
      <c r="N911" s="44"/>
      <c r="O911" s="44"/>
      <c r="P911" s="44"/>
      <c r="Q911" s="44"/>
      <c r="R911" s="44"/>
      <c r="S911" s="44"/>
      <c r="T911" s="44"/>
      <c r="U911" s="44"/>
      <c r="V911" s="44"/>
      <c r="W911" s="44"/>
      <c r="X911" s="44"/>
      <c r="Y911" s="44"/>
      <c r="Z911" s="44"/>
    </row>
    <row r="912" spans="1:26" ht="15.75" customHeight="1">
      <c r="A912" s="44"/>
      <c r="B912" s="44"/>
      <c r="C912" s="44"/>
      <c r="D912" s="44"/>
      <c r="E912" s="44"/>
      <c r="F912" s="44"/>
      <c r="G912" s="44"/>
      <c r="H912" s="44"/>
      <c r="I912" s="190"/>
      <c r="J912" s="48"/>
      <c r="K912" s="48"/>
      <c r="L912" s="44"/>
      <c r="M912" s="44"/>
      <c r="N912" s="44"/>
      <c r="O912" s="44"/>
      <c r="P912" s="44"/>
      <c r="Q912" s="44"/>
      <c r="R912" s="44"/>
      <c r="S912" s="44"/>
      <c r="T912" s="44"/>
      <c r="U912" s="44"/>
      <c r="V912" s="44"/>
      <c r="W912" s="44"/>
      <c r="X912" s="44"/>
      <c r="Y912" s="44"/>
      <c r="Z912" s="44"/>
    </row>
    <row r="913" spans="1:26" ht="15.75" customHeight="1">
      <c r="A913" s="44"/>
      <c r="B913" s="44"/>
      <c r="C913" s="44"/>
      <c r="D913" s="44"/>
      <c r="E913" s="44"/>
      <c r="F913" s="44"/>
      <c r="G913" s="44"/>
      <c r="H913" s="44"/>
      <c r="I913" s="190"/>
      <c r="J913" s="48"/>
      <c r="K913" s="48"/>
      <c r="L913" s="44"/>
      <c r="M913" s="44"/>
      <c r="N913" s="44"/>
      <c r="O913" s="44"/>
      <c r="P913" s="44"/>
      <c r="Q913" s="44"/>
      <c r="R913" s="44"/>
      <c r="S913" s="44"/>
      <c r="T913" s="44"/>
      <c r="U913" s="44"/>
      <c r="V913" s="44"/>
      <c r="W913" s="44"/>
      <c r="X913" s="44"/>
      <c r="Y913" s="44"/>
      <c r="Z913" s="44"/>
    </row>
    <row r="914" spans="1:26" ht="15.75" customHeight="1">
      <c r="A914" s="44"/>
      <c r="B914" s="44"/>
      <c r="C914" s="44"/>
      <c r="D914" s="44"/>
      <c r="E914" s="44"/>
      <c r="F914" s="44"/>
      <c r="G914" s="44"/>
      <c r="H914" s="44"/>
      <c r="I914" s="190"/>
      <c r="J914" s="48"/>
      <c r="K914" s="48"/>
      <c r="L914" s="44"/>
      <c r="M914" s="44"/>
      <c r="N914" s="44"/>
      <c r="O914" s="44"/>
      <c r="P914" s="44"/>
      <c r="Q914" s="44"/>
      <c r="R914" s="44"/>
      <c r="S914" s="44"/>
      <c r="T914" s="44"/>
      <c r="U914" s="44"/>
      <c r="V914" s="44"/>
      <c r="W914" s="44"/>
      <c r="X914" s="44"/>
      <c r="Y914" s="44"/>
      <c r="Z914" s="44"/>
    </row>
    <row r="915" spans="1:26" ht="15.75" customHeight="1">
      <c r="A915" s="44"/>
      <c r="B915" s="44"/>
      <c r="C915" s="44"/>
      <c r="D915" s="44"/>
      <c r="E915" s="44"/>
      <c r="F915" s="44"/>
      <c r="G915" s="44"/>
      <c r="H915" s="44"/>
      <c r="I915" s="190"/>
      <c r="J915" s="48"/>
      <c r="K915" s="48"/>
      <c r="L915" s="44"/>
      <c r="M915" s="44"/>
      <c r="N915" s="44"/>
      <c r="O915" s="44"/>
      <c r="P915" s="44"/>
      <c r="Q915" s="44"/>
      <c r="R915" s="44"/>
      <c r="S915" s="44"/>
      <c r="T915" s="44"/>
      <c r="U915" s="44"/>
      <c r="V915" s="44"/>
      <c r="W915" s="44"/>
      <c r="X915" s="44"/>
      <c r="Y915" s="44"/>
      <c r="Z915" s="44"/>
    </row>
    <row r="916" spans="1:26" ht="15.75" customHeight="1">
      <c r="A916" s="44"/>
      <c r="B916" s="44"/>
      <c r="C916" s="44"/>
      <c r="D916" s="44"/>
      <c r="E916" s="44"/>
      <c r="F916" s="44"/>
      <c r="G916" s="44"/>
      <c r="H916" s="44"/>
      <c r="I916" s="190"/>
      <c r="J916" s="48"/>
      <c r="K916" s="48"/>
      <c r="L916" s="44"/>
      <c r="M916" s="44"/>
      <c r="N916" s="44"/>
      <c r="O916" s="44"/>
      <c r="P916" s="44"/>
      <c r="Q916" s="44"/>
      <c r="R916" s="44"/>
      <c r="S916" s="44"/>
      <c r="T916" s="44"/>
      <c r="U916" s="44"/>
      <c r="V916" s="44"/>
      <c r="W916" s="44"/>
      <c r="X916" s="44"/>
      <c r="Y916" s="44"/>
      <c r="Z916" s="44"/>
    </row>
    <row r="917" spans="1:26" ht="15.75" customHeight="1">
      <c r="A917" s="44"/>
      <c r="B917" s="44"/>
      <c r="C917" s="44"/>
      <c r="D917" s="44"/>
      <c r="E917" s="44"/>
      <c r="F917" s="44"/>
      <c r="G917" s="44"/>
      <c r="H917" s="44"/>
      <c r="I917" s="190"/>
      <c r="J917" s="48"/>
      <c r="K917" s="48"/>
      <c r="L917" s="44"/>
      <c r="M917" s="44"/>
      <c r="N917" s="44"/>
      <c r="O917" s="44"/>
      <c r="P917" s="44"/>
      <c r="Q917" s="44"/>
      <c r="R917" s="44"/>
      <c r="S917" s="44"/>
      <c r="T917" s="44"/>
      <c r="U917" s="44"/>
      <c r="V917" s="44"/>
      <c r="W917" s="44"/>
      <c r="X917" s="44"/>
      <c r="Y917" s="44"/>
      <c r="Z917" s="44"/>
    </row>
    <row r="918" spans="1:26" ht="15.75" customHeight="1">
      <c r="A918" s="44"/>
      <c r="B918" s="44"/>
      <c r="C918" s="44"/>
      <c r="D918" s="44"/>
      <c r="E918" s="44"/>
      <c r="F918" s="44"/>
      <c r="G918" s="44"/>
      <c r="H918" s="44"/>
      <c r="I918" s="190"/>
      <c r="J918" s="48"/>
      <c r="K918" s="48"/>
      <c r="L918" s="44"/>
      <c r="M918" s="44"/>
      <c r="N918" s="44"/>
      <c r="O918" s="44"/>
      <c r="P918" s="44"/>
      <c r="Q918" s="44"/>
      <c r="R918" s="44"/>
      <c r="S918" s="44"/>
      <c r="T918" s="44"/>
      <c r="U918" s="44"/>
      <c r="V918" s="44"/>
      <c r="W918" s="44"/>
      <c r="X918" s="44"/>
      <c r="Y918" s="44"/>
      <c r="Z918" s="44"/>
    </row>
    <row r="919" spans="1:26" ht="15.75" customHeight="1">
      <c r="A919" s="44"/>
      <c r="B919" s="44"/>
      <c r="C919" s="44"/>
      <c r="D919" s="44"/>
      <c r="E919" s="44"/>
      <c r="F919" s="44"/>
      <c r="G919" s="44"/>
      <c r="H919" s="44"/>
      <c r="I919" s="190"/>
      <c r="J919" s="48"/>
      <c r="K919" s="48"/>
      <c r="L919" s="44"/>
      <c r="M919" s="44"/>
      <c r="N919" s="44"/>
      <c r="O919" s="44"/>
      <c r="P919" s="44"/>
      <c r="Q919" s="44"/>
      <c r="R919" s="44"/>
      <c r="S919" s="44"/>
      <c r="T919" s="44"/>
      <c r="U919" s="44"/>
      <c r="V919" s="44"/>
      <c r="W919" s="44"/>
      <c r="X919" s="44"/>
      <c r="Y919" s="44"/>
      <c r="Z919" s="44"/>
    </row>
    <row r="920" spans="1:26" ht="15.75" customHeight="1">
      <c r="A920" s="44"/>
      <c r="B920" s="44"/>
      <c r="C920" s="44"/>
      <c r="D920" s="44"/>
      <c r="E920" s="44"/>
      <c r="F920" s="44"/>
      <c r="G920" s="44"/>
      <c r="H920" s="44"/>
      <c r="I920" s="190"/>
      <c r="J920" s="48"/>
      <c r="K920" s="48"/>
      <c r="L920" s="44"/>
      <c r="M920" s="44"/>
      <c r="N920" s="44"/>
      <c r="O920" s="44"/>
      <c r="P920" s="44"/>
      <c r="Q920" s="44"/>
      <c r="R920" s="44"/>
      <c r="S920" s="44"/>
      <c r="T920" s="44"/>
      <c r="U920" s="44"/>
      <c r="V920" s="44"/>
      <c r="W920" s="44"/>
      <c r="X920" s="44"/>
      <c r="Y920" s="44"/>
      <c r="Z920" s="44"/>
    </row>
    <row r="921" spans="1:26" ht="15.75" customHeight="1">
      <c r="A921" s="44"/>
      <c r="B921" s="44"/>
      <c r="C921" s="44"/>
      <c r="D921" s="44"/>
      <c r="E921" s="44"/>
      <c r="F921" s="44"/>
      <c r="G921" s="44"/>
      <c r="H921" s="44"/>
      <c r="I921" s="190"/>
      <c r="J921" s="48"/>
      <c r="K921" s="48"/>
      <c r="L921" s="44"/>
      <c r="M921" s="44"/>
      <c r="N921" s="44"/>
      <c r="O921" s="44"/>
      <c r="P921" s="44"/>
      <c r="Q921" s="44"/>
      <c r="R921" s="44"/>
      <c r="S921" s="44"/>
      <c r="T921" s="44"/>
      <c r="U921" s="44"/>
      <c r="V921" s="44"/>
      <c r="W921" s="44"/>
      <c r="X921" s="44"/>
      <c r="Y921" s="44"/>
      <c r="Z921" s="44"/>
    </row>
    <row r="922" spans="1:26" ht="15.75" customHeight="1">
      <c r="A922" s="44"/>
      <c r="B922" s="44"/>
      <c r="C922" s="44"/>
      <c r="D922" s="44"/>
      <c r="E922" s="44"/>
      <c r="F922" s="44"/>
      <c r="G922" s="44"/>
      <c r="H922" s="44"/>
      <c r="I922" s="190"/>
      <c r="J922" s="48"/>
      <c r="K922" s="48"/>
      <c r="L922" s="44"/>
      <c r="M922" s="44"/>
      <c r="N922" s="44"/>
      <c r="O922" s="44"/>
      <c r="P922" s="44"/>
      <c r="Q922" s="44"/>
      <c r="R922" s="44"/>
      <c r="S922" s="44"/>
      <c r="T922" s="44"/>
      <c r="U922" s="44"/>
      <c r="V922" s="44"/>
      <c r="W922" s="44"/>
      <c r="X922" s="44"/>
      <c r="Y922" s="44"/>
      <c r="Z922" s="44"/>
    </row>
    <row r="923" spans="1:26" ht="15.75" customHeight="1">
      <c r="A923" s="44"/>
      <c r="B923" s="44"/>
      <c r="C923" s="44"/>
      <c r="D923" s="44"/>
      <c r="E923" s="44"/>
      <c r="F923" s="44"/>
      <c r="G923" s="44"/>
      <c r="H923" s="44"/>
      <c r="I923" s="190"/>
      <c r="J923" s="48"/>
      <c r="K923" s="48"/>
      <c r="L923" s="44"/>
      <c r="M923" s="44"/>
      <c r="N923" s="44"/>
      <c r="O923" s="44"/>
      <c r="P923" s="44"/>
      <c r="Q923" s="44"/>
      <c r="R923" s="44"/>
      <c r="S923" s="44"/>
      <c r="T923" s="44"/>
      <c r="U923" s="44"/>
      <c r="V923" s="44"/>
      <c r="W923" s="44"/>
      <c r="X923" s="44"/>
      <c r="Y923" s="44"/>
      <c r="Z923" s="44"/>
    </row>
    <row r="924" spans="1:26" ht="15.75" customHeight="1">
      <c r="A924" s="44"/>
      <c r="B924" s="44"/>
      <c r="C924" s="44"/>
      <c r="D924" s="44"/>
      <c r="E924" s="44"/>
      <c r="F924" s="44"/>
      <c r="G924" s="44"/>
      <c r="H924" s="44"/>
      <c r="I924" s="190"/>
      <c r="J924" s="48"/>
      <c r="K924" s="48"/>
      <c r="L924" s="44"/>
      <c r="M924" s="44"/>
      <c r="N924" s="44"/>
      <c r="O924" s="44"/>
      <c r="P924" s="44"/>
      <c r="Q924" s="44"/>
      <c r="R924" s="44"/>
      <c r="S924" s="44"/>
      <c r="T924" s="44"/>
      <c r="U924" s="44"/>
      <c r="V924" s="44"/>
      <c r="W924" s="44"/>
      <c r="X924" s="44"/>
      <c r="Y924" s="44"/>
      <c r="Z924" s="44"/>
    </row>
    <row r="925" spans="1:26" ht="15.75" customHeight="1">
      <c r="A925" s="44"/>
      <c r="B925" s="44"/>
      <c r="C925" s="44"/>
      <c r="D925" s="44"/>
      <c r="E925" s="44"/>
      <c r="F925" s="44"/>
      <c r="G925" s="44"/>
      <c r="H925" s="44"/>
      <c r="I925" s="190"/>
      <c r="J925" s="48"/>
      <c r="K925" s="48"/>
      <c r="L925" s="44"/>
      <c r="M925" s="44"/>
      <c r="N925" s="44"/>
      <c r="O925" s="44"/>
      <c r="P925" s="44"/>
      <c r="Q925" s="44"/>
      <c r="R925" s="44"/>
      <c r="S925" s="44"/>
      <c r="T925" s="44"/>
      <c r="U925" s="44"/>
      <c r="V925" s="44"/>
      <c r="W925" s="44"/>
      <c r="X925" s="44"/>
      <c r="Y925" s="44"/>
      <c r="Z925" s="44"/>
    </row>
    <row r="926" spans="1:26" ht="15.75" customHeight="1">
      <c r="A926" s="44"/>
      <c r="B926" s="44"/>
      <c r="C926" s="44"/>
      <c r="D926" s="44"/>
      <c r="E926" s="44"/>
      <c r="F926" s="44"/>
      <c r="G926" s="44"/>
      <c r="H926" s="44"/>
      <c r="I926" s="190"/>
      <c r="J926" s="48"/>
      <c r="K926" s="48"/>
      <c r="L926" s="44"/>
      <c r="M926" s="44"/>
      <c r="N926" s="44"/>
      <c r="O926" s="44"/>
      <c r="P926" s="44"/>
      <c r="Q926" s="44"/>
      <c r="R926" s="44"/>
      <c r="S926" s="44"/>
      <c r="T926" s="44"/>
      <c r="U926" s="44"/>
      <c r="V926" s="44"/>
      <c r="W926" s="44"/>
      <c r="X926" s="44"/>
      <c r="Y926" s="44"/>
      <c r="Z926" s="44"/>
    </row>
    <row r="927" spans="1:26" ht="15.75" customHeight="1">
      <c r="A927" s="44"/>
      <c r="B927" s="44"/>
      <c r="C927" s="44"/>
      <c r="D927" s="44"/>
      <c r="E927" s="44"/>
      <c r="F927" s="44"/>
      <c r="G927" s="44"/>
      <c r="H927" s="44"/>
      <c r="I927" s="190"/>
      <c r="J927" s="48"/>
      <c r="K927" s="48"/>
      <c r="L927" s="44"/>
      <c r="M927" s="44"/>
      <c r="N927" s="44"/>
      <c r="O927" s="44"/>
      <c r="P927" s="44"/>
      <c r="Q927" s="44"/>
      <c r="R927" s="44"/>
      <c r="S927" s="44"/>
      <c r="T927" s="44"/>
      <c r="U927" s="44"/>
      <c r="V927" s="44"/>
      <c r="W927" s="44"/>
      <c r="X927" s="44"/>
      <c r="Y927" s="44"/>
      <c r="Z927" s="44"/>
    </row>
    <row r="928" spans="1:26" ht="15.75" customHeight="1">
      <c r="A928" s="44"/>
      <c r="B928" s="44"/>
      <c r="C928" s="44"/>
      <c r="D928" s="44"/>
      <c r="E928" s="44"/>
      <c r="F928" s="44"/>
      <c r="G928" s="44"/>
      <c r="H928" s="44"/>
      <c r="I928" s="190"/>
      <c r="J928" s="48"/>
      <c r="K928" s="48"/>
      <c r="L928" s="44"/>
      <c r="M928" s="44"/>
      <c r="N928" s="44"/>
      <c r="O928" s="44"/>
      <c r="P928" s="44"/>
      <c r="Q928" s="44"/>
      <c r="R928" s="44"/>
      <c r="S928" s="44"/>
      <c r="T928" s="44"/>
      <c r="U928" s="44"/>
      <c r="V928" s="44"/>
      <c r="W928" s="44"/>
      <c r="X928" s="44"/>
      <c r="Y928" s="44"/>
      <c r="Z928" s="44"/>
    </row>
    <row r="929" spans="1:26" ht="15.75" customHeight="1">
      <c r="A929" s="44"/>
      <c r="B929" s="44"/>
      <c r="C929" s="44"/>
      <c r="D929" s="44"/>
      <c r="E929" s="44"/>
      <c r="F929" s="44"/>
      <c r="G929" s="44"/>
      <c r="H929" s="44"/>
      <c r="I929" s="190"/>
      <c r="J929" s="48"/>
      <c r="K929" s="48"/>
      <c r="L929" s="44"/>
      <c r="M929" s="44"/>
      <c r="N929" s="44"/>
      <c r="O929" s="44"/>
      <c r="P929" s="44"/>
      <c r="Q929" s="44"/>
      <c r="R929" s="44"/>
      <c r="S929" s="44"/>
      <c r="T929" s="44"/>
      <c r="U929" s="44"/>
      <c r="V929" s="44"/>
      <c r="W929" s="44"/>
      <c r="X929" s="44"/>
      <c r="Y929" s="44"/>
      <c r="Z929" s="44"/>
    </row>
    <row r="930" spans="1:26" ht="15.75" customHeight="1">
      <c r="A930" s="44"/>
      <c r="B930" s="44"/>
      <c r="C930" s="44"/>
      <c r="D930" s="44"/>
      <c r="E930" s="44"/>
      <c r="F930" s="44"/>
      <c r="G930" s="44"/>
      <c r="H930" s="44"/>
      <c r="I930" s="190"/>
      <c r="J930" s="48"/>
      <c r="K930" s="48"/>
      <c r="L930" s="44"/>
      <c r="M930" s="44"/>
      <c r="N930" s="44"/>
      <c r="O930" s="44"/>
      <c r="P930" s="44"/>
      <c r="Q930" s="44"/>
      <c r="R930" s="44"/>
      <c r="S930" s="44"/>
      <c r="T930" s="44"/>
      <c r="U930" s="44"/>
      <c r="V930" s="44"/>
      <c r="W930" s="44"/>
      <c r="X930" s="44"/>
      <c r="Y930" s="44"/>
      <c r="Z930" s="44"/>
    </row>
    <row r="931" spans="1:26" ht="15.75" customHeight="1">
      <c r="A931" s="44"/>
      <c r="B931" s="44"/>
      <c r="C931" s="44"/>
      <c r="D931" s="44"/>
      <c r="E931" s="44"/>
      <c r="F931" s="44"/>
      <c r="G931" s="44"/>
      <c r="H931" s="44"/>
      <c r="I931" s="190"/>
      <c r="J931" s="48"/>
      <c r="K931" s="48"/>
      <c r="L931" s="44"/>
      <c r="M931" s="44"/>
      <c r="N931" s="44"/>
      <c r="O931" s="44"/>
      <c r="P931" s="44"/>
      <c r="Q931" s="44"/>
      <c r="R931" s="44"/>
      <c r="S931" s="44"/>
      <c r="T931" s="44"/>
      <c r="U931" s="44"/>
      <c r="V931" s="44"/>
      <c r="W931" s="44"/>
      <c r="X931" s="44"/>
      <c r="Y931" s="44"/>
      <c r="Z931" s="44"/>
    </row>
    <row r="932" spans="1:26" ht="15.75" customHeight="1">
      <c r="A932" s="44"/>
      <c r="B932" s="44"/>
      <c r="C932" s="44"/>
      <c r="D932" s="44"/>
      <c r="E932" s="44"/>
      <c r="F932" s="44"/>
      <c r="G932" s="44"/>
      <c r="H932" s="44"/>
      <c r="I932" s="190"/>
      <c r="J932" s="48"/>
      <c r="K932" s="48"/>
      <c r="L932" s="44"/>
      <c r="M932" s="44"/>
      <c r="N932" s="44"/>
      <c r="O932" s="44"/>
      <c r="P932" s="44"/>
      <c r="Q932" s="44"/>
      <c r="R932" s="44"/>
      <c r="S932" s="44"/>
      <c r="T932" s="44"/>
      <c r="U932" s="44"/>
      <c r="V932" s="44"/>
      <c r="W932" s="44"/>
      <c r="X932" s="44"/>
      <c r="Y932" s="44"/>
      <c r="Z932" s="44"/>
    </row>
    <row r="933" spans="1:26" ht="15.75" customHeight="1">
      <c r="A933" s="44"/>
      <c r="B933" s="44"/>
      <c r="C933" s="44"/>
      <c r="D933" s="44"/>
      <c r="E933" s="44"/>
      <c r="F933" s="44"/>
      <c r="G933" s="44"/>
      <c r="H933" s="44"/>
      <c r="I933" s="190"/>
      <c r="J933" s="48"/>
      <c r="K933" s="48"/>
      <c r="L933" s="44"/>
      <c r="M933" s="44"/>
      <c r="N933" s="44"/>
      <c r="O933" s="44"/>
      <c r="P933" s="44"/>
      <c r="Q933" s="44"/>
      <c r="R933" s="44"/>
      <c r="S933" s="44"/>
      <c r="T933" s="44"/>
      <c r="U933" s="44"/>
      <c r="V933" s="44"/>
      <c r="W933" s="44"/>
      <c r="X933" s="44"/>
      <c r="Y933" s="44"/>
      <c r="Z933" s="44"/>
    </row>
    <row r="934" spans="1:26" ht="15.75" customHeight="1">
      <c r="A934" s="44"/>
      <c r="B934" s="44"/>
      <c r="C934" s="44"/>
      <c r="D934" s="44"/>
      <c r="E934" s="44"/>
      <c r="F934" s="44"/>
      <c r="G934" s="44"/>
      <c r="H934" s="44"/>
      <c r="I934" s="190"/>
      <c r="J934" s="48"/>
      <c r="K934" s="48"/>
      <c r="L934" s="44"/>
      <c r="M934" s="44"/>
      <c r="N934" s="44"/>
      <c r="O934" s="44"/>
      <c r="P934" s="44"/>
      <c r="Q934" s="44"/>
      <c r="R934" s="44"/>
      <c r="S934" s="44"/>
      <c r="T934" s="44"/>
      <c r="U934" s="44"/>
      <c r="V934" s="44"/>
      <c r="W934" s="44"/>
      <c r="X934" s="44"/>
      <c r="Y934" s="44"/>
      <c r="Z934" s="44"/>
    </row>
    <row r="935" spans="1:26" ht="15.75" customHeight="1">
      <c r="A935" s="44"/>
      <c r="B935" s="44"/>
      <c r="C935" s="44"/>
      <c r="D935" s="44"/>
      <c r="E935" s="44"/>
      <c r="F935" s="44"/>
      <c r="G935" s="44"/>
      <c r="H935" s="44"/>
      <c r="I935" s="190"/>
      <c r="J935" s="48"/>
      <c r="K935" s="48"/>
      <c r="L935" s="44"/>
      <c r="M935" s="44"/>
      <c r="N935" s="44"/>
      <c r="O935" s="44"/>
      <c r="P935" s="44"/>
      <c r="Q935" s="44"/>
      <c r="R935" s="44"/>
      <c r="S935" s="44"/>
      <c r="T935" s="44"/>
      <c r="U935" s="44"/>
      <c r="V935" s="44"/>
      <c r="W935" s="44"/>
      <c r="X935" s="44"/>
      <c r="Y935" s="44"/>
      <c r="Z935" s="44"/>
    </row>
    <row r="936" spans="1:26" ht="15.75" customHeight="1">
      <c r="A936" s="44"/>
      <c r="B936" s="44"/>
      <c r="C936" s="44"/>
      <c r="D936" s="44"/>
      <c r="E936" s="44"/>
      <c r="F936" s="44"/>
      <c r="G936" s="44"/>
      <c r="H936" s="44"/>
      <c r="I936" s="190"/>
      <c r="J936" s="48"/>
      <c r="K936" s="48"/>
      <c r="L936" s="44"/>
      <c r="M936" s="44"/>
      <c r="N936" s="44"/>
      <c r="O936" s="44"/>
      <c r="P936" s="44"/>
      <c r="Q936" s="44"/>
      <c r="R936" s="44"/>
      <c r="S936" s="44"/>
      <c r="T936" s="44"/>
      <c r="U936" s="44"/>
      <c r="V936" s="44"/>
      <c r="W936" s="44"/>
      <c r="X936" s="44"/>
      <c r="Y936" s="44"/>
      <c r="Z936" s="44"/>
    </row>
    <row r="937" spans="1:26" ht="15.75" customHeight="1">
      <c r="A937" s="44"/>
      <c r="B937" s="44"/>
      <c r="C937" s="44"/>
      <c r="D937" s="44"/>
      <c r="E937" s="44"/>
      <c r="F937" s="44"/>
      <c r="G937" s="44"/>
      <c r="H937" s="44"/>
      <c r="I937" s="190"/>
      <c r="J937" s="48"/>
      <c r="K937" s="48"/>
      <c r="L937" s="44"/>
      <c r="M937" s="44"/>
      <c r="N937" s="44"/>
      <c r="O937" s="44"/>
      <c r="P937" s="44"/>
      <c r="Q937" s="44"/>
      <c r="R937" s="44"/>
      <c r="S937" s="44"/>
      <c r="T937" s="44"/>
      <c r="U937" s="44"/>
      <c r="V937" s="44"/>
      <c r="W937" s="44"/>
      <c r="X937" s="44"/>
      <c r="Y937" s="44"/>
      <c r="Z937" s="44"/>
    </row>
    <row r="938" spans="1:26" ht="15.75" customHeight="1">
      <c r="A938" s="44"/>
      <c r="B938" s="44"/>
      <c r="C938" s="44"/>
      <c r="D938" s="44"/>
      <c r="E938" s="44"/>
      <c r="F938" s="44"/>
      <c r="G938" s="44"/>
      <c r="H938" s="44"/>
      <c r="I938" s="190"/>
      <c r="J938" s="48"/>
      <c r="K938" s="48"/>
      <c r="L938" s="44"/>
      <c r="M938" s="44"/>
      <c r="N938" s="44"/>
      <c r="O938" s="44"/>
      <c r="P938" s="44"/>
      <c r="Q938" s="44"/>
      <c r="R938" s="44"/>
      <c r="S938" s="44"/>
      <c r="T938" s="44"/>
      <c r="U938" s="44"/>
      <c r="V938" s="44"/>
      <c r="W938" s="44"/>
      <c r="X938" s="44"/>
      <c r="Y938" s="44"/>
      <c r="Z938" s="44"/>
    </row>
    <row r="939" spans="1:26" ht="15.75" customHeight="1">
      <c r="A939" s="44"/>
      <c r="B939" s="44"/>
      <c r="C939" s="44"/>
      <c r="D939" s="44"/>
      <c r="E939" s="44"/>
      <c r="F939" s="44"/>
      <c r="G939" s="44"/>
      <c r="H939" s="44"/>
      <c r="I939" s="190"/>
      <c r="J939" s="48"/>
      <c r="K939" s="48"/>
      <c r="L939" s="44"/>
      <c r="M939" s="44"/>
      <c r="N939" s="44"/>
      <c r="O939" s="44"/>
      <c r="P939" s="44"/>
      <c r="Q939" s="44"/>
      <c r="R939" s="44"/>
      <c r="S939" s="44"/>
      <c r="T939" s="44"/>
      <c r="U939" s="44"/>
      <c r="V939" s="44"/>
      <c r="W939" s="44"/>
      <c r="X939" s="44"/>
      <c r="Y939" s="44"/>
      <c r="Z939" s="44"/>
    </row>
    <row r="940" spans="1:26" ht="15.75" customHeight="1">
      <c r="A940" s="44"/>
      <c r="B940" s="44"/>
      <c r="C940" s="44"/>
      <c r="D940" s="44"/>
      <c r="E940" s="44"/>
      <c r="F940" s="44"/>
      <c r="G940" s="44"/>
      <c r="H940" s="44"/>
      <c r="I940" s="190"/>
      <c r="J940" s="48"/>
      <c r="K940" s="48"/>
      <c r="L940" s="44"/>
      <c r="M940" s="44"/>
      <c r="N940" s="44"/>
      <c r="O940" s="44"/>
      <c r="P940" s="44"/>
      <c r="Q940" s="44"/>
      <c r="R940" s="44"/>
      <c r="S940" s="44"/>
      <c r="T940" s="44"/>
      <c r="U940" s="44"/>
      <c r="V940" s="44"/>
      <c r="W940" s="44"/>
      <c r="X940" s="44"/>
      <c r="Y940" s="44"/>
      <c r="Z940" s="44"/>
    </row>
    <row r="941" spans="1:26" ht="15.75" customHeight="1">
      <c r="A941" s="44"/>
      <c r="B941" s="44"/>
      <c r="C941" s="44"/>
      <c r="D941" s="44"/>
      <c r="E941" s="44"/>
      <c r="F941" s="44"/>
      <c r="G941" s="44"/>
      <c r="H941" s="44"/>
      <c r="I941" s="190"/>
      <c r="J941" s="48"/>
      <c r="K941" s="48"/>
      <c r="L941" s="44"/>
      <c r="M941" s="44"/>
      <c r="N941" s="44"/>
      <c r="O941" s="44"/>
      <c r="P941" s="44"/>
      <c r="Q941" s="44"/>
      <c r="R941" s="44"/>
      <c r="S941" s="44"/>
      <c r="T941" s="44"/>
      <c r="U941" s="44"/>
      <c r="V941" s="44"/>
      <c r="W941" s="44"/>
      <c r="X941" s="44"/>
      <c r="Y941" s="44"/>
      <c r="Z941" s="44"/>
    </row>
    <row r="942" spans="1:26" ht="15.75" customHeight="1">
      <c r="A942" s="44"/>
      <c r="B942" s="44"/>
      <c r="C942" s="44"/>
      <c r="D942" s="44"/>
      <c r="E942" s="44"/>
      <c r="F942" s="44"/>
      <c r="G942" s="44"/>
      <c r="H942" s="44"/>
      <c r="I942" s="190"/>
      <c r="J942" s="48"/>
      <c r="K942" s="48"/>
      <c r="L942" s="44"/>
      <c r="M942" s="44"/>
      <c r="N942" s="44"/>
      <c r="O942" s="44"/>
      <c r="P942" s="44"/>
      <c r="Q942" s="44"/>
      <c r="R942" s="44"/>
      <c r="S942" s="44"/>
      <c r="T942" s="44"/>
      <c r="U942" s="44"/>
      <c r="V942" s="44"/>
      <c r="W942" s="44"/>
      <c r="X942" s="44"/>
      <c r="Y942" s="44"/>
      <c r="Z942" s="44"/>
    </row>
    <row r="943" spans="1:26" ht="15.75" customHeight="1">
      <c r="A943" s="44"/>
      <c r="B943" s="44"/>
      <c r="C943" s="44"/>
      <c r="D943" s="44"/>
      <c r="E943" s="44"/>
      <c r="F943" s="44"/>
      <c r="G943" s="44"/>
      <c r="H943" s="44"/>
      <c r="I943" s="190"/>
      <c r="J943" s="48"/>
      <c r="K943" s="48"/>
      <c r="L943" s="44"/>
      <c r="M943" s="44"/>
      <c r="N943" s="44"/>
      <c r="O943" s="44"/>
      <c r="P943" s="44"/>
      <c r="Q943" s="44"/>
      <c r="R943" s="44"/>
      <c r="S943" s="44"/>
      <c r="T943" s="44"/>
      <c r="U943" s="44"/>
      <c r="V943" s="44"/>
      <c r="W943" s="44"/>
      <c r="X943" s="44"/>
      <c r="Y943" s="44"/>
      <c r="Z943" s="44"/>
    </row>
    <row r="944" spans="1:26" ht="15.75" customHeight="1">
      <c r="A944" s="44"/>
      <c r="B944" s="44"/>
      <c r="C944" s="44"/>
      <c r="D944" s="44"/>
      <c r="E944" s="44"/>
      <c r="F944" s="44"/>
      <c r="G944" s="44"/>
      <c r="H944" s="44"/>
      <c r="I944" s="190"/>
      <c r="J944" s="48"/>
      <c r="K944" s="48"/>
      <c r="L944" s="44"/>
      <c r="M944" s="44"/>
      <c r="N944" s="44"/>
      <c r="O944" s="44"/>
      <c r="P944" s="44"/>
      <c r="Q944" s="44"/>
      <c r="R944" s="44"/>
      <c r="S944" s="44"/>
      <c r="T944" s="44"/>
      <c r="U944" s="44"/>
      <c r="V944" s="44"/>
      <c r="W944" s="44"/>
      <c r="X944" s="44"/>
      <c r="Y944" s="44"/>
      <c r="Z944" s="44"/>
    </row>
    <row r="945" spans="1:26" ht="15.75" customHeight="1">
      <c r="A945" s="44"/>
      <c r="B945" s="44"/>
      <c r="C945" s="44"/>
      <c r="D945" s="44"/>
      <c r="E945" s="44"/>
      <c r="F945" s="44"/>
      <c r="G945" s="44"/>
      <c r="H945" s="44"/>
      <c r="I945" s="190"/>
      <c r="J945" s="48"/>
      <c r="K945" s="48"/>
      <c r="L945" s="44"/>
      <c r="M945" s="44"/>
      <c r="N945" s="44"/>
      <c r="O945" s="44"/>
      <c r="P945" s="44"/>
      <c r="Q945" s="44"/>
      <c r="R945" s="44"/>
      <c r="S945" s="44"/>
      <c r="T945" s="44"/>
      <c r="U945" s="44"/>
      <c r="V945" s="44"/>
      <c r="W945" s="44"/>
      <c r="X945" s="44"/>
      <c r="Y945" s="44"/>
      <c r="Z945" s="44"/>
    </row>
    <row r="946" spans="1:26" ht="15.75" customHeight="1">
      <c r="A946" s="44"/>
      <c r="B946" s="44"/>
      <c r="C946" s="44"/>
      <c r="D946" s="44"/>
      <c r="E946" s="44"/>
      <c r="F946" s="44"/>
      <c r="G946" s="44"/>
      <c r="H946" s="44"/>
      <c r="I946" s="190"/>
      <c r="J946" s="48"/>
      <c r="K946" s="48"/>
      <c r="L946" s="44"/>
      <c r="M946" s="44"/>
      <c r="N946" s="44"/>
      <c r="O946" s="44"/>
      <c r="P946" s="44"/>
      <c r="Q946" s="44"/>
      <c r="R946" s="44"/>
      <c r="S946" s="44"/>
      <c r="T946" s="44"/>
      <c r="U946" s="44"/>
      <c r="V946" s="44"/>
      <c r="W946" s="44"/>
      <c r="X946" s="44"/>
      <c r="Y946" s="44"/>
      <c r="Z946" s="44"/>
    </row>
    <row r="947" spans="1:26" ht="15.75" customHeight="1">
      <c r="A947" s="44"/>
      <c r="B947" s="44"/>
      <c r="C947" s="44"/>
      <c r="D947" s="44"/>
      <c r="E947" s="44"/>
      <c r="F947" s="44"/>
      <c r="G947" s="44"/>
      <c r="H947" s="44"/>
      <c r="I947" s="190"/>
      <c r="J947" s="48"/>
      <c r="K947" s="48"/>
      <c r="L947" s="44"/>
      <c r="M947" s="44"/>
      <c r="N947" s="44"/>
      <c r="O947" s="44"/>
      <c r="P947" s="44"/>
      <c r="Q947" s="44"/>
      <c r="R947" s="44"/>
      <c r="S947" s="44"/>
      <c r="T947" s="44"/>
      <c r="U947" s="44"/>
      <c r="V947" s="44"/>
      <c r="W947" s="44"/>
      <c r="X947" s="44"/>
      <c r="Y947" s="44"/>
      <c r="Z947" s="44"/>
    </row>
    <row r="948" spans="1:26" ht="15.75" customHeight="1">
      <c r="A948" s="44"/>
      <c r="B948" s="44"/>
      <c r="C948" s="44"/>
      <c r="D948" s="44"/>
      <c r="E948" s="44"/>
      <c r="F948" s="44"/>
      <c r="G948" s="44"/>
      <c r="H948" s="44"/>
      <c r="I948" s="190"/>
      <c r="J948" s="48"/>
      <c r="K948" s="48"/>
      <c r="L948" s="44"/>
      <c r="M948" s="44"/>
      <c r="N948" s="44"/>
      <c r="O948" s="44"/>
      <c r="P948" s="44"/>
      <c r="Q948" s="44"/>
      <c r="R948" s="44"/>
      <c r="S948" s="44"/>
      <c r="T948" s="44"/>
      <c r="U948" s="44"/>
      <c r="V948" s="44"/>
      <c r="W948" s="44"/>
      <c r="X948" s="44"/>
      <c r="Y948" s="44"/>
      <c r="Z948" s="44"/>
    </row>
    <row r="949" spans="1:26" ht="15.75" customHeight="1">
      <c r="A949" s="44"/>
      <c r="B949" s="44"/>
      <c r="C949" s="44"/>
      <c r="D949" s="44"/>
      <c r="E949" s="44"/>
      <c r="F949" s="44"/>
      <c r="G949" s="44"/>
      <c r="H949" s="44"/>
      <c r="I949" s="190"/>
      <c r="J949" s="48"/>
      <c r="K949" s="48"/>
      <c r="L949" s="44"/>
      <c r="M949" s="44"/>
      <c r="N949" s="44"/>
      <c r="O949" s="44"/>
      <c r="P949" s="44"/>
      <c r="Q949" s="44"/>
      <c r="R949" s="44"/>
      <c r="S949" s="44"/>
      <c r="T949" s="44"/>
      <c r="U949" s="44"/>
      <c r="V949" s="44"/>
      <c r="W949" s="44"/>
      <c r="X949" s="44"/>
      <c r="Y949" s="44"/>
      <c r="Z949" s="44"/>
    </row>
    <row r="950" spans="1:26" ht="15.75" customHeight="1">
      <c r="A950" s="44"/>
      <c r="B950" s="44"/>
      <c r="C950" s="44"/>
      <c r="D950" s="44"/>
      <c r="E950" s="44"/>
      <c r="F950" s="44"/>
      <c r="G950" s="44"/>
      <c r="H950" s="44"/>
      <c r="I950" s="190"/>
      <c r="J950" s="48"/>
      <c r="K950" s="48"/>
      <c r="L950" s="44"/>
      <c r="M950" s="44"/>
      <c r="N950" s="44"/>
      <c r="O950" s="44"/>
      <c r="P950" s="44"/>
      <c r="Q950" s="44"/>
      <c r="R950" s="44"/>
      <c r="S950" s="44"/>
      <c r="T950" s="44"/>
      <c r="U950" s="44"/>
      <c r="V950" s="44"/>
      <c r="W950" s="44"/>
      <c r="X950" s="44"/>
      <c r="Y950" s="44"/>
      <c r="Z950" s="44"/>
    </row>
    <row r="951" spans="1:26" ht="15.75" customHeight="1">
      <c r="A951" s="44"/>
      <c r="B951" s="44"/>
      <c r="C951" s="44"/>
      <c r="D951" s="44"/>
      <c r="E951" s="44"/>
      <c r="F951" s="44"/>
      <c r="G951" s="44"/>
      <c r="H951" s="44"/>
      <c r="I951" s="190"/>
      <c r="J951" s="48"/>
      <c r="K951" s="48"/>
      <c r="L951" s="44"/>
      <c r="M951" s="44"/>
      <c r="N951" s="44"/>
      <c r="O951" s="44"/>
      <c r="P951" s="44"/>
      <c r="Q951" s="44"/>
      <c r="R951" s="44"/>
      <c r="S951" s="44"/>
      <c r="T951" s="44"/>
      <c r="U951" s="44"/>
      <c r="V951" s="44"/>
      <c r="W951" s="44"/>
      <c r="X951" s="44"/>
      <c r="Y951" s="44"/>
      <c r="Z951" s="44"/>
    </row>
    <row r="952" spans="1:26" ht="15.75" customHeight="1">
      <c r="A952" s="44"/>
      <c r="B952" s="44"/>
      <c r="C952" s="44"/>
      <c r="D952" s="44"/>
      <c r="E952" s="44"/>
      <c r="F952" s="44"/>
      <c r="G952" s="44"/>
      <c r="H952" s="44"/>
      <c r="I952" s="190"/>
      <c r="J952" s="48"/>
      <c r="K952" s="48"/>
      <c r="L952" s="44"/>
      <c r="M952" s="44"/>
      <c r="N952" s="44"/>
      <c r="O952" s="44"/>
      <c r="P952" s="44"/>
      <c r="Q952" s="44"/>
      <c r="R952" s="44"/>
      <c r="S952" s="44"/>
      <c r="T952" s="44"/>
      <c r="U952" s="44"/>
      <c r="V952" s="44"/>
      <c r="W952" s="44"/>
      <c r="X952" s="44"/>
      <c r="Y952" s="44"/>
      <c r="Z952" s="44"/>
    </row>
    <row r="953" spans="1:26" ht="15.75" customHeight="1">
      <c r="A953" s="44"/>
      <c r="B953" s="44"/>
      <c r="C953" s="44"/>
      <c r="D953" s="44"/>
      <c r="E953" s="44"/>
      <c r="F953" s="44"/>
      <c r="G953" s="44"/>
      <c r="H953" s="44"/>
      <c r="I953" s="190"/>
      <c r="J953" s="48"/>
      <c r="K953" s="48"/>
      <c r="L953" s="44"/>
      <c r="M953" s="44"/>
      <c r="N953" s="44"/>
      <c r="O953" s="44"/>
      <c r="P953" s="44"/>
      <c r="Q953" s="44"/>
      <c r="R953" s="44"/>
      <c r="S953" s="44"/>
      <c r="T953" s="44"/>
      <c r="U953" s="44"/>
      <c r="V953" s="44"/>
      <c r="W953" s="44"/>
      <c r="X953" s="44"/>
      <c r="Y953" s="44"/>
      <c r="Z953" s="44"/>
    </row>
    <row r="954" spans="1:26" ht="15.75" customHeight="1">
      <c r="A954" s="44"/>
      <c r="B954" s="44"/>
      <c r="C954" s="44"/>
      <c r="D954" s="44"/>
      <c r="E954" s="44"/>
      <c r="F954" s="44"/>
      <c r="G954" s="44"/>
      <c r="H954" s="44"/>
      <c r="I954" s="190"/>
      <c r="J954" s="48"/>
      <c r="K954" s="48"/>
      <c r="L954" s="44"/>
      <c r="M954" s="44"/>
      <c r="N954" s="44"/>
      <c r="O954" s="44"/>
      <c r="P954" s="44"/>
      <c r="Q954" s="44"/>
      <c r="R954" s="44"/>
      <c r="S954" s="44"/>
      <c r="T954" s="44"/>
      <c r="U954" s="44"/>
      <c r="V954" s="44"/>
      <c r="W954" s="44"/>
      <c r="X954" s="44"/>
      <c r="Y954" s="44"/>
      <c r="Z954" s="44"/>
    </row>
    <row r="955" spans="1:26" ht="15.75" customHeight="1">
      <c r="A955" s="44"/>
      <c r="B955" s="44"/>
      <c r="C955" s="44"/>
      <c r="D955" s="44"/>
      <c r="E955" s="44"/>
      <c r="F955" s="44"/>
      <c r="G955" s="44"/>
      <c r="H955" s="44"/>
      <c r="I955" s="190"/>
      <c r="J955" s="48"/>
      <c r="K955" s="48"/>
      <c r="L955" s="44"/>
      <c r="M955" s="44"/>
      <c r="N955" s="44"/>
      <c r="O955" s="44"/>
      <c r="P955" s="44"/>
      <c r="Q955" s="44"/>
      <c r="R955" s="44"/>
      <c r="S955" s="44"/>
      <c r="T955" s="44"/>
      <c r="U955" s="44"/>
      <c r="V955" s="44"/>
      <c r="W955" s="44"/>
      <c r="X955" s="44"/>
      <c r="Y955" s="44"/>
      <c r="Z955" s="44"/>
    </row>
    <row r="956" spans="1:26" ht="15.75" customHeight="1">
      <c r="A956" s="44"/>
      <c r="B956" s="44"/>
      <c r="C956" s="44"/>
      <c r="D956" s="44"/>
      <c r="E956" s="44"/>
      <c r="F956" s="44"/>
      <c r="G956" s="44"/>
      <c r="H956" s="44"/>
      <c r="I956" s="190"/>
      <c r="J956" s="48"/>
      <c r="K956" s="48"/>
      <c r="L956" s="44"/>
      <c r="M956" s="44"/>
      <c r="N956" s="44"/>
      <c r="O956" s="44"/>
      <c r="P956" s="44"/>
      <c r="Q956" s="44"/>
      <c r="R956" s="44"/>
      <c r="S956" s="44"/>
      <c r="T956" s="44"/>
      <c r="U956" s="44"/>
      <c r="V956" s="44"/>
      <c r="W956" s="44"/>
      <c r="X956" s="44"/>
      <c r="Y956" s="44"/>
      <c r="Z956" s="44"/>
    </row>
    <row r="957" spans="1:26" ht="15.75" customHeight="1">
      <c r="A957" s="44"/>
      <c r="B957" s="44"/>
      <c r="C957" s="44"/>
      <c r="D957" s="44"/>
      <c r="E957" s="44"/>
      <c r="F957" s="44"/>
      <c r="G957" s="44"/>
      <c r="H957" s="44"/>
      <c r="I957" s="190"/>
      <c r="J957" s="48"/>
      <c r="K957" s="48"/>
      <c r="L957" s="44"/>
      <c r="M957" s="44"/>
      <c r="N957" s="44"/>
      <c r="O957" s="44"/>
      <c r="P957" s="44"/>
      <c r="Q957" s="44"/>
      <c r="R957" s="44"/>
      <c r="S957" s="44"/>
      <c r="T957" s="44"/>
      <c r="U957" s="44"/>
      <c r="V957" s="44"/>
      <c r="W957" s="44"/>
      <c r="X957" s="44"/>
      <c r="Y957" s="44"/>
      <c r="Z957" s="44"/>
    </row>
    <row r="958" spans="1:26" ht="15.75" customHeight="1">
      <c r="A958" s="44"/>
      <c r="B958" s="44"/>
      <c r="C958" s="44"/>
      <c r="D958" s="44"/>
      <c r="E958" s="44"/>
      <c r="F958" s="44"/>
      <c r="G958" s="44"/>
      <c r="H958" s="44"/>
      <c r="I958" s="190"/>
      <c r="J958" s="48"/>
      <c r="K958" s="48"/>
      <c r="L958" s="44"/>
      <c r="M958" s="44"/>
      <c r="N958" s="44"/>
      <c r="O958" s="44"/>
      <c r="P958" s="44"/>
      <c r="Q958" s="44"/>
      <c r="R958" s="44"/>
      <c r="S958" s="44"/>
      <c r="T958" s="44"/>
      <c r="U958" s="44"/>
      <c r="V958" s="44"/>
      <c r="W958" s="44"/>
      <c r="X958" s="44"/>
      <c r="Y958" s="44"/>
      <c r="Z958" s="44"/>
    </row>
    <row r="959" spans="1:26" ht="15.75" customHeight="1">
      <c r="A959" s="44"/>
      <c r="B959" s="44"/>
      <c r="C959" s="44"/>
      <c r="D959" s="44"/>
      <c r="E959" s="44"/>
      <c r="F959" s="44"/>
      <c r="G959" s="44"/>
      <c r="H959" s="44"/>
      <c r="I959" s="190"/>
      <c r="J959" s="48"/>
      <c r="K959" s="48"/>
      <c r="L959" s="44"/>
      <c r="M959" s="44"/>
      <c r="N959" s="44"/>
      <c r="O959" s="44"/>
      <c r="P959" s="44"/>
      <c r="Q959" s="44"/>
      <c r="R959" s="44"/>
      <c r="S959" s="44"/>
      <c r="T959" s="44"/>
      <c r="U959" s="44"/>
      <c r="V959" s="44"/>
      <c r="W959" s="44"/>
      <c r="X959" s="44"/>
      <c r="Y959" s="44"/>
      <c r="Z959" s="44"/>
    </row>
    <row r="960" spans="1:26" ht="15.75" customHeight="1">
      <c r="A960" s="44"/>
      <c r="B960" s="44"/>
      <c r="C960" s="44"/>
      <c r="D960" s="44"/>
      <c r="E960" s="44"/>
      <c r="F960" s="44"/>
      <c r="G960" s="44"/>
      <c r="H960" s="44"/>
      <c r="I960" s="190"/>
      <c r="J960" s="48"/>
      <c r="K960" s="48"/>
      <c r="L960" s="44"/>
      <c r="M960" s="44"/>
      <c r="N960" s="44"/>
      <c r="O960" s="44"/>
      <c r="P960" s="44"/>
      <c r="Q960" s="44"/>
      <c r="R960" s="44"/>
      <c r="S960" s="44"/>
      <c r="T960" s="44"/>
      <c r="U960" s="44"/>
      <c r="V960" s="44"/>
      <c r="W960" s="44"/>
      <c r="X960" s="44"/>
      <c r="Y960" s="44"/>
      <c r="Z960" s="44"/>
    </row>
    <row r="961" spans="1:26" ht="15.75" customHeight="1">
      <c r="A961" s="44"/>
      <c r="B961" s="44"/>
      <c r="C961" s="44"/>
      <c r="D961" s="44"/>
      <c r="E961" s="44"/>
      <c r="F961" s="44"/>
      <c r="G961" s="44"/>
      <c r="H961" s="44"/>
      <c r="I961" s="190"/>
      <c r="J961" s="48"/>
      <c r="K961" s="48"/>
      <c r="L961" s="44"/>
      <c r="M961" s="44"/>
      <c r="N961" s="44"/>
      <c r="O961" s="44"/>
      <c r="P961" s="44"/>
      <c r="Q961" s="44"/>
      <c r="R961" s="44"/>
      <c r="S961" s="44"/>
      <c r="T961" s="44"/>
      <c r="U961" s="44"/>
      <c r="V961" s="44"/>
      <c r="W961" s="44"/>
      <c r="X961" s="44"/>
      <c r="Y961" s="44"/>
      <c r="Z961" s="44"/>
    </row>
    <row r="962" spans="1:26" ht="15.75" customHeight="1">
      <c r="A962" s="44"/>
      <c r="B962" s="44"/>
      <c r="C962" s="44"/>
      <c r="D962" s="44"/>
      <c r="E962" s="44"/>
      <c r="F962" s="44"/>
      <c r="G962" s="44"/>
      <c r="H962" s="44"/>
      <c r="I962" s="190"/>
      <c r="J962" s="48"/>
      <c r="K962" s="48"/>
      <c r="L962" s="44"/>
      <c r="M962" s="44"/>
      <c r="N962" s="44"/>
      <c r="O962" s="44"/>
      <c r="P962" s="44"/>
      <c r="Q962" s="44"/>
      <c r="R962" s="44"/>
      <c r="S962" s="44"/>
      <c r="T962" s="44"/>
      <c r="U962" s="44"/>
      <c r="V962" s="44"/>
      <c r="W962" s="44"/>
      <c r="X962" s="44"/>
      <c r="Y962" s="44"/>
      <c r="Z962" s="44"/>
    </row>
    <row r="963" spans="1:26" ht="15.75" customHeight="1">
      <c r="A963" s="44"/>
      <c r="B963" s="44"/>
      <c r="C963" s="44"/>
      <c r="D963" s="44"/>
      <c r="E963" s="44"/>
      <c r="F963" s="44"/>
      <c r="G963" s="44"/>
      <c r="H963" s="44"/>
      <c r="I963" s="190"/>
      <c r="J963" s="48"/>
      <c r="K963" s="48"/>
      <c r="L963" s="44"/>
      <c r="M963" s="44"/>
      <c r="N963" s="44"/>
      <c r="O963" s="44"/>
      <c r="P963" s="44"/>
      <c r="Q963" s="44"/>
      <c r="R963" s="44"/>
      <c r="S963" s="44"/>
      <c r="T963" s="44"/>
      <c r="U963" s="44"/>
      <c r="V963" s="44"/>
      <c r="W963" s="44"/>
      <c r="X963" s="44"/>
      <c r="Y963" s="44"/>
      <c r="Z963" s="44"/>
    </row>
    <row r="964" spans="1:26" ht="15.75" customHeight="1">
      <c r="A964" s="44"/>
      <c r="B964" s="44"/>
      <c r="C964" s="44"/>
      <c r="D964" s="44"/>
      <c r="E964" s="44"/>
      <c r="F964" s="44"/>
      <c r="G964" s="44"/>
      <c r="H964" s="44"/>
      <c r="I964" s="190"/>
      <c r="J964" s="48"/>
      <c r="K964" s="48"/>
      <c r="L964" s="44"/>
      <c r="M964" s="44"/>
      <c r="N964" s="44"/>
      <c r="O964" s="44"/>
      <c r="P964" s="44"/>
      <c r="Q964" s="44"/>
      <c r="R964" s="44"/>
      <c r="S964" s="44"/>
      <c r="T964" s="44"/>
      <c r="U964" s="44"/>
      <c r="V964" s="44"/>
      <c r="W964" s="44"/>
      <c r="X964" s="44"/>
      <c r="Y964" s="44"/>
      <c r="Z964" s="44"/>
    </row>
    <row r="965" spans="1:26" ht="15.75" customHeight="1">
      <c r="A965" s="44"/>
      <c r="B965" s="44"/>
      <c r="C965" s="44"/>
      <c r="D965" s="44"/>
      <c r="E965" s="44"/>
      <c r="F965" s="44"/>
      <c r="G965" s="44"/>
      <c r="H965" s="44"/>
      <c r="I965" s="190"/>
      <c r="J965" s="48"/>
      <c r="K965" s="48"/>
      <c r="L965" s="44"/>
      <c r="M965" s="44"/>
      <c r="N965" s="44"/>
      <c r="O965" s="44"/>
      <c r="P965" s="44"/>
      <c r="Q965" s="44"/>
      <c r="R965" s="44"/>
      <c r="S965" s="44"/>
      <c r="T965" s="44"/>
      <c r="U965" s="44"/>
      <c r="V965" s="44"/>
      <c r="W965" s="44"/>
      <c r="X965" s="44"/>
      <c r="Y965" s="44"/>
      <c r="Z965" s="44"/>
    </row>
    <row r="966" spans="1:26" ht="15.75" customHeight="1">
      <c r="A966" s="44"/>
      <c r="B966" s="44"/>
      <c r="C966" s="44"/>
      <c r="D966" s="44"/>
      <c r="E966" s="44"/>
      <c r="F966" s="44"/>
      <c r="G966" s="44"/>
      <c r="H966" s="44"/>
      <c r="I966" s="190"/>
      <c r="J966" s="48"/>
      <c r="K966" s="48"/>
      <c r="L966" s="44"/>
      <c r="M966" s="44"/>
      <c r="N966" s="44"/>
      <c r="O966" s="44"/>
      <c r="P966" s="44"/>
      <c r="Q966" s="44"/>
      <c r="R966" s="44"/>
      <c r="S966" s="44"/>
      <c r="T966" s="44"/>
      <c r="U966" s="44"/>
      <c r="V966" s="44"/>
      <c r="W966" s="44"/>
      <c r="X966" s="44"/>
      <c r="Y966" s="44"/>
      <c r="Z966" s="44"/>
    </row>
    <row r="967" spans="1:26" ht="15.75" customHeight="1">
      <c r="A967" s="44"/>
      <c r="B967" s="44"/>
      <c r="C967" s="44"/>
      <c r="D967" s="44"/>
      <c r="E967" s="44"/>
      <c r="F967" s="44"/>
      <c r="G967" s="44"/>
      <c r="H967" s="44"/>
      <c r="I967" s="190"/>
      <c r="J967" s="48"/>
      <c r="K967" s="48"/>
      <c r="L967" s="44"/>
      <c r="M967" s="44"/>
      <c r="N967" s="44"/>
      <c r="O967" s="44"/>
      <c r="P967" s="44"/>
      <c r="Q967" s="44"/>
      <c r="R967" s="44"/>
      <c r="S967" s="44"/>
      <c r="T967" s="44"/>
      <c r="U967" s="44"/>
      <c r="V967" s="44"/>
      <c r="W967" s="44"/>
      <c r="X967" s="44"/>
      <c r="Y967" s="44"/>
      <c r="Z967" s="44"/>
    </row>
    <row r="968" spans="1:26" ht="15.75" customHeight="1">
      <c r="A968" s="44"/>
      <c r="B968" s="44"/>
      <c r="C968" s="44"/>
      <c r="D968" s="44"/>
      <c r="E968" s="44"/>
      <c r="F968" s="44"/>
      <c r="G968" s="44"/>
      <c r="H968" s="44"/>
      <c r="I968" s="190"/>
      <c r="J968" s="48"/>
      <c r="K968" s="48"/>
      <c r="L968" s="44"/>
      <c r="M968" s="44"/>
      <c r="N968" s="44"/>
      <c r="O968" s="44"/>
      <c r="P968" s="44"/>
      <c r="Q968" s="44"/>
      <c r="R968" s="44"/>
      <c r="S968" s="44"/>
      <c r="T968" s="44"/>
      <c r="U968" s="44"/>
      <c r="V968" s="44"/>
      <c r="W968" s="44"/>
      <c r="X968" s="44"/>
      <c r="Y968" s="44"/>
      <c r="Z968" s="44"/>
    </row>
    <row r="969" spans="1:26" ht="15.75" customHeight="1">
      <c r="A969" s="44"/>
      <c r="B969" s="44"/>
      <c r="C969" s="44"/>
      <c r="D969" s="44"/>
      <c r="E969" s="44"/>
      <c r="F969" s="44"/>
      <c r="G969" s="44"/>
      <c r="H969" s="44"/>
      <c r="I969" s="190"/>
      <c r="J969" s="48"/>
      <c r="K969" s="48"/>
      <c r="L969" s="44"/>
      <c r="M969" s="44"/>
      <c r="N969" s="44"/>
      <c r="O969" s="44"/>
      <c r="P969" s="44"/>
      <c r="Q969" s="44"/>
      <c r="R969" s="44"/>
      <c r="S969" s="44"/>
      <c r="T969" s="44"/>
      <c r="U969" s="44"/>
      <c r="V969" s="44"/>
      <c r="W969" s="44"/>
      <c r="X969" s="44"/>
      <c r="Y969" s="44"/>
      <c r="Z969" s="44"/>
    </row>
    <row r="970" spans="1:26" ht="15.75" customHeight="1">
      <c r="A970" s="44"/>
      <c r="B970" s="44"/>
      <c r="C970" s="44"/>
      <c r="D970" s="44"/>
      <c r="E970" s="44"/>
      <c r="F970" s="44"/>
      <c r="G970" s="44"/>
      <c r="H970" s="44"/>
      <c r="I970" s="190"/>
      <c r="J970" s="48"/>
      <c r="K970" s="48"/>
      <c r="L970" s="44"/>
      <c r="M970" s="44"/>
      <c r="N970" s="44"/>
      <c r="O970" s="44"/>
      <c r="P970" s="44"/>
      <c r="Q970" s="44"/>
      <c r="R970" s="44"/>
      <c r="S970" s="44"/>
      <c r="T970" s="44"/>
      <c r="U970" s="44"/>
      <c r="V970" s="44"/>
      <c r="W970" s="44"/>
      <c r="X970" s="44"/>
      <c r="Y970" s="44"/>
      <c r="Z970" s="44"/>
    </row>
    <row r="971" spans="1:26" ht="15.75" customHeight="1">
      <c r="A971" s="44"/>
      <c r="B971" s="44"/>
      <c r="C971" s="44"/>
      <c r="D971" s="44"/>
      <c r="E971" s="44"/>
      <c r="F971" s="44"/>
      <c r="G971" s="44"/>
      <c r="H971" s="44"/>
      <c r="I971" s="190"/>
      <c r="J971" s="48"/>
      <c r="K971" s="48"/>
      <c r="L971" s="44"/>
      <c r="M971" s="44"/>
      <c r="N971" s="44"/>
      <c r="O971" s="44"/>
      <c r="P971" s="44"/>
      <c r="Q971" s="44"/>
      <c r="R971" s="44"/>
      <c r="S971" s="44"/>
      <c r="T971" s="44"/>
      <c r="U971" s="44"/>
      <c r="V971" s="44"/>
      <c r="W971" s="44"/>
      <c r="X971" s="44"/>
      <c r="Y971" s="44"/>
      <c r="Z971" s="44"/>
    </row>
    <row r="972" spans="1:26" ht="15.75" customHeight="1">
      <c r="A972" s="44"/>
      <c r="B972" s="44"/>
      <c r="C972" s="44"/>
      <c r="D972" s="44"/>
      <c r="E972" s="44"/>
      <c r="F972" s="44"/>
      <c r="G972" s="44"/>
      <c r="H972" s="44"/>
      <c r="I972" s="190"/>
      <c r="J972" s="48"/>
      <c r="K972" s="48"/>
      <c r="L972" s="44"/>
      <c r="M972" s="44"/>
      <c r="N972" s="44"/>
      <c r="O972" s="44"/>
      <c r="P972" s="44"/>
      <c r="Q972" s="44"/>
      <c r="R972" s="44"/>
      <c r="S972" s="44"/>
      <c r="T972" s="44"/>
      <c r="U972" s="44"/>
      <c r="V972" s="44"/>
      <c r="W972" s="44"/>
      <c r="X972" s="44"/>
      <c r="Y972" s="44"/>
      <c r="Z972" s="44"/>
    </row>
    <row r="973" spans="1:26" ht="15.75" customHeight="1">
      <c r="A973" s="44"/>
      <c r="B973" s="44"/>
      <c r="C973" s="44"/>
      <c r="D973" s="44"/>
      <c r="E973" s="44"/>
      <c r="F973" s="44"/>
      <c r="G973" s="44"/>
      <c r="H973" s="44"/>
      <c r="I973" s="190"/>
      <c r="J973" s="48"/>
      <c r="K973" s="48"/>
      <c r="L973" s="44"/>
      <c r="M973" s="44"/>
      <c r="N973" s="44"/>
      <c r="O973" s="44"/>
      <c r="P973" s="44"/>
      <c r="Q973" s="44"/>
      <c r="R973" s="44"/>
      <c r="S973" s="44"/>
      <c r="T973" s="44"/>
      <c r="U973" s="44"/>
      <c r="V973" s="44"/>
      <c r="W973" s="44"/>
      <c r="X973" s="44"/>
      <c r="Y973" s="44"/>
      <c r="Z973" s="44"/>
    </row>
    <row r="974" spans="1:26" ht="15.75" customHeight="1">
      <c r="A974" s="44"/>
      <c r="B974" s="44"/>
      <c r="C974" s="44"/>
      <c r="D974" s="44"/>
      <c r="E974" s="44"/>
      <c r="F974" s="44"/>
      <c r="G974" s="44"/>
      <c r="H974" s="44"/>
      <c r="I974" s="190"/>
      <c r="J974" s="48"/>
      <c r="K974" s="48"/>
      <c r="L974" s="44"/>
      <c r="M974" s="44"/>
      <c r="N974" s="44"/>
      <c r="O974" s="44"/>
      <c r="P974" s="44"/>
      <c r="Q974" s="44"/>
      <c r="R974" s="44"/>
      <c r="S974" s="44"/>
      <c r="T974" s="44"/>
      <c r="U974" s="44"/>
      <c r="V974" s="44"/>
      <c r="W974" s="44"/>
      <c r="X974" s="44"/>
      <c r="Y974" s="44"/>
      <c r="Z974" s="44"/>
    </row>
    <row r="975" spans="1:26" ht="15.75" customHeight="1">
      <c r="A975" s="44"/>
      <c r="B975" s="44"/>
      <c r="C975" s="44"/>
      <c r="D975" s="44"/>
      <c r="E975" s="44"/>
      <c r="F975" s="44"/>
      <c r="G975" s="44"/>
      <c r="H975" s="44"/>
      <c r="I975" s="190"/>
      <c r="J975" s="48"/>
      <c r="K975" s="48"/>
      <c r="L975" s="44"/>
      <c r="M975" s="44"/>
      <c r="N975" s="44"/>
      <c r="O975" s="44"/>
      <c r="P975" s="44"/>
      <c r="Q975" s="44"/>
      <c r="R975" s="44"/>
      <c r="S975" s="44"/>
      <c r="T975" s="44"/>
      <c r="U975" s="44"/>
      <c r="V975" s="44"/>
      <c r="W975" s="44"/>
      <c r="X975" s="44"/>
      <c r="Y975" s="44"/>
      <c r="Z975" s="44"/>
    </row>
    <row r="976" spans="1:26" ht="15.75" customHeight="1">
      <c r="A976" s="44"/>
      <c r="B976" s="44"/>
      <c r="C976" s="44"/>
      <c r="D976" s="44"/>
      <c r="E976" s="44"/>
      <c r="F976" s="44"/>
      <c r="G976" s="44"/>
      <c r="H976" s="44"/>
      <c r="I976" s="190"/>
      <c r="J976" s="48"/>
      <c r="K976" s="48"/>
      <c r="L976" s="44"/>
      <c r="M976" s="44"/>
      <c r="N976" s="44"/>
      <c r="O976" s="44"/>
      <c r="P976" s="44"/>
      <c r="Q976" s="44"/>
      <c r="R976" s="44"/>
      <c r="S976" s="44"/>
      <c r="T976" s="44"/>
      <c r="U976" s="44"/>
      <c r="V976" s="44"/>
      <c r="W976" s="44"/>
      <c r="X976" s="44"/>
      <c r="Y976" s="44"/>
      <c r="Z976" s="44"/>
    </row>
    <row r="977" spans="1:26" ht="15.75" customHeight="1">
      <c r="A977" s="44"/>
      <c r="B977" s="44"/>
      <c r="C977" s="44"/>
      <c r="D977" s="44"/>
      <c r="E977" s="44"/>
      <c r="F977" s="44"/>
      <c r="G977" s="44"/>
      <c r="H977" s="44"/>
      <c r="I977" s="190"/>
      <c r="J977" s="48"/>
      <c r="K977" s="48"/>
      <c r="L977" s="44"/>
      <c r="M977" s="44"/>
      <c r="N977" s="44"/>
      <c r="O977" s="44"/>
      <c r="P977" s="44"/>
      <c r="Q977" s="44"/>
      <c r="R977" s="44"/>
      <c r="S977" s="44"/>
      <c r="T977" s="44"/>
      <c r="U977" s="44"/>
      <c r="V977" s="44"/>
      <c r="W977" s="44"/>
      <c r="X977" s="44"/>
      <c r="Y977" s="44"/>
      <c r="Z977" s="44"/>
    </row>
    <row r="978" spans="1:26" ht="15.75" customHeight="1">
      <c r="A978" s="44"/>
      <c r="B978" s="44"/>
      <c r="C978" s="44"/>
      <c r="D978" s="44"/>
      <c r="E978" s="44"/>
      <c r="F978" s="44"/>
      <c r="G978" s="44"/>
      <c r="H978" s="44"/>
      <c r="I978" s="190"/>
      <c r="J978" s="48"/>
      <c r="K978" s="48"/>
      <c r="L978" s="44"/>
      <c r="M978" s="44"/>
      <c r="N978" s="44"/>
      <c r="O978" s="44"/>
      <c r="P978" s="44"/>
      <c r="Q978" s="44"/>
      <c r="R978" s="44"/>
      <c r="S978" s="44"/>
      <c r="T978" s="44"/>
      <c r="U978" s="44"/>
      <c r="V978" s="44"/>
      <c r="W978" s="44"/>
      <c r="X978" s="44"/>
      <c r="Y978" s="44"/>
      <c r="Z978" s="44"/>
    </row>
    <row r="979" spans="1:26" ht="15.75" customHeight="1">
      <c r="A979" s="44"/>
      <c r="B979" s="44"/>
      <c r="C979" s="44"/>
      <c r="D979" s="44"/>
      <c r="E979" s="44"/>
      <c r="F979" s="44"/>
      <c r="G979" s="44"/>
      <c r="H979" s="44"/>
      <c r="I979" s="190"/>
      <c r="J979" s="48"/>
      <c r="K979" s="48"/>
      <c r="L979" s="44"/>
      <c r="M979" s="44"/>
      <c r="N979" s="44"/>
      <c r="O979" s="44"/>
      <c r="P979" s="44"/>
      <c r="Q979" s="44"/>
      <c r="R979" s="44"/>
      <c r="S979" s="44"/>
      <c r="T979" s="44"/>
      <c r="U979" s="44"/>
      <c r="V979" s="44"/>
      <c r="W979" s="44"/>
      <c r="X979" s="44"/>
      <c r="Y979" s="44"/>
      <c r="Z979" s="44"/>
    </row>
  </sheetData>
  <sheetProtection algorithmName="SHA-512" hashValue="9AIMPwuYdNRVOMoEZlJUv1rpQ7coE/8wgjEUDjkzfkQc/mjzZTpr5VWt/g2/nF4O0w8j86mMMrQq7jfBNwFTxw==" saltValue="w3+ngjg/5F1TF0vMinye6g==" spinCount="100000" sheet="1" objects="1" scenarios="1" formatCells="0"/>
  <mergeCells count="1">
    <mergeCell ref="A1:D1"/>
  </mergeCells>
  <dataValidations count="4">
    <dataValidation type="decimal" allowBlank="1" showInputMessage="1" showErrorMessage="1" prompt="GREŠKA - U ovo polje je dozvoljen unos samo brojčanih vrijednosti (bez decimala!)" sqref="I3:K56 I58:I94 J57:K94 I95:K480">
      <formula1>0</formula1>
      <formula2>10000000000</formula2>
    </dataValidation>
    <dataValidation type="list" allowBlank="1" showInputMessage="1" showErrorMessage="1" prompt="Molimo odaberite vrijednost iz padajućeg izbornika!" sqref="G3:G480">
      <formula1>$X$6:$X$258</formula1>
    </dataValidation>
    <dataValidation type="list" allowBlank="1" showInputMessage="1" showErrorMessage="1" prompt="Molimo odaberite vrijednost iz padajućeg izbornika!" sqref="E3:E480">
      <formula1>$R$5:$R$109</formula1>
    </dataValidation>
    <dataValidation type="list" allowBlank="1" showInputMessage="1" showErrorMessage="1" prompt="Molimo odaberite vrijednost iz padajućeg izbornika!" sqref="C3:C480">
      <formula1>$O$6:$O$23</formula1>
    </dataValidation>
  </dataValidations>
  <pageMargins left="0.70866141732283472" right="0.70866141732283472" top="0.74803149606299213" bottom="0.74803149606299213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16"/>
  <sheetViews>
    <sheetView showGridLines="0" workbookViewId="0">
      <pane ySplit="2" topLeftCell="A28" activePane="bottomLeft" state="frozen"/>
      <selection pane="bottomLeft" activeCell="E33" sqref="E33 AA6:AB1016"/>
    </sheetView>
  </sheetViews>
  <sheetFormatPr defaultColWidth="12.625" defaultRowHeight="15" customHeight="1"/>
  <cols>
    <col min="1" max="1" width="10.125" customWidth="1"/>
    <col min="2" max="2" width="28.125" customWidth="1"/>
    <col min="3" max="3" width="9.875" customWidth="1"/>
    <col min="4" max="4" width="22.25" customWidth="1"/>
    <col min="5" max="5" width="14.375" customWidth="1"/>
    <col min="6" max="6" width="23.75" customWidth="1"/>
    <col min="7" max="7" width="14.375" customWidth="1"/>
    <col min="8" max="8" width="13.75" customWidth="1"/>
    <col min="9" max="9" width="13.25" customWidth="1"/>
    <col min="10" max="10" width="29.5" customWidth="1"/>
    <col min="11" max="12" width="8.375" customWidth="1"/>
    <col min="13" max="13" width="13.25" customWidth="1"/>
    <col min="14" max="14" width="16" customWidth="1"/>
    <col min="15" max="15" width="8" customWidth="1"/>
    <col min="16" max="18" width="8" hidden="1" customWidth="1"/>
    <col min="19" max="19" width="40.75" hidden="1" customWidth="1"/>
    <col min="20" max="21" width="8" hidden="1" customWidth="1"/>
    <col min="22" max="22" width="51.5" hidden="1" customWidth="1"/>
    <col min="23" max="26" width="8" hidden="1" customWidth="1"/>
    <col min="27" max="27" width="12.875" hidden="1" customWidth="1"/>
    <col min="28" max="28" width="8" hidden="1" customWidth="1"/>
  </cols>
  <sheetData>
    <row r="1" spans="1:28" ht="35.25" customHeight="1">
      <c r="A1" s="246" t="s">
        <v>1269</v>
      </c>
      <c r="B1" s="236"/>
      <c r="C1" s="47" t="str">
        <f>IF('Opći dio'!C3="odaberite -","Molimo odaberite proračunskog korisnika na radnom listu Opći podaci!","")</f>
        <v/>
      </c>
      <c r="D1" s="44"/>
      <c r="E1" s="44"/>
      <c r="F1" s="44"/>
      <c r="G1" s="48"/>
      <c r="H1" s="48"/>
      <c r="I1" s="48"/>
      <c r="J1" s="48"/>
      <c r="K1" s="48"/>
      <c r="L1" s="48"/>
      <c r="M1" s="48"/>
      <c r="N1" s="48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</row>
    <row r="2" spans="1:28" ht="60">
      <c r="A2" s="50" t="s">
        <v>604</v>
      </c>
      <c r="B2" s="49" t="s">
        <v>468</v>
      </c>
      <c r="C2" s="50" t="s">
        <v>469</v>
      </c>
      <c r="D2" s="49" t="s">
        <v>470</v>
      </c>
      <c r="E2" s="50" t="s">
        <v>1270</v>
      </c>
      <c r="F2" s="49" t="s">
        <v>606</v>
      </c>
      <c r="G2" s="51" t="s">
        <v>53</v>
      </c>
      <c r="H2" s="51" t="s">
        <v>54</v>
      </c>
      <c r="I2" s="51" t="s">
        <v>55</v>
      </c>
      <c r="J2" s="74" t="s">
        <v>1271</v>
      </c>
      <c r="K2" s="74" t="s">
        <v>1272</v>
      </c>
      <c r="L2" s="74" t="s">
        <v>1273</v>
      </c>
      <c r="M2" s="74" t="s">
        <v>1274</v>
      </c>
      <c r="N2" s="74" t="s">
        <v>1275</v>
      </c>
      <c r="O2" s="44"/>
      <c r="P2" s="52" t="s">
        <v>473</v>
      </c>
      <c r="Q2" s="52" t="s">
        <v>474</v>
      </c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</row>
    <row r="3" spans="1:28" ht="15" customHeight="1">
      <c r="A3" s="71">
        <v>51</v>
      </c>
      <c r="B3" s="66" t="str">
        <f t="shared" ref="B3:B66" si="0">IFERROR(VLOOKUP(A3,$R$6:$S$23,2,FALSE),"")</f>
        <v>Pomoći EU</v>
      </c>
      <c r="C3" s="71">
        <v>3111</v>
      </c>
      <c r="D3" s="66" t="str">
        <f t="shared" ref="D3:D66" si="1">IFERROR(VLOOKUP(C3,$U$5:$W$127,2,FALSE),"")</f>
        <v>Plaće za redovan rad</v>
      </c>
      <c r="E3" s="71" t="s">
        <v>1276</v>
      </c>
      <c r="F3" s="66" t="str">
        <f>IFERROR(VLOOKUP(E3,$AA$6:$AB$1016,2,FALSE),"")</f>
        <v>OBZOR 2020-OSTEOproSPINE - Novostenski lijek za regeneraciju kostiju</v>
      </c>
      <c r="G3" s="59">
        <v>345000</v>
      </c>
      <c r="H3" s="59">
        <v>0</v>
      </c>
      <c r="I3" s="59">
        <v>0</v>
      </c>
      <c r="J3" s="71" t="s">
        <v>1277</v>
      </c>
      <c r="K3" s="75" t="s">
        <v>1278</v>
      </c>
      <c r="L3" s="75" t="s">
        <v>1279</v>
      </c>
      <c r="M3" s="65" t="s">
        <v>1280</v>
      </c>
      <c r="N3" s="76" t="s">
        <v>1281</v>
      </c>
      <c r="O3" s="44"/>
      <c r="P3" s="44" t="str">
        <f t="shared" ref="P3:P499" si="2">LEFT(C3,3)</f>
        <v>311</v>
      </c>
      <c r="Q3" s="44" t="str">
        <f t="shared" ref="Q3:Q499" si="3">LEFT(C3,2)</f>
        <v>31</v>
      </c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</row>
    <row r="4" spans="1:28" ht="15" customHeight="1">
      <c r="A4" s="71">
        <v>51</v>
      </c>
      <c r="B4" s="66" t="str">
        <f t="shared" si="0"/>
        <v>Pomoći EU</v>
      </c>
      <c r="C4" s="71">
        <v>3211</v>
      </c>
      <c r="D4" s="66" t="str">
        <f t="shared" si="1"/>
        <v>Službena putovanja</v>
      </c>
      <c r="E4" s="71" t="s">
        <v>1276</v>
      </c>
      <c r="F4" s="66" t="str">
        <f>IFERROR(VLOOKUP(E4,$AA$6:$AB$1016,2,FALSE),"")</f>
        <v>OBZOR 2020-OSTEOproSPINE - Novostenski lijek za regeneraciju kostiju</v>
      </c>
      <c r="G4" s="59">
        <v>55200</v>
      </c>
      <c r="H4" s="59">
        <v>0</v>
      </c>
      <c r="I4" s="59">
        <v>0</v>
      </c>
      <c r="J4" s="71" t="s">
        <v>1277</v>
      </c>
      <c r="K4" s="75" t="s">
        <v>1278</v>
      </c>
      <c r="L4" s="75" t="s">
        <v>1279</v>
      </c>
      <c r="M4" s="65" t="s">
        <v>1280</v>
      </c>
      <c r="N4" s="76" t="s">
        <v>1281</v>
      </c>
      <c r="O4" s="44"/>
      <c r="P4" s="44" t="str">
        <f t="shared" si="2"/>
        <v>321</v>
      </c>
      <c r="Q4" s="44" t="str">
        <f t="shared" si="3"/>
        <v>32</v>
      </c>
      <c r="R4" s="44"/>
      <c r="S4" s="44"/>
      <c r="T4" s="44"/>
      <c r="U4" s="72"/>
      <c r="V4" s="72"/>
      <c r="W4" s="44"/>
      <c r="X4" s="44"/>
      <c r="Y4" s="44"/>
      <c r="Z4" s="44"/>
      <c r="AA4" s="44"/>
      <c r="AB4" s="44"/>
    </row>
    <row r="5" spans="1:28" ht="15" customHeight="1">
      <c r="A5" s="71">
        <v>51</v>
      </c>
      <c r="B5" s="66" t="str">
        <f t="shared" si="0"/>
        <v>Pomoći EU</v>
      </c>
      <c r="C5" s="71">
        <v>3221</v>
      </c>
      <c r="D5" s="66" t="str">
        <f t="shared" si="1"/>
        <v>Uredski materijal i ostali materijalni rashodi</v>
      </c>
      <c r="E5" s="71" t="s">
        <v>1276</v>
      </c>
      <c r="F5" s="66" t="str">
        <f>IFERROR(VLOOKUP(E5,$AA$6:$AB$1016,2,FALSE),"")</f>
        <v>OBZOR 2020-OSTEOproSPINE - Novostenski lijek za regeneraciju kostiju</v>
      </c>
      <c r="G5" s="59">
        <v>48300</v>
      </c>
      <c r="H5" s="59">
        <v>0</v>
      </c>
      <c r="I5" s="59">
        <v>0</v>
      </c>
      <c r="J5" s="71" t="s">
        <v>1277</v>
      </c>
      <c r="K5" s="75" t="s">
        <v>1278</v>
      </c>
      <c r="L5" s="75" t="s">
        <v>1279</v>
      </c>
      <c r="M5" s="65" t="s">
        <v>1280</v>
      </c>
      <c r="N5" s="71" t="s">
        <v>1281</v>
      </c>
      <c r="O5" s="44"/>
      <c r="P5" s="44" t="str">
        <f t="shared" si="2"/>
        <v>322</v>
      </c>
      <c r="Q5" s="44" t="str">
        <f t="shared" si="3"/>
        <v>32</v>
      </c>
      <c r="R5" s="44" t="s">
        <v>467</v>
      </c>
      <c r="S5" s="44" t="s">
        <v>468</v>
      </c>
      <c r="T5" s="44"/>
      <c r="U5" s="44">
        <v>3111</v>
      </c>
      <c r="V5" s="44" t="s">
        <v>608</v>
      </c>
      <c r="W5" s="44"/>
      <c r="X5" s="44" t="str">
        <f t="shared" ref="X5:X127" si="4">LEFT(U5,2)</f>
        <v>31</v>
      </c>
      <c r="Y5" s="44" t="str">
        <f t="shared" ref="Y5:Y127" si="5">LEFT(U5,3)</f>
        <v>311</v>
      </c>
      <c r="Z5" s="44"/>
      <c r="AA5" s="44" t="s">
        <v>609</v>
      </c>
      <c r="AB5" s="44" t="s">
        <v>606</v>
      </c>
    </row>
    <row r="6" spans="1:28" ht="15" customHeight="1">
      <c r="A6" s="71">
        <v>51</v>
      </c>
      <c r="B6" s="66" t="str">
        <f t="shared" si="0"/>
        <v>Pomoći EU</v>
      </c>
      <c r="C6" s="71">
        <v>3111</v>
      </c>
      <c r="D6" s="66" t="str">
        <f t="shared" si="1"/>
        <v>Plaće za redovan rad</v>
      </c>
      <c r="E6" s="71" t="s">
        <v>1282</v>
      </c>
      <c r="F6" s="229" t="s">
        <v>2481</v>
      </c>
      <c r="G6" s="59">
        <v>111780</v>
      </c>
      <c r="H6" s="59">
        <v>162000</v>
      </c>
      <c r="I6" s="59">
        <v>75000</v>
      </c>
      <c r="J6" s="71" t="s">
        <v>1283</v>
      </c>
      <c r="K6" s="75" t="s">
        <v>1284</v>
      </c>
      <c r="L6" s="75" t="s">
        <v>1285</v>
      </c>
      <c r="M6" s="77" t="s">
        <v>1286</v>
      </c>
      <c r="N6" s="71" t="s">
        <v>1287</v>
      </c>
      <c r="O6" s="44"/>
      <c r="P6" s="44" t="str">
        <f t="shared" si="2"/>
        <v>311</v>
      </c>
      <c r="Q6" s="44" t="str">
        <f t="shared" si="3"/>
        <v>31</v>
      </c>
      <c r="R6" s="44">
        <v>11</v>
      </c>
      <c r="S6" s="44" t="s">
        <v>482</v>
      </c>
      <c r="T6" s="44"/>
      <c r="U6" s="44">
        <v>3112</v>
      </c>
      <c r="V6" s="44" t="s">
        <v>610</v>
      </c>
      <c r="W6" s="44"/>
      <c r="X6" s="44" t="str">
        <f t="shared" si="4"/>
        <v>31</v>
      </c>
      <c r="Y6" s="44" t="str">
        <f t="shared" si="5"/>
        <v>311</v>
      </c>
      <c r="Z6" s="44"/>
      <c r="AA6" s="44" t="s">
        <v>1288</v>
      </c>
      <c r="AB6" s="44" t="s">
        <v>1288</v>
      </c>
    </row>
    <row r="7" spans="1:28" ht="15" customHeight="1">
      <c r="A7" s="71">
        <v>51</v>
      </c>
      <c r="B7" s="66" t="str">
        <f t="shared" si="0"/>
        <v>Pomoći EU</v>
      </c>
      <c r="C7" s="71">
        <v>3211</v>
      </c>
      <c r="D7" s="66" t="str">
        <f t="shared" si="1"/>
        <v>Službena putovanja</v>
      </c>
      <c r="E7" s="71" t="s">
        <v>1282</v>
      </c>
      <c r="F7" s="229" t="s">
        <v>2481</v>
      </c>
      <c r="G7" s="59">
        <v>31050</v>
      </c>
      <c r="H7" s="59">
        <v>0</v>
      </c>
      <c r="I7" s="59">
        <v>45000</v>
      </c>
      <c r="J7" s="71" t="s">
        <v>1283</v>
      </c>
      <c r="K7" s="75" t="s">
        <v>1284</v>
      </c>
      <c r="L7" s="75" t="s">
        <v>1285</v>
      </c>
      <c r="M7" s="77" t="s">
        <v>1286</v>
      </c>
      <c r="N7" s="71" t="s">
        <v>1287</v>
      </c>
      <c r="O7" s="44"/>
      <c r="P7" s="44" t="str">
        <f t="shared" si="2"/>
        <v>321</v>
      </c>
      <c r="Q7" s="44" t="str">
        <f t="shared" si="3"/>
        <v>32</v>
      </c>
      <c r="R7" s="44">
        <v>12</v>
      </c>
      <c r="S7" s="44" t="s">
        <v>484</v>
      </c>
      <c r="T7" s="44"/>
      <c r="U7" s="44">
        <v>3113</v>
      </c>
      <c r="V7" s="44" t="s">
        <v>612</v>
      </c>
      <c r="W7" s="44"/>
      <c r="X7" s="44" t="str">
        <f t="shared" si="4"/>
        <v>31</v>
      </c>
      <c r="Y7" s="44" t="str">
        <f t="shared" si="5"/>
        <v>311</v>
      </c>
      <c r="Z7" s="44"/>
      <c r="AA7" s="44" t="s">
        <v>1289</v>
      </c>
      <c r="AB7" s="44" t="s">
        <v>1290</v>
      </c>
    </row>
    <row r="8" spans="1:28" ht="15" customHeight="1">
      <c r="A8" s="71">
        <v>51</v>
      </c>
      <c r="B8" s="66" t="str">
        <f t="shared" si="0"/>
        <v>Pomoći EU</v>
      </c>
      <c r="C8" s="71">
        <v>3221</v>
      </c>
      <c r="D8" s="66" t="str">
        <f t="shared" si="1"/>
        <v>Uredski materijal i ostali materijalni rashodi</v>
      </c>
      <c r="E8" s="71" t="s">
        <v>1282</v>
      </c>
      <c r="F8" s="229" t="s">
        <v>2481</v>
      </c>
      <c r="G8" s="59">
        <v>5175</v>
      </c>
      <c r="H8" s="59">
        <v>20000</v>
      </c>
      <c r="I8" s="59">
        <v>0</v>
      </c>
      <c r="J8" s="71" t="s">
        <v>1283</v>
      </c>
      <c r="K8" s="75" t="s">
        <v>1284</v>
      </c>
      <c r="L8" s="75" t="s">
        <v>1285</v>
      </c>
      <c r="M8" s="77" t="s">
        <v>1286</v>
      </c>
      <c r="N8" s="71" t="s">
        <v>1287</v>
      </c>
      <c r="O8" s="44"/>
      <c r="P8" s="44" t="str">
        <f t="shared" si="2"/>
        <v>322</v>
      </c>
      <c r="Q8" s="44" t="str">
        <f t="shared" si="3"/>
        <v>32</v>
      </c>
      <c r="R8" s="44">
        <v>31</v>
      </c>
      <c r="S8" s="44" t="s">
        <v>485</v>
      </c>
      <c r="T8" s="44"/>
      <c r="U8" s="44">
        <v>3114</v>
      </c>
      <c r="V8" s="44" t="s">
        <v>615</v>
      </c>
      <c r="W8" s="44"/>
      <c r="X8" s="44" t="str">
        <f t="shared" si="4"/>
        <v>31</v>
      </c>
      <c r="Y8" s="44" t="str">
        <f t="shared" si="5"/>
        <v>311</v>
      </c>
      <c r="Z8" s="44"/>
      <c r="AA8" s="44" t="s">
        <v>1291</v>
      </c>
      <c r="AB8" s="44" t="s">
        <v>1292</v>
      </c>
    </row>
    <row r="9" spans="1:28" ht="15" customHeight="1">
      <c r="A9" s="71">
        <v>51</v>
      </c>
      <c r="B9" s="66" t="str">
        <f t="shared" si="0"/>
        <v>Pomoći EU</v>
      </c>
      <c r="C9" s="71">
        <v>3239</v>
      </c>
      <c r="D9" s="66" t="str">
        <f t="shared" si="1"/>
        <v>Ostale usluge</v>
      </c>
      <c r="E9" s="71" t="s">
        <v>1282</v>
      </c>
      <c r="F9" s="229" t="s">
        <v>2481</v>
      </c>
      <c r="G9" s="59">
        <v>13800</v>
      </c>
      <c r="H9" s="59">
        <v>15000</v>
      </c>
      <c r="I9" s="59">
        <v>15000</v>
      </c>
      <c r="J9" s="71" t="s">
        <v>1283</v>
      </c>
      <c r="K9" s="75" t="s">
        <v>1284</v>
      </c>
      <c r="L9" s="75" t="s">
        <v>1285</v>
      </c>
      <c r="M9" s="77" t="s">
        <v>1286</v>
      </c>
      <c r="N9" s="71" t="s">
        <v>1287</v>
      </c>
      <c r="O9" s="44"/>
      <c r="P9" s="44" t="str">
        <f t="shared" si="2"/>
        <v>323</v>
      </c>
      <c r="Q9" s="44" t="str">
        <f t="shared" si="3"/>
        <v>32</v>
      </c>
      <c r="R9" s="60">
        <v>41</v>
      </c>
      <c r="S9" s="60" t="s">
        <v>487</v>
      </c>
      <c r="T9" s="44"/>
      <c r="U9" s="44">
        <v>3121</v>
      </c>
      <c r="V9" s="44" t="s">
        <v>618</v>
      </c>
      <c r="W9" s="44"/>
      <c r="X9" s="44" t="str">
        <f t="shared" si="4"/>
        <v>31</v>
      </c>
      <c r="Y9" s="44" t="str">
        <f t="shared" si="5"/>
        <v>312</v>
      </c>
      <c r="Z9" s="44"/>
      <c r="AA9" s="44" t="s">
        <v>1293</v>
      </c>
      <c r="AB9" s="44" t="s">
        <v>1294</v>
      </c>
    </row>
    <row r="10" spans="1:28" ht="15" customHeight="1">
      <c r="A10" s="71">
        <v>51</v>
      </c>
      <c r="B10" s="66" t="str">
        <f t="shared" si="0"/>
        <v>Pomoći EU</v>
      </c>
      <c r="C10" s="71">
        <v>4224</v>
      </c>
      <c r="D10" s="66" t="str">
        <f t="shared" si="1"/>
        <v>Medicinska i laboratorijska oprema</v>
      </c>
      <c r="E10" s="71" t="s">
        <v>1282</v>
      </c>
      <c r="F10" s="229" t="s">
        <v>2481</v>
      </c>
      <c r="G10" s="59">
        <v>0</v>
      </c>
      <c r="H10" s="59">
        <v>20000</v>
      </c>
      <c r="I10" s="59">
        <v>0</v>
      </c>
      <c r="J10" s="71" t="s">
        <v>1283</v>
      </c>
      <c r="K10" s="75" t="s">
        <v>1284</v>
      </c>
      <c r="L10" s="75" t="s">
        <v>1285</v>
      </c>
      <c r="M10" s="77" t="s">
        <v>1286</v>
      </c>
      <c r="N10" s="71" t="s">
        <v>1287</v>
      </c>
      <c r="O10" s="44"/>
      <c r="P10" s="44" t="str">
        <f t="shared" si="2"/>
        <v>422</v>
      </c>
      <c r="Q10" s="44" t="str">
        <f t="shared" si="3"/>
        <v>42</v>
      </c>
      <c r="R10" s="44">
        <v>43</v>
      </c>
      <c r="S10" s="44" t="s">
        <v>489</v>
      </c>
      <c r="T10" s="44"/>
      <c r="U10" s="44">
        <v>3132</v>
      </c>
      <c r="V10" s="44" t="s">
        <v>621</v>
      </c>
      <c r="W10" s="44"/>
      <c r="X10" s="44" t="str">
        <f t="shared" si="4"/>
        <v>31</v>
      </c>
      <c r="Y10" s="44" t="str">
        <f t="shared" si="5"/>
        <v>313</v>
      </c>
      <c r="Z10" s="44"/>
      <c r="AA10" s="44" t="s">
        <v>1295</v>
      </c>
      <c r="AB10" s="44" t="s">
        <v>1296</v>
      </c>
    </row>
    <row r="11" spans="1:28" ht="15" customHeight="1">
      <c r="A11" s="71">
        <v>51</v>
      </c>
      <c r="B11" s="66" t="str">
        <f t="shared" si="0"/>
        <v>Pomoći EU</v>
      </c>
      <c r="C11" s="71">
        <v>3111</v>
      </c>
      <c r="D11" s="66" t="str">
        <f t="shared" si="1"/>
        <v>Plaće za redovan rad</v>
      </c>
      <c r="E11" s="71" t="s">
        <v>1297</v>
      </c>
      <c r="F11" s="229" t="s">
        <v>2180</v>
      </c>
      <c r="G11" s="59">
        <v>134550</v>
      </c>
      <c r="H11" s="59">
        <v>195000</v>
      </c>
      <c r="I11" s="59">
        <v>195000</v>
      </c>
      <c r="J11" s="71" t="s">
        <v>1298</v>
      </c>
      <c r="K11" s="75" t="s">
        <v>1299</v>
      </c>
      <c r="L11" s="75" t="s">
        <v>1300</v>
      </c>
      <c r="M11" s="65" t="s">
        <v>1280</v>
      </c>
      <c r="N11" s="76" t="s">
        <v>1301</v>
      </c>
      <c r="O11" s="44"/>
      <c r="P11" s="44" t="str">
        <f t="shared" si="2"/>
        <v>311</v>
      </c>
      <c r="Q11" s="44" t="str">
        <f t="shared" si="3"/>
        <v>31</v>
      </c>
      <c r="R11" s="44">
        <v>51</v>
      </c>
      <c r="S11" s="44" t="s">
        <v>491</v>
      </c>
      <c r="T11" s="44"/>
      <c r="U11" s="44">
        <v>3211</v>
      </c>
      <c r="V11" s="44" t="s">
        <v>624</v>
      </c>
      <c r="W11" s="44"/>
      <c r="X11" s="44" t="str">
        <f t="shared" si="4"/>
        <v>32</v>
      </c>
      <c r="Y11" s="44" t="str">
        <f t="shared" si="5"/>
        <v>321</v>
      </c>
      <c r="Z11" s="44"/>
      <c r="AA11" s="44" t="s">
        <v>1302</v>
      </c>
      <c r="AB11" s="44" t="s">
        <v>1303</v>
      </c>
    </row>
    <row r="12" spans="1:28" ht="15" customHeight="1">
      <c r="A12" s="71">
        <v>51</v>
      </c>
      <c r="B12" s="66" t="str">
        <f t="shared" si="0"/>
        <v>Pomoći EU</v>
      </c>
      <c r="C12" s="71">
        <v>3239</v>
      </c>
      <c r="D12" s="66" t="str">
        <f t="shared" si="1"/>
        <v>Ostale usluge</v>
      </c>
      <c r="E12" s="71" t="s">
        <v>1297</v>
      </c>
      <c r="F12" s="229" t="s">
        <v>2180</v>
      </c>
      <c r="G12" s="59">
        <v>134184</v>
      </c>
      <c r="H12" s="59">
        <v>194469</v>
      </c>
      <c r="I12" s="59">
        <v>194469</v>
      </c>
      <c r="J12" s="71" t="s">
        <v>1298</v>
      </c>
      <c r="K12" s="75" t="s">
        <v>1299</v>
      </c>
      <c r="L12" s="75" t="s">
        <v>1300</v>
      </c>
      <c r="M12" s="65" t="s">
        <v>1280</v>
      </c>
      <c r="N12" s="76" t="s">
        <v>1301</v>
      </c>
      <c r="O12" s="44"/>
      <c r="P12" s="44" t="str">
        <f t="shared" si="2"/>
        <v>323</v>
      </c>
      <c r="Q12" s="44" t="str">
        <f t="shared" si="3"/>
        <v>32</v>
      </c>
      <c r="R12" s="44">
        <v>52</v>
      </c>
      <c r="S12" s="44" t="s">
        <v>493</v>
      </c>
      <c r="T12" s="44"/>
      <c r="U12" s="44">
        <v>3212</v>
      </c>
      <c r="V12" s="44" t="s">
        <v>628</v>
      </c>
      <c r="W12" s="44"/>
      <c r="X12" s="44" t="str">
        <f t="shared" si="4"/>
        <v>32</v>
      </c>
      <c r="Y12" s="44" t="str">
        <f t="shared" si="5"/>
        <v>321</v>
      </c>
      <c r="Z12" s="44"/>
      <c r="AA12" s="44" t="s">
        <v>1304</v>
      </c>
      <c r="AB12" s="44" t="s">
        <v>1305</v>
      </c>
    </row>
    <row r="13" spans="1:28" ht="15" customHeight="1">
      <c r="A13" s="71">
        <v>51</v>
      </c>
      <c r="B13" s="66" t="str">
        <f t="shared" si="0"/>
        <v>Pomoći EU</v>
      </c>
      <c r="C13" s="71">
        <v>3111</v>
      </c>
      <c r="D13" s="66" t="str">
        <f t="shared" si="1"/>
        <v>Plaće za redovan rad</v>
      </c>
      <c r="E13" s="71" t="str">
        <f>[2]List2!$G$34</f>
        <v>A679078.650</v>
      </c>
      <c r="F13" s="66" t="str">
        <f>'[1]ANALITIKA EU PROJEKATA'!$F$13</f>
        <v>Eatris Plus - H2020 Konsolidacija kapaciteta EATRIS -ERIC -a za personaliziranu medicinu</v>
      </c>
      <c r="G13" s="59">
        <v>24095</v>
      </c>
      <c r="H13" s="59">
        <v>30000</v>
      </c>
      <c r="I13" s="59">
        <v>0</v>
      </c>
      <c r="J13" s="71" t="s">
        <v>1306</v>
      </c>
      <c r="K13" s="75" t="s">
        <v>1307</v>
      </c>
      <c r="L13" s="75" t="s">
        <v>1308</v>
      </c>
      <c r="M13" s="77" t="s">
        <v>1280</v>
      </c>
      <c r="N13" s="71" t="s">
        <v>1309</v>
      </c>
      <c r="O13" s="44"/>
      <c r="P13" s="44" t="str">
        <f t="shared" si="2"/>
        <v>311</v>
      </c>
      <c r="Q13" s="44" t="str">
        <f t="shared" si="3"/>
        <v>31</v>
      </c>
      <c r="R13" s="60">
        <v>552</v>
      </c>
      <c r="S13" s="60" t="s">
        <v>496</v>
      </c>
      <c r="T13" s="44"/>
      <c r="U13" s="44">
        <v>3213</v>
      </c>
      <c r="V13" s="44" t="s">
        <v>631</v>
      </c>
      <c r="W13" s="44"/>
      <c r="X13" s="44" t="str">
        <f t="shared" si="4"/>
        <v>32</v>
      </c>
      <c r="Y13" s="44" t="str">
        <f t="shared" si="5"/>
        <v>321</v>
      </c>
      <c r="Z13" s="44"/>
      <c r="AA13" s="44" t="s">
        <v>1310</v>
      </c>
      <c r="AB13" s="44" t="s">
        <v>1311</v>
      </c>
    </row>
    <row r="14" spans="1:28" ht="15" customHeight="1">
      <c r="A14" s="71">
        <v>51</v>
      </c>
      <c r="B14" s="66" t="str">
        <f t="shared" si="0"/>
        <v>Pomoći EU</v>
      </c>
      <c r="C14" s="71">
        <v>3111</v>
      </c>
      <c r="D14" s="66" t="str">
        <f t="shared" si="1"/>
        <v>Plaće za redovan rad</v>
      </c>
      <c r="E14" s="228" t="s">
        <v>1312</v>
      </c>
      <c r="F14" s="229" t="s">
        <v>2480</v>
      </c>
      <c r="G14" s="59">
        <v>3450</v>
      </c>
      <c r="H14" s="59"/>
      <c r="I14" s="59"/>
      <c r="J14" s="71" t="s">
        <v>1313</v>
      </c>
      <c r="K14" s="75" t="s">
        <v>1314</v>
      </c>
      <c r="L14" s="75" t="s">
        <v>1315</v>
      </c>
      <c r="M14" s="65" t="s">
        <v>1316</v>
      </c>
      <c r="N14" s="76" t="s">
        <v>1317</v>
      </c>
      <c r="O14" s="44"/>
      <c r="P14" s="44" t="str">
        <f t="shared" si="2"/>
        <v>311</v>
      </c>
      <c r="Q14" s="44" t="str">
        <f t="shared" si="3"/>
        <v>31</v>
      </c>
      <c r="R14" s="60">
        <v>559</v>
      </c>
      <c r="S14" s="60" t="s">
        <v>498</v>
      </c>
      <c r="T14" s="44"/>
      <c r="U14" s="44">
        <v>3214</v>
      </c>
      <c r="V14" s="44" t="s">
        <v>634</v>
      </c>
      <c r="W14" s="44"/>
      <c r="X14" s="44" t="str">
        <f t="shared" si="4"/>
        <v>32</v>
      </c>
      <c r="Y14" s="44" t="str">
        <f t="shared" si="5"/>
        <v>321</v>
      </c>
      <c r="Z14" s="44"/>
      <c r="AA14" s="44" t="s">
        <v>1318</v>
      </c>
      <c r="AB14" s="44" t="s">
        <v>1319</v>
      </c>
    </row>
    <row r="15" spans="1:28" ht="15" customHeight="1">
      <c r="A15" s="71">
        <v>51</v>
      </c>
      <c r="B15" s="66" t="str">
        <f t="shared" si="0"/>
        <v>Pomoći EU</v>
      </c>
      <c r="C15" s="71">
        <v>3211</v>
      </c>
      <c r="D15" s="66" t="str">
        <f t="shared" si="1"/>
        <v>Službena putovanja</v>
      </c>
      <c r="E15" s="228" t="s">
        <v>1312</v>
      </c>
      <c r="F15" s="229" t="s">
        <v>2480</v>
      </c>
      <c r="G15" s="59">
        <v>1497</v>
      </c>
      <c r="H15" s="59"/>
      <c r="I15" s="59"/>
      <c r="J15" s="71" t="s">
        <v>1313</v>
      </c>
      <c r="K15" s="75" t="s">
        <v>1314</v>
      </c>
      <c r="L15" s="75" t="s">
        <v>1315</v>
      </c>
      <c r="M15" s="65" t="s">
        <v>1316</v>
      </c>
      <c r="N15" s="76" t="s">
        <v>1317</v>
      </c>
      <c r="O15" s="44"/>
      <c r="P15" s="44" t="str">
        <f t="shared" si="2"/>
        <v>321</v>
      </c>
      <c r="Q15" s="44" t="str">
        <f t="shared" si="3"/>
        <v>32</v>
      </c>
      <c r="R15" s="44">
        <v>561</v>
      </c>
      <c r="S15" s="44" t="s">
        <v>500</v>
      </c>
      <c r="T15" s="44"/>
      <c r="U15" s="44">
        <v>3221</v>
      </c>
      <c r="V15" s="44" t="s">
        <v>637</v>
      </c>
      <c r="W15" s="44"/>
      <c r="X15" s="44" t="str">
        <f t="shared" si="4"/>
        <v>32</v>
      </c>
      <c r="Y15" s="44" t="str">
        <f t="shared" si="5"/>
        <v>322</v>
      </c>
      <c r="Z15" s="44"/>
      <c r="AA15" s="44" t="s">
        <v>1320</v>
      </c>
      <c r="AB15" s="44" t="s">
        <v>1321</v>
      </c>
    </row>
    <row r="16" spans="1:28" ht="15" customHeight="1">
      <c r="A16" s="71">
        <v>51</v>
      </c>
      <c r="B16" s="66" t="str">
        <f t="shared" si="0"/>
        <v>Pomoći EU</v>
      </c>
      <c r="C16" s="71">
        <v>3111</v>
      </c>
      <c r="D16" s="66" t="str">
        <f t="shared" si="1"/>
        <v>Plaće za redovan rad</v>
      </c>
      <c r="E16" s="71" t="str">
        <f>[2]List2!$G$32</f>
        <v>A679078.649</v>
      </c>
      <c r="F16" s="66" t="str">
        <f>'[1]ANALITIKA EU PROJEKATA'!$F$14</f>
        <v>Erasmus + EPL Europska licenca za propisivanje</v>
      </c>
      <c r="G16" s="59">
        <v>3781</v>
      </c>
      <c r="H16" s="59">
        <v>2000</v>
      </c>
      <c r="I16" s="59"/>
      <c r="J16" s="65" t="s">
        <v>1322</v>
      </c>
      <c r="K16" s="75">
        <v>44256</v>
      </c>
      <c r="L16" s="75">
        <v>44985</v>
      </c>
      <c r="M16" s="65" t="s">
        <v>1316</v>
      </c>
      <c r="N16" s="76" t="s">
        <v>1323</v>
      </c>
      <c r="O16" s="44"/>
      <c r="P16" s="44" t="str">
        <f t="shared" si="2"/>
        <v>311</v>
      </c>
      <c r="Q16" s="44" t="str">
        <f t="shared" si="3"/>
        <v>31</v>
      </c>
      <c r="R16" s="44">
        <v>563</v>
      </c>
      <c r="S16" s="44" t="s">
        <v>502</v>
      </c>
      <c r="T16" s="44"/>
      <c r="U16" s="44">
        <v>3222</v>
      </c>
      <c r="V16" s="44" t="s">
        <v>640</v>
      </c>
      <c r="W16" s="44"/>
      <c r="X16" s="44" t="str">
        <f t="shared" si="4"/>
        <v>32</v>
      </c>
      <c r="Y16" s="44" t="str">
        <f t="shared" si="5"/>
        <v>322</v>
      </c>
      <c r="Z16" s="44"/>
      <c r="AA16" s="44" t="s">
        <v>1324</v>
      </c>
      <c r="AB16" s="44" t="s">
        <v>1325</v>
      </c>
    </row>
    <row r="17" spans="1:28" ht="15" customHeight="1">
      <c r="A17" s="71">
        <v>51</v>
      </c>
      <c r="B17" s="66" t="str">
        <f t="shared" si="0"/>
        <v>Pomoći EU</v>
      </c>
      <c r="C17" s="71">
        <v>3211</v>
      </c>
      <c r="D17" s="66" t="str">
        <f t="shared" si="1"/>
        <v>Službena putovanja</v>
      </c>
      <c r="E17" s="71" t="str">
        <f>[2]List2!$G$32</f>
        <v>A679078.649</v>
      </c>
      <c r="F17" s="66" t="str">
        <f>'[1]ANALITIKA EU PROJEKATA'!$F$14</f>
        <v>Erasmus + EPL Europska licenca za propisivanje</v>
      </c>
      <c r="G17" s="59">
        <v>397</v>
      </c>
      <c r="H17" s="59">
        <v>760</v>
      </c>
      <c r="I17" s="59"/>
      <c r="J17" s="65" t="s">
        <v>1322</v>
      </c>
      <c r="K17" s="75">
        <v>44256</v>
      </c>
      <c r="L17" s="75">
        <v>44985</v>
      </c>
      <c r="M17" s="65" t="s">
        <v>1316</v>
      </c>
      <c r="N17" s="71" t="s">
        <v>1326</v>
      </c>
      <c r="O17" s="44"/>
      <c r="P17" s="44" t="str">
        <f t="shared" si="2"/>
        <v>321</v>
      </c>
      <c r="Q17" s="44" t="str">
        <f t="shared" si="3"/>
        <v>32</v>
      </c>
      <c r="R17" s="44">
        <v>573</v>
      </c>
      <c r="S17" s="60" t="s">
        <v>504</v>
      </c>
      <c r="T17" s="44"/>
      <c r="U17" s="44">
        <v>3223</v>
      </c>
      <c r="V17" s="44" t="s">
        <v>643</v>
      </c>
      <c r="W17" s="44"/>
      <c r="X17" s="44" t="str">
        <f t="shared" si="4"/>
        <v>32</v>
      </c>
      <c r="Y17" s="44" t="str">
        <f t="shared" si="5"/>
        <v>322</v>
      </c>
      <c r="Z17" s="44"/>
      <c r="AA17" s="44" t="s">
        <v>1327</v>
      </c>
      <c r="AB17" s="44" t="s">
        <v>1328</v>
      </c>
    </row>
    <row r="18" spans="1:28" ht="15" customHeight="1">
      <c r="A18" s="71">
        <v>51</v>
      </c>
      <c r="B18" s="66" t="str">
        <f t="shared" si="0"/>
        <v>Pomoći EU</v>
      </c>
      <c r="C18" s="71">
        <v>3111</v>
      </c>
      <c r="D18" s="66" t="str">
        <f t="shared" si="1"/>
        <v>Plaće za redovan rad</v>
      </c>
      <c r="E18" s="71" t="str">
        <f>[2]List2!$G$31</f>
        <v>A679078.649</v>
      </c>
      <c r="F18" s="229" t="s">
        <v>3571</v>
      </c>
      <c r="G18" s="59">
        <v>22693</v>
      </c>
      <c r="H18" s="59">
        <v>9867</v>
      </c>
      <c r="I18" s="59">
        <v>16445</v>
      </c>
      <c r="J18" s="65" t="s">
        <v>1329</v>
      </c>
      <c r="K18" s="75">
        <v>44256</v>
      </c>
      <c r="L18" s="75">
        <v>45351</v>
      </c>
      <c r="M18" s="65" t="s">
        <v>1330</v>
      </c>
      <c r="N18" s="71" t="s">
        <v>1331</v>
      </c>
      <c r="O18" s="44"/>
      <c r="P18" s="44" t="str">
        <f t="shared" si="2"/>
        <v>311</v>
      </c>
      <c r="Q18" s="44" t="str">
        <f t="shared" si="3"/>
        <v>31</v>
      </c>
      <c r="R18" s="60">
        <v>575</v>
      </c>
      <c r="S18" s="60" t="s">
        <v>506</v>
      </c>
      <c r="T18" s="44"/>
      <c r="U18" s="44">
        <v>3224</v>
      </c>
      <c r="V18" s="44" t="s">
        <v>646</v>
      </c>
      <c r="W18" s="44"/>
      <c r="X18" s="44" t="str">
        <f t="shared" si="4"/>
        <v>32</v>
      </c>
      <c r="Y18" s="44" t="str">
        <f t="shared" si="5"/>
        <v>322</v>
      </c>
      <c r="Z18" s="44"/>
      <c r="AA18" s="44" t="s">
        <v>1332</v>
      </c>
      <c r="AB18" s="44" t="s">
        <v>1333</v>
      </c>
    </row>
    <row r="19" spans="1:28" ht="15" customHeight="1">
      <c r="A19" s="71">
        <v>51</v>
      </c>
      <c r="B19" s="66" t="str">
        <f t="shared" si="0"/>
        <v>Pomoći EU</v>
      </c>
      <c r="C19" s="71">
        <v>3211</v>
      </c>
      <c r="D19" s="66" t="str">
        <f t="shared" si="1"/>
        <v>Službena putovanja</v>
      </c>
      <c r="E19" s="71" t="str">
        <f>[2]List2!$G$31</f>
        <v>A679078.649</v>
      </c>
      <c r="F19" s="229" t="s">
        <v>3571</v>
      </c>
      <c r="G19" s="59">
        <v>0</v>
      </c>
      <c r="H19" s="59">
        <v>0</v>
      </c>
      <c r="I19" s="59">
        <v>1032</v>
      </c>
      <c r="J19" s="65" t="s">
        <v>1329</v>
      </c>
      <c r="K19" s="75">
        <v>44256</v>
      </c>
      <c r="L19" s="75">
        <v>45351</v>
      </c>
      <c r="M19" s="65" t="s">
        <v>1330</v>
      </c>
      <c r="N19" s="71" t="s">
        <v>1331</v>
      </c>
      <c r="O19" s="44"/>
      <c r="P19" s="44" t="str">
        <f t="shared" si="2"/>
        <v>321</v>
      </c>
      <c r="Q19" s="44" t="str">
        <f t="shared" si="3"/>
        <v>32</v>
      </c>
      <c r="R19" s="44">
        <v>576</v>
      </c>
      <c r="S19" s="67" t="s">
        <v>508</v>
      </c>
      <c r="T19" s="44"/>
      <c r="U19" s="44">
        <v>3225</v>
      </c>
      <c r="V19" s="44" t="s">
        <v>650</v>
      </c>
      <c r="W19" s="44"/>
      <c r="X19" s="44" t="str">
        <f t="shared" si="4"/>
        <v>32</v>
      </c>
      <c r="Y19" s="44" t="str">
        <f t="shared" si="5"/>
        <v>322</v>
      </c>
      <c r="Z19" s="44"/>
      <c r="AA19" s="44" t="s">
        <v>1334</v>
      </c>
      <c r="AB19" s="44" t="s">
        <v>1335</v>
      </c>
    </row>
    <row r="20" spans="1:28" ht="15" customHeight="1">
      <c r="A20" s="71">
        <v>51</v>
      </c>
      <c r="B20" s="66" t="str">
        <f t="shared" si="0"/>
        <v>Pomoći EU</v>
      </c>
      <c r="C20" s="71">
        <v>3239</v>
      </c>
      <c r="D20" s="66" t="str">
        <f t="shared" si="1"/>
        <v>Ostale usluge</v>
      </c>
      <c r="E20" s="71" t="str">
        <f>[2]List2!$G$31</f>
        <v>A679078.649</v>
      </c>
      <c r="F20" s="229" t="s">
        <v>3571</v>
      </c>
      <c r="G20" s="59">
        <v>6632</v>
      </c>
      <c r="H20" s="59">
        <v>2883</v>
      </c>
      <c r="I20" s="59">
        <v>4806</v>
      </c>
      <c r="J20" s="65" t="s">
        <v>1329</v>
      </c>
      <c r="K20" s="75">
        <v>44256</v>
      </c>
      <c r="L20" s="75">
        <v>45351</v>
      </c>
      <c r="M20" s="65" t="s">
        <v>1330</v>
      </c>
      <c r="N20" s="71" t="s">
        <v>1331</v>
      </c>
      <c r="O20" s="44"/>
      <c r="P20" s="44" t="str">
        <f t="shared" si="2"/>
        <v>323</v>
      </c>
      <c r="Q20" s="44" t="str">
        <f t="shared" si="3"/>
        <v>32</v>
      </c>
      <c r="R20" s="68">
        <v>581</v>
      </c>
      <c r="S20" s="69" t="s">
        <v>510</v>
      </c>
      <c r="T20" s="44"/>
      <c r="U20" s="44">
        <v>3226</v>
      </c>
      <c r="V20" s="44" t="s">
        <v>653</v>
      </c>
      <c r="W20" s="44"/>
      <c r="X20" s="44" t="str">
        <f t="shared" si="4"/>
        <v>32</v>
      </c>
      <c r="Y20" s="44" t="str">
        <f t="shared" si="5"/>
        <v>322</v>
      </c>
      <c r="Z20" s="44"/>
      <c r="AA20" s="44" t="s">
        <v>1336</v>
      </c>
      <c r="AB20" s="44" t="s">
        <v>1337</v>
      </c>
    </row>
    <row r="21" spans="1:28" ht="15" customHeight="1">
      <c r="A21" s="71">
        <v>563</v>
      </c>
      <c r="B21" s="66" t="str">
        <f t="shared" si="0"/>
        <v>Europski fond za regionalni razvoj (ERDF)</v>
      </c>
      <c r="C21" s="71">
        <v>3111</v>
      </c>
      <c r="D21" s="66" t="str">
        <f t="shared" si="1"/>
        <v>Plaće za redovan rad</v>
      </c>
      <c r="E21" s="71" t="s">
        <v>1338</v>
      </c>
      <c r="F21" s="66" t="str">
        <f t="shared" ref="F21:F43" si="6">IFERROR(VLOOKUP(E21,$AA$6:$AB$1016,2,FALSE),"")</f>
        <v>Vrhunska istraživanja Znanstvenih centara izvrsnosti</v>
      </c>
      <c r="G21" s="59">
        <v>1660000</v>
      </c>
      <c r="H21" s="59"/>
      <c r="I21" s="59"/>
      <c r="J21" s="231" t="s">
        <v>1339</v>
      </c>
      <c r="K21" s="75" t="s">
        <v>1340</v>
      </c>
      <c r="L21" s="75" t="s">
        <v>1341</v>
      </c>
      <c r="M21" s="77"/>
      <c r="N21" s="77"/>
      <c r="O21" s="44"/>
      <c r="P21" s="44" t="str">
        <f t="shared" si="2"/>
        <v>311</v>
      </c>
      <c r="Q21" s="44" t="str">
        <f t="shared" si="3"/>
        <v>31</v>
      </c>
      <c r="R21" s="44">
        <v>61</v>
      </c>
      <c r="S21" s="44" t="s">
        <v>511</v>
      </c>
      <c r="T21" s="44"/>
      <c r="U21" s="44">
        <v>3227</v>
      </c>
      <c r="V21" s="44" t="s">
        <v>656</v>
      </c>
      <c r="W21" s="44"/>
      <c r="X21" s="44" t="str">
        <f t="shared" si="4"/>
        <v>32</v>
      </c>
      <c r="Y21" s="44" t="str">
        <f t="shared" si="5"/>
        <v>322</v>
      </c>
      <c r="Z21" s="44"/>
      <c r="AA21" s="44" t="s">
        <v>1342</v>
      </c>
      <c r="AB21" s="44" t="s">
        <v>1343</v>
      </c>
    </row>
    <row r="22" spans="1:28" ht="15" customHeight="1">
      <c r="A22" s="71">
        <v>563</v>
      </c>
      <c r="B22" s="66" t="str">
        <f t="shared" si="0"/>
        <v>Europski fond za regionalni razvoj (ERDF)</v>
      </c>
      <c r="C22" s="71">
        <v>3211</v>
      </c>
      <c r="D22" s="66" t="str">
        <f t="shared" si="1"/>
        <v>Službena putovanja</v>
      </c>
      <c r="E22" s="71" t="s">
        <v>1338</v>
      </c>
      <c r="F22" s="66" t="str">
        <f t="shared" si="6"/>
        <v>Vrhunska istraživanja Znanstvenih centara izvrsnosti</v>
      </c>
      <c r="G22" s="59">
        <v>715000</v>
      </c>
      <c r="H22" s="59"/>
      <c r="I22" s="59"/>
      <c r="J22" s="71" t="s">
        <v>1339</v>
      </c>
      <c r="K22" s="75" t="s">
        <v>1340</v>
      </c>
      <c r="L22" s="75" t="s">
        <v>1341</v>
      </c>
      <c r="M22" s="77"/>
      <c r="N22" s="77"/>
      <c r="O22" s="44"/>
      <c r="P22" s="44" t="str">
        <f t="shared" si="2"/>
        <v>321</v>
      </c>
      <c r="Q22" s="44" t="str">
        <f t="shared" si="3"/>
        <v>32</v>
      </c>
      <c r="R22" s="44">
        <v>71</v>
      </c>
      <c r="S22" s="44" t="s">
        <v>513</v>
      </c>
      <c r="T22" s="44"/>
      <c r="U22" s="44">
        <v>3231</v>
      </c>
      <c r="V22" s="44" t="s">
        <v>659</v>
      </c>
      <c r="W22" s="44"/>
      <c r="X22" s="44" t="str">
        <f t="shared" si="4"/>
        <v>32</v>
      </c>
      <c r="Y22" s="44" t="str">
        <f t="shared" si="5"/>
        <v>323</v>
      </c>
      <c r="Z22" s="44"/>
      <c r="AA22" s="44" t="s">
        <v>1344</v>
      </c>
      <c r="AB22" s="44" t="s">
        <v>1345</v>
      </c>
    </row>
    <row r="23" spans="1:28" ht="15" customHeight="1">
      <c r="A23" s="71">
        <v>563</v>
      </c>
      <c r="B23" s="66" t="str">
        <f t="shared" si="0"/>
        <v>Europski fond za regionalni razvoj (ERDF)</v>
      </c>
      <c r="C23" s="71">
        <v>3213</v>
      </c>
      <c r="D23" s="66" t="str">
        <f t="shared" si="1"/>
        <v>Stručno usavršavanje zaposlenika</v>
      </c>
      <c r="E23" s="71" t="s">
        <v>1338</v>
      </c>
      <c r="F23" s="66" t="str">
        <f t="shared" si="6"/>
        <v>Vrhunska istraživanja Znanstvenih centara izvrsnosti</v>
      </c>
      <c r="G23" s="59">
        <v>60000</v>
      </c>
      <c r="H23" s="59"/>
      <c r="I23" s="59"/>
      <c r="J23" s="71" t="s">
        <v>1339</v>
      </c>
      <c r="K23" s="75" t="s">
        <v>1340</v>
      </c>
      <c r="L23" s="75" t="s">
        <v>1341</v>
      </c>
      <c r="M23" s="77"/>
      <c r="N23" s="77"/>
      <c r="O23" s="44"/>
      <c r="P23" s="44" t="str">
        <f t="shared" si="2"/>
        <v>321</v>
      </c>
      <c r="Q23" s="44" t="str">
        <f t="shared" si="3"/>
        <v>32</v>
      </c>
      <c r="R23" s="44">
        <v>81</v>
      </c>
      <c r="S23" s="44" t="s">
        <v>515</v>
      </c>
      <c r="T23" s="44"/>
      <c r="U23" s="44">
        <v>3232</v>
      </c>
      <c r="V23" s="44" t="s">
        <v>662</v>
      </c>
      <c r="W23" s="44"/>
      <c r="X23" s="44" t="str">
        <f t="shared" si="4"/>
        <v>32</v>
      </c>
      <c r="Y23" s="44" t="str">
        <f t="shared" si="5"/>
        <v>323</v>
      </c>
      <c r="Z23" s="44"/>
      <c r="AA23" s="44" t="s">
        <v>1346</v>
      </c>
      <c r="AB23" s="44" t="s">
        <v>1347</v>
      </c>
    </row>
    <row r="24" spans="1:28" ht="15" customHeight="1">
      <c r="A24" s="71">
        <v>563</v>
      </c>
      <c r="B24" s="66" t="str">
        <f t="shared" si="0"/>
        <v>Europski fond za regionalni razvoj (ERDF)</v>
      </c>
      <c r="C24" s="71">
        <v>3221</v>
      </c>
      <c r="D24" s="66" t="str">
        <f t="shared" si="1"/>
        <v>Uredski materijal i ostali materijalni rashodi</v>
      </c>
      <c r="E24" s="71" t="s">
        <v>1338</v>
      </c>
      <c r="F24" s="66" t="str">
        <f t="shared" si="6"/>
        <v>Vrhunska istraživanja Znanstvenih centara izvrsnosti</v>
      </c>
      <c r="G24" s="59">
        <v>1850000</v>
      </c>
      <c r="H24" s="59"/>
      <c r="I24" s="59"/>
      <c r="J24" s="71" t="s">
        <v>1339</v>
      </c>
      <c r="K24" s="75" t="s">
        <v>1340</v>
      </c>
      <c r="L24" s="75" t="s">
        <v>1341</v>
      </c>
      <c r="M24" s="77"/>
      <c r="N24" s="77"/>
      <c r="O24" s="44"/>
      <c r="P24" s="44" t="str">
        <f t="shared" si="2"/>
        <v>322</v>
      </c>
      <c r="Q24" s="44" t="str">
        <f t="shared" si="3"/>
        <v>32</v>
      </c>
      <c r="R24" s="70">
        <v>83</v>
      </c>
      <c r="S24" s="70" t="s">
        <v>517</v>
      </c>
      <c r="T24" s="44"/>
      <c r="U24" s="44">
        <v>3233</v>
      </c>
      <c r="V24" s="44" t="s">
        <v>665</v>
      </c>
      <c r="W24" s="44"/>
      <c r="X24" s="44" t="str">
        <f t="shared" si="4"/>
        <v>32</v>
      </c>
      <c r="Y24" s="44" t="str">
        <f t="shared" si="5"/>
        <v>323</v>
      </c>
      <c r="Z24" s="44"/>
      <c r="AA24" s="44" t="s">
        <v>1348</v>
      </c>
      <c r="AB24" s="44" t="s">
        <v>1349</v>
      </c>
    </row>
    <row r="25" spans="1:28" ht="15" customHeight="1">
      <c r="A25" s="71">
        <v>563</v>
      </c>
      <c r="B25" s="66" t="str">
        <f t="shared" si="0"/>
        <v>Europski fond za regionalni razvoj (ERDF)</v>
      </c>
      <c r="C25" s="71">
        <v>3239</v>
      </c>
      <c r="D25" s="66" t="str">
        <f t="shared" si="1"/>
        <v>Ostale usluge</v>
      </c>
      <c r="E25" s="71" t="s">
        <v>1338</v>
      </c>
      <c r="F25" s="66" t="str">
        <f t="shared" si="6"/>
        <v>Vrhunska istraživanja Znanstvenih centara izvrsnosti</v>
      </c>
      <c r="G25" s="59">
        <v>110000</v>
      </c>
      <c r="H25" s="59"/>
      <c r="I25" s="59"/>
      <c r="J25" s="71" t="s">
        <v>1339</v>
      </c>
      <c r="K25" s="75" t="s">
        <v>1340</v>
      </c>
      <c r="L25" s="75" t="s">
        <v>1341</v>
      </c>
      <c r="M25" s="77"/>
      <c r="N25" s="77"/>
      <c r="O25" s="44"/>
      <c r="P25" s="44" t="str">
        <f t="shared" si="2"/>
        <v>323</v>
      </c>
      <c r="Q25" s="44" t="str">
        <f t="shared" si="3"/>
        <v>32</v>
      </c>
      <c r="R25" s="44"/>
      <c r="S25" s="44"/>
      <c r="T25" s="44"/>
      <c r="U25" s="44">
        <v>3234</v>
      </c>
      <c r="V25" s="44" t="s">
        <v>668</v>
      </c>
      <c r="W25" s="44"/>
      <c r="X25" s="44" t="str">
        <f t="shared" si="4"/>
        <v>32</v>
      </c>
      <c r="Y25" s="44" t="str">
        <f t="shared" si="5"/>
        <v>323</v>
      </c>
      <c r="Z25" s="44"/>
      <c r="AA25" s="44" t="s">
        <v>1350</v>
      </c>
      <c r="AB25" s="44" t="s">
        <v>1351</v>
      </c>
    </row>
    <row r="26" spans="1:28" ht="15" customHeight="1">
      <c r="A26" s="71">
        <v>563</v>
      </c>
      <c r="B26" s="66" t="str">
        <f t="shared" si="0"/>
        <v>Europski fond za regionalni razvoj (ERDF)</v>
      </c>
      <c r="C26" s="71">
        <v>4123</v>
      </c>
      <c r="D26" s="66" t="str">
        <f t="shared" si="1"/>
        <v>Licence</v>
      </c>
      <c r="E26" s="71" t="s">
        <v>1338</v>
      </c>
      <c r="F26" s="66" t="str">
        <f t="shared" si="6"/>
        <v>Vrhunska istraživanja Znanstvenih centara izvrsnosti</v>
      </c>
      <c r="G26" s="59">
        <v>21400</v>
      </c>
      <c r="H26" s="59"/>
      <c r="I26" s="59"/>
      <c r="J26" s="71" t="s">
        <v>1339</v>
      </c>
      <c r="K26" s="75" t="s">
        <v>1340</v>
      </c>
      <c r="L26" s="75" t="s">
        <v>1341</v>
      </c>
      <c r="M26" s="77"/>
      <c r="N26" s="77"/>
      <c r="O26" s="44"/>
      <c r="P26" s="44" t="str">
        <f t="shared" si="2"/>
        <v>412</v>
      </c>
      <c r="Q26" s="44" t="str">
        <f t="shared" si="3"/>
        <v>41</v>
      </c>
      <c r="R26" s="44"/>
      <c r="S26" s="44"/>
      <c r="T26" s="44"/>
      <c r="U26" s="44">
        <v>3235</v>
      </c>
      <c r="V26" s="44" t="s">
        <v>671</v>
      </c>
      <c r="W26" s="44"/>
      <c r="X26" s="44" t="str">
        <f t="shared" si="4"/>
        <v>32</v>
      </c>
      <c r="Y26" s="44" t="str">
        <f t="shared" si="5"/>
        <v>323</v>
      </c>
      <c r="Z26" s="44"/>
      <c r="AA26" s="44" t="s">
        <v>1352</v>
      </c>
      <c r="AB26" s="44" t="s">
        <v>1353</v>
      </c>
    </row>
    <row r="27" spans="1:28" ht="15" customHeight="1">
      <c r="A27" s="71">
        <v>563</v>
      </c>
      <c r="B27" s="66" t="str">
        <f t="shared" si="0"/>
        <v>Europski fond za regionalni razvoj (ERDF)</v>
      </c>
      <c r="C27" s="71">
        <v>4224</v>
      </c>
      <c r="D27" s="66" t="str">
        <f t="shared" si="1"/>
        <v>Medicinska i laboratorijska oprema</v>
      </c>
      <c r="E27" s="71" t="s">
        <v>1338</v>
      </c>
      <c r="F27" s="66" t="str">
        <f t="shared" si="6"/>
        <v>Vrhunska istraživanja Znanstvenih centara izvrsnosti</v>
      </c>
      <c r="G27" s="59">
        <v>0</v>
      </c>
      <c r="H27" s="59"/>
      <c r="I27" s="59"/>
      <c r="J27" s="71" t="s">
        <v>1339</v>
      </c>
      <c r="K27" s="75" t="s">
        <v>1340</v>
      </c>
      <c r="L27" s="75" t="s">
        <v>1341</v>
      </c>
      <c r="M27" s="77"/>
      <c r="N27" s="77"/>
      <c r="O27" s="44"/>
      <c r="P27" s="44" t="str">
        <f t="shared" si="2"/>
        <v>422</v>
      </c>
      <c r="Q27" s="44" t="str">
        <f t="shared" si="3"/>
        <v>42</v>
      </c>
      <c r="R27" s="44"/>
      <c r="S27" s="44"/>
      <c r="T27" s="44"/>
      <c r="U27" s="44">
        <v>3236</v>
      </c>
      <c r="V27" s="44" t="s">
        <v>674</v>
      </c>
      <c r="W27" s="44"/>
      <c r="X27" s="44" t="str">
        <f t="shared" si="4"/>
        <v>32</v>
      </c>
      <c r="Y27" s="44" t="str">
        <f t="shared" si="5"/>
        <v>323</v>
      </c>
      <c r="Z27" s="44"/>
      <c r="AA27" s="44" t="s">
        <v>1354</v>
      </c>
      <c r="AB27" s="44" t="s">
        <v>1355</v>
      </c>
    </row>
    <row r="28" spans="1:28" ht="15" customHeight="1">
      <c r="A28" s="71">
        <v>563</v>
      </c>
      <c r="B28" s="66" t="str">
        <f t="shared" si="0"/>
        <v>Europski fond za regionalni razvoj (ERDF)</v>
      </c>
      <c r="C28" s="71">
        <v>4225</v>
      </c>
      <c r="D28" s="66" t="str">
        <f t="shared" si="1"/>
        <v>Instrumenti, uređaji i strojevi</v>
      </c>
      <c r="E28" s="71" t="s">
        <v>1338</v>
      </c>
      <c r="F28" s="66" t="str">
        <f t="shared" si="6"/>
        <v>Vrhunska istraživanja Znanstvenih centara izvrsnosti</v>
      </c>
      <c r="G28" s="59">
        <v>34000</v>
      </c>
      <c r="H28" s="59"/>
      <c r="I28" s="59"/>
      <c r="J28" s="71" t="s">
        <v>1339</v>
      </c>
      <c r="K28" s="75" t="s">
        <v>1340</v>
      </c>
      <c r="L28" s="75" t="s">
        <v>1341</v>
      </c>
      <c r="M28" s="77"/>
      <c r="N28" s="77"/>
      <c r="O28" s="44"/>
      <c r="P28" s="44" t="str">
        <f t="shared" si="2"/>
        <v>422</v>
      </c>
      <c r="Q28" s="44" t="str">
        <f t="shared" si="3"/>
        <v>42</v>
      </c>
      <c r="R28" s="44"/>
      <c r="S28" s="44"/>
      <c r="T28" s="44"/>
      <c r="U28" s="44">
        <v>3237</v>
      </c>
      <c r="V28" s="44" t="s">
        <v>677</v>
      </c>
      <c r="W28" s="44"/>
      <c r="X28" s="44" t="str">
        <f t="shared" si="4"/>
        <v>32</v>
      </c>
      <c r="Y28" s="44" t="str">
        <f t="shared" si="5"/>
        <v>323</v>
      </c>
      <c r="Z28" s="44"/>
      <c r="AA28" s="44" t="s">
        <v>1356</v>
      </c>
      <c r="AB28" s="44" t="s">
        <v>1357</v>
      </c>
    </row>
    <row r="29" spans="1:28" ht="15" customHeight="1">
      <c r="A29" s="71">
        <v>563</v>
      </c>
      <c r="B29" s="66" t="str">
        <f t="shared" si="0"/>
        <v>Europski fond za regionalni razvoj (ERDF)</v>
      </c>
      <c r="C29" s="71">
        <v>3111</v>
      </c>
      <c r="D29" s="66" t="str">
        <f t="shared" si="1"/>
        <v>Plaće za redovan rad</v>
      </c>
      <c r="E29" s="71" t="s">
        <v>1338</v>
      </c>
      <c r="F29" s="66" t="str">
        <f t="shared" si="6"/>
        <v>Vrhunska istraživanja Znanstvenih centara izvrsnosti</v>
      </c>
      <c r="G29" s="59">
        <v>407200</v>
      </c>
      <c r="H29" s="59"/>
      <c r="I29" s="232"/>
      <c r="J29" s="71" t="s">
        <v>1358</v>
      </c>
      <c r="K29" s="75" t="s">
        <v>1340</v>
      </c>
      <c r="L29" s="75" t="s">
        <v>1341</v>
      </c>
      <c r="M29" s="77"/>
      <c r="N29" s="77"/>
      <c r="O29" s="44"/>
      <c r="P29" s="44" t="str">
        <f t="shared" si="2"/>
        <v>311</v>
      </c>
      <c r="Q29" s="44" t="str">
        <f t="shared" si="3"/>
        <v>31</v>
      </c>
      <c r="R29" s="44"/>
      <c r="S29" s="44"/>
      <c r="T29" s="44"/>
      <c r="U29" s="44">
        <v>3238</v>
      </c>
      <c r="V29" s="44" t="s">
        <v>680</v>
      </c>
      <c r="W29" s="44"/>
      <c r="X29" s="44" t="str">
        <f t="shared" si="4"/>
        <v>32</v>
      </c>
      <c r="Y29" s="44" t="str">
        <f t="shared" si="5"/>
        <v>323</v>
      </c>
      <c r="Z29" s="44"/>
      <c r="AA29" s="44" t="s">
        <v>1359</v>
      </c>
      <c r="AB29" s="44" t="s">
        <v>1360</v>
      </c>
    </row>
    <row r="30" spans="1:28" ht="15" customHeight="1">
      <c r="A30" s="71">
        <v>563</v>
      </c>
      <c r="B30" s="66" t="str">
        <f t="shared" si="0"/>
        <v>Europski fond za regionalni razvoj (ERDF)</v>
      </c>
      <c r="C30" s="71">
        <v>3211</v>
      </c>
      <c r="D30" s="66" t="str">
        <f t="shared" si="1"/>
        <v>Službena putovanja</v>
      </c>
      <c r="E30" s="71" t="s">
        <v>1338</v>
      </c>
      <c r="F30" s="66" t="str">
        <f t="shared" si="6"/>
        <v>Vrhunska istraživanja Znanstvenih centara izvrsnosti</v>
      </c>
      <c r="G30" s="59">
        <v>150000</v>
      </c>
      <c r="H30" s="59"/>
      <c r="I30" s="59"/>
      <c r="J30" s="71" t="s">
        <v>1358</v>
      </c>
      <c r="K30" s="75" t="s">
        <v>1340</v>
      </c>
      <c r="L30" s="75" t="s">
        <v>1341</v>
      </c>
      <c r="M30" s="77"/>
      <c r="N30" s="77"/>
      <c r="O30" s="44"/>
      <c r="P30" s="44" t="str">
        <f t="shared" si="2"/>
        <v>321</v>
      </c>
      <c r="Q30" s="44" t="str">
        <f t="shared" si="3"/>
        <v>32</v>
      </c>
      <c r="R30" s="44"/>
      <c r="S30" s="44"/>
      <c r="T30" s="44"/>
      <c r="U30" s="44">
        <v>3239</v>
      </c>
      <c r="V30" s="44" t="s">
        <v>683</v>
      </c>
      <c r="W30" s="44"/>
      <c r="X30" s="44" t="str">
        <f t="shared" si="4"/>
        <v>32</v>
      </c>
      <c r="Y30" s="44" t="str">
        <f t="shared" si="5"/>
        <v>323</v>
      </c>
      <c r="Z30" s="44"/>
      <c r="AA30" s="44" t="s">
        <v>1361</v>
      </c>
      <c r="AB30" s="44" t="s">
        <v>1362</v>
      </c>
    </row>
    <row r="31" spans="1:28" ht="15" customHeight="1">
      <c r="A31" s="71">
        <v>563</v>
      </c>
      <c r="B31" s="66" t="str">
        <f t="shared" si="0"/>
        <v>Europski fond za regionalni razvoj (ERDF)</v>
      </c>
      <c r="C31" s="71">
        <v>3213</v>
      </c>
      <c r="D31" s="66" t="str">
        <f t="shared" si="1"/>
        <v>Stručno usavršavanje zaposlenika</v>
      </c>
      <c r="E31" s="71" t="s">
        <v>1338</v>
      </c>
      <c r="F31" s="66" t="str">
        <f t="shared" si="6"/>
        <v>Vrhunska istraživanja Znanstvenih centara izvrsnosti</v>
      </c>
      <c r="G31" s="59">
        <v>100000</v>
      </c>
      <c r="H31" s="59"/>
      <c r="I31" s="59"/>
      <c r="J31" s="71" t="s">
        <v>1358</v>
      </c>
      <c r="K31" s="75" t="s">
        <v>1340</v>
      </c>
      <c r="L31" s="75" t="s">
        <v>1341</v>
      </c>
      <c r="M31" s="77"/>
      <c r="N31" s="77"/>
      <c r="O31" s="44"/>
      <c r="P31" s="44" t="str">
        <f t="shared" si="2"/>
        <v>321</v>
      </c>
      <c r="Q31" s="44" t="str">
        <f t="shared" si="3"/>
        <v>32</v>
      </c>
      <c r="R31" s="44"/>
      <c r="S31" s="44"/>
      <c r="T31" s="44"/>
      <c r="U31" s="44">
        <v>3241</v>
      </c>
      <c r="V31" s="44" t="s">
        <v>686</v>
      </c>
      <c r="W31" s="44"/>
      <c r="X31" s="44" t="str">
        <f t="shared" si="4"/>
        <v>32</v>
      </c>
      <c r="Y31" s="44" t="str">
        <f t="shared" si="5"/>
        <v>324</v>
      </c>
      <c r="Z31" s="44"/>
      <c r="AA31" s="44" t="s">
        <v>1363</v>
      </c>
      <c r="AB31" s="44" t="s">
        <v>1364</v>
      </c>
    </row>
    <row r="32" spans="1:28" ht="15" customHeight="1">
      <c r="A32" s="71">
        <v>563</v>
      </c>
      <c r="B32" s="66" t="str">
        <f t="shared" si="0"/>
        <v>Europski fond za regionalni razvoj (ERDF)</v>
      </c>
      <c r="C32" s="71">
        <v>3221</v>
      </c>
      <c r="D32" s="66" t="str">
        <f t="shared" si="1"/>
        <v>Uredski materijal i ostali materijalni rashodi</v>
      </c>
      <c r="E32" s="71" t="s">
        <v>1338</v>
      </c>
      <c r="F32" s="66" t="str">
        <f t="shared" si="6"/>
        <v>Vrhunska istraživanja Znanstvenih centara izvrsnosti</v>
      </c>
      <c r="G32" s="59">
        <v>350000</v>
      </c>
      <c r="H32" s="59"/>
      <c r="I32" s="59"/>
      <c r="J32" s="71" t="s">
        <v>1358</v>
      </c>
      <c r="K32" s="75" t="s">
        <v>1340</v>
      </c>
      <c r="L32" s="75" t="s">
        <v>1341</v>
      </c>
      <c r="M32" s="77"/>
      <c r="N32" s="77"/>
      <c r="O32" s="44"/>
      <c r="P32" s="44" t="str">
        <f t="shared" si="2"/>
        <v>322</v>
      </c>
      <c r="Q32" s="44" t="str">
        <f t="shared" si="3"/>
        <v>32</v>
      </c>
      <c r="R32" s="44"/>
      <c r="S32" s="44"/>
      <c r="T32" s="44"/>
      <c r="U32" s="44">
        <v>3291</v>
      </c>
      <c r="V32" s="44" t="s">
        <v>689</v>
      </c>
      <c r="W32" s="44"/>
      <c r="X32" s="44" t="str">
        <f t="shared" si="4"/>
        <v>32</v>
      </c>
      <c r="Y32" s="44" t="str">
        <f t="shared" si="5"/>
        <v>329</v>
      </c>
      <c r="Z32" s="44"/>
      <c r="AA32" s="44" t="s">
        <v>1365</v>
      </c>
      <c r="AB32" s="44" t="s">
        <v>1366</v>
      </c>
    </row>
    <row r="33" spans="1:28" ht="15" customHeight="1">
      <c r="A33" s="71">
        <v>563</v>
      </c>
      <c r="B33" s="66" t="str">
        <f t="shared" si="0"/>
        <v>Europski fond za regionalni razvoj (ERDF)</v>
      </c>
      <c r="C33" s="71">
        <v>3239</v>
      </c>
      <c r="D33" s="66" t="str">
        <f t="shared" si="1"/>
        <v>Ostale usluge</v>
      </c>
      <c r="E33" s="71" t="s">
        <v>1338</v>
      </c>
      <c r="F33" s="66" t="str">
        <f t="shared" si="6"/>
        <v>Vrhunska istraživanja Znanstvenih centara izvrsnosti</v>
      </c>
      <c r="G33" s="59">
        <v>80000</v>
      </c>
      <c r="H33" s="59"/>
      <c r="I33" s="59"/>
      <c r="J33" s="71" t="s">
        <v>1358</v>
      </c>
      <c r="K33" s="75" t="s">
        <v>1340</v>
      </c>
      <c r="L33" s="75" t="s">
        <v>1341</v>
      </c>
      <c r="M33" s="77"/>
      <c r="N33" s="77"/>
      <c r="O33" s="44"/>
      <c r="P33" s="44" t="str">
        <f t="shared" si="2"/>
        <v>323</v>
      </c>
      <c r="Q33" s="44" t="str">
        <f t="shared" si="3"/>
        <v>32</v>
      </c>
      <c r="R33" s="44"/>
      <c r="S33" s="44"/>
      <c r="T33" s="44"/>
      <c r="U33" s="44">
        <v>3292</v>
      </c>
      <c r="V33" s="44" t="s">
        <v>692</v>
      </c>
      <c r="W33" s="44"/>
      <c r="X33" s="44" t="str">
        <f t="shared" si="4"/>
        <v>32</v>
      </c>
      <c r="Y33" s="44" t="str">
        <f t="shared" si="5"/>
        <v>329</v>
      </c>
      <c r="Z33" s="44"/>
      <c r="AA33" s="44" t="s">
        <v>1367</v>
      </c>
      <c r="AB33" s="44" t="s">
        <v>1368</v>
      </c>
    </row>
    <row r="34" spans="1:28" ht="15" customHeight="1">
      <c r="A34" s="71">
        <v>563</v>
      </c>
      <c r="B34" s="66" t="str">
        <f t="shared" si="0"/>
        <v>Europski fond za regionalni razvoj (ERDF)</v>
      </c>
      <c r="C34" s="71">
        <v>4224</v>
      </c>
      <c r="D34" s="66" t="str">
        <f t="shared" si="1"/>
        <v>Medicinska i laboratorijska oprema</v>
      </c>
      <c r="E34" s="71" t="s">
        <v>1338</v>
      </c>
      <c r="F34" s="66" t="str">
        <f t="shared" si="6"/>
        <v>Vrhunska istraživanja Znanstvenih centara izvrsnosti</v>
      </c>
      <c r="G34" s="59">
        <v>35000</v>
      </c>
      <c r="H34" s="59"/>
      <c r="I34" s="59"/>
      <c r="J34" s="71" t="s">
        <v>1358</v>
      </c>
      <c r="K34" s="75" t="s">
        <v>1340</v>
      </c>
      <c r="L34" s="75" t="s">
        <v>1341</v>
      </c>
      <c r="M34" s="77"/>
      <c r="N34" s="77"/>
      <c r="O34" s="44"/>
      <c r="P34" s="44" t="str">
        <f t="shared" si="2"/>
        <v>422</v>
      </c>
      <c r="Q34" s="44" t="str">
        <f t="shared" si="3"/>
        <v>42</v>
      </c>
      <c r="R34" s="44"/>
      <c r="S34" s="44"/>
      <c r="T34" s="44"/>
      <c r="U34" s="44">
        <v>3293</v>
      </c>
      <c r="V34" s="44" t="s">
        <v>695</v>
      </c>
      <c r="W34" s="44"/>
      <c r="X34" s="44" t="str">
        <f t="shared" si="4"/>
        <v>32</v>
      </c>
      <c r="Y34" s="44" t="str">
        <f t="shared" si="5"/>
        <v>329</v>
      </c>
      <c r="Z34" s="44"/>
      <c r="AA34" s="44" t="s">
        <v>1369</v>
      </c>
      <c r="AB34" s="44" t="s">
        <v>1370</v>
      </c>
    </row>
    <row r="35" spans="1:28" ht="15" customHeight="1">
      <c r="A35" s="71">
        <v>563</v>
      </c>
      <c r="B35" s="66" t="str">
        <f t="shared" si="0"/>
        <v>Europski fond za regionalni razvoj (ERDF)</v>
      </c>
      <c r="C35" s="71">
        <v>4225</v>
      </c>
      <c r="D35" s="66" t="str">
        <f t="shared" si="1"/>
        <v>Instrumenti, uređaji i strojevi</v>
      </c>
      <c r="E35" s="71" t="s">
        <v>1338</v>
      </c>
      <c r="F35" s="66" t="str">
        <f t="shared" si="6"/>
        <v>Vrhunska istraživanja Znanstvenih centara izvrsnosti</v>
      </c>
      <c r="G35" s="59">
        <v>5500000</v>
      </c>
      <c r="H35" s="59"/>
      <c r="I35" s="59"/>
      <c r="J35" s="71" t="s">
        <v>1358</v>
      </c>
      <c r="K35" s="75" t="s">
        <v>1340</v>
      </c>
      <c r="L35" s="75" t="s">
        <v>1341</v>
      </c>
      <c r="M35" s="77"/>
      <c r="N35" s="77"/>
      <c r="O35" s="44"/>
      <c r="P35" s="44" t="str">
        <f t="shared" si="2"/>
        <v>422</v>
      </c>
      <c r="Q35" s="44" t="str">
        <f t="shared" si="3"/>
        <v>42</v>
      </c>
      <c r="R35" s="44"/>
      <c r="S35" s="44"/>
      <c r="T35" s="44"/>
      <c r="U35" s="44">
        <v>3293</v>
      </c>
      <c r="V35" s="44" t="s">
        <v>698</v>
      </c>
      <c r="W35" s="44"/>
      <c r="X35" s="44" t="str">
        <f t="shared" si="4"/>
        <v>32</v>
      </c>
      <c r="Y35" s="44" t="str">
        <f t="shared" si="5"/>
        <v>329</v>
      </c>
      <c r="Z35" s="44"/>
      <c r="AA35" s="44" t="s">
        <v>1371</v>
      </c>
      <c r="AB35" s="44" t="s">
        <v>1372</v>
      </c>
    </row>
    <row r="36" spans="1:28" ht="15" customHeight="1">
      <c r="A36" s="71">
        <v>563</v>
      </c>
      <c r="B36" s="66" t="str">
        <f t="shared" si="0"/>
        <v>Europski fond za regionalni razvoj (ERDF)</v>
      </c>
      <c r="C36" s="71">
        <v>3111</v>
      </c>
      <c r="D36" s="66" t="str">
        <f t="shared" si="1"/>
        <v>Plaće za redovan rad</v>
      </c>
      <c r="E36" s="71" t="s">
        <v>1288</v>
      </c>
      <c r="F36" s="66" t="str">
        <f t="shared" si="6"/>
        <v>NOVI PODPROJEKT</v>
      </c>
      <c r="G36" s="59">
        <v>683173</v>
      </c>
      <c r="H36" s="59">
        <v>683173</v>
      </c>
      <c r="I36" s="59"/>
      <c r="J36" s="76" t="s">
        <v>1373</v>
      </c>
      <c r="K36" s="75" t="s">
        <v>1374</v>
      </c>
      <c r="L36" s="75" t="s">
        <v>1375</v>
      </c>
      <c r="M36" s="77" t="s">
        <v>1376</v>
      </c>
      <c r="N36" s="71" t="s">
        <v>1377</v>
      </c>
      <c r="O36" s="44"/>
      <c r="P36" s="44" t="str">
        <f t="shared" si="2"/>
        <v>311</v>
      </c>
      <c r="Q36" s="44" t="str">
        <f t="shared" si="3"/>
        <v>31</v>
      </c>
      <c r="R36" s="44"/>
      <c r="S36" s="44"/>
      <c r="T36" s="44"/>
      <c r="U36" s="44">
        <v>3294</v>
      </c>
      <c r="V36" s="44" t="s">
        <v>701</v>
      </c>
      <c r="W36" s="44"/>
      <c r="X36" s="44" t="str">
        <f t="shared" si="4"/>
        <v>32</v>
      </c>
      <c r="Y36" s="44" t="str">
        <f t="shared" si="5"/>
        <v>329</v>
      </c>
      <c r="Z36" s="44"/>
      <c r="AA36" s="44" t="s">
        <v>1378</v>
      </c>
      <c r="AB36" s="44" t="s">
        <v>1379</v>
      </c>
    </row>
    <row r="37" spans="1:28" ht="15" customHeight="1">
      <c r="A37" s="71">
        <v>563</v>
      </c>
      <c r="B37" s="66" t="str">
        <f t="shared" si="0"/>
        <v>Europski fond za regionalni razvoj (ERDF)</v>
      </c>
      <c r="C37" s="71">
        <v>4224</v>
      </c>
      <c r="D37" s="66" t="str">
        <f t="shared" si="1"/>
        <v>Medicinska i laboratorijska oprema</v>
      </c>
      <c r="E37" s="71" t="s">
        <v>1288</v>
      </c>
      <c r="F37" s="66" t="str">
        <f t="shared" si="6"/>
        <v>NOVI PODPROJEKT</v>
      </c>
      <c r="G37" s="59">
        <v>2200000</v>
      </c>
      <c r="H37" s="59">
        <v>0</v>
      </c>
      <c r="I37" s="59"/>
      <c r="J37" s="76" t="s">
        <v>1373</v>
      </c>
      <c r="K37" s="75" t="s">
        <v>1374</v>
      </c>
      <c r="L37" s="75" t="s">
        <v>1375</v>
      </c>
      <c r="M37" s="77" t="s">
        <v>1376</v>
      </c>
      <c r="N37" s="71" t="s">
        <v>1377</v>
      </c>
      <c r="O37" s="44"/>
      <c r="P37" s="44" t="str">
        <f t="shared" si="2"/>
        <v>422</v>
      </c>
      <c r="Q37" s="44" t="str">
        <f t="shared" si="3"/>
        <v>42</v>
      </c>
      <c r="R37" s="44"/>
      <c r="S37" s="44"/>
      <c r="T37" s="44"/>
      <c r="U37" s="44">
        <v>3295</v>
      </c>
      <c r="V37" s="44" t="s">
        <v>704</v>
      </c>
      <c r="W37" s="44"/>
      <c r="X37" s="44" t="str">
        <f t="shared" si="4"/>
        <v>32</v>
      </c>
      <c r="Y37" s="44" t="str">
        <f t="shared" si="5"/>
        <v>329</v>
      </c>
      <c r="Z37" s="44"/>
      <c r="AA37" s="44" t="s">
        <v>1380</v>
      </c>
      <c r="AB37" s="44" t="s">
        <v>1381</v>
      </c>
    </row>
    <row r="38" spans="1:28" ht="15" customHeight="1">
      <c r="A38" s="71">
        <v>563</v>
      </c>
      <c r="B38" s="66" t="str">
        <f t="shared" si="0"/>
        <v>Europski fond za regionalni razvoj (ERDF)</v>
      </c>
      <c r="C38" s="71">
        <v>3221</v>
      </c>
      <c r="D38" s="66" t="str">
        <f t="shared" si="1"/>
        <v>Uredski materijal i ostali materijalni rashodi</v>
      </c>
      <c r="E38" s="71" t="s">
        <v>1288</v>
      </c>
      <c r="F38" s="66" t="str">
        <f t="shared" si="6"/>
        <v>NOVI PODPROJEKT</v>
      </c>
      <c r="G38" s="59">
        <v>200000</v>
      </c>
      <c r="H38" s="59">
        <v>150000</v>
      </c>
      <c r="I38" s="59"/>
      <c r="J38" s="76" t="s">
        <v>1373</v>
      </c>
      <c r="K38" s="75" t="s">
        <v>1374</v>
      </c>
      <c r="L38" s="75" t="s">
        <v>1375</v>
      </c>
      <c r="M38" s="77" t="s">
        <v>1376</v>
      </c>
      <c r="N38" s="71" t="s">
        <v>1377</v>
      </c>
      <c r="O38" s="44"/>
      <c r="P38" s="44" t="str">
        <f t="shared" si="2"/>
        <v>322</v>
      </c>
      <c r="Q38" s="44" t="str">
        <f t="shared" si="3"/>
        <v>32</v>
      </c>
      <c r="R38" s="44"/>
      <c r="S38" s="44"/>
      <c r="T38" s="44"/>
      <c r="U38" s="44">
        <v>3296</v>
      </c>
      <c r="V38" s="44" t="s">
        <v>707</v>
      </c>
      <c r="W38" s="44"/>
      <c r="X38" s="44" t="str">
        <f t="shared" si="4"/>
        <v>32</v>
      </c>
      <c r="Y38" s="44" t="str">
        <f t="shared" si="5"/>
        <v>329</v>
      </c>
      <c r="Z38" s="44"/>
      <c r="AA38" s="44" t="s">
        <v>1382</v>
      </c>
      <c r="AB38" s="44" t="s">
        <v>1383</v>
      </c>
    </row>
    <row r="39" spans="1:28" ht="15" customHeight="1">
      <c r="A39" s="71">
        <v>563</v>
      </c>
      <c r="B39" s="66" t="str">
        <f t="shared" si="0"/>
        <v>Europski fond za regionalni razvoj (ERDF)</v>
      </c>
      <c r="C39" s="71">
        <v>3211</v>
      </c>
      <c r="D39" s="66" t="str">
        <f t="shared" si="1"/>
        <v>Službena putovanja</v>
      </c>
      <c r="E39" s="71" t="s">
        <v>1288</v>
      </c>
      <c r="F39" s="66" t="str">
        <f t="shared" si="6"/>
        <v>NOVI PODPROJEKT</v>
      </c>
      <c r="G39" s="59">
        <v>150000</v>
      </c>
      <c r="H39" s="59">
        <v>150000</v>
      </c>
      <c r="I39" s="59"/>
      <c r="J39" s="76" t="s">
        <v>1373</v>
      </c>
      <c r="K39" s="75" t="s">
        <v>1374</v>
      </c>
      <c r="L39" s="75" t="s">
        <v>1375</v>
      </c>
      <c r="M39" s="77" t="s">
        <v>1376</v>
      </c>
      <c r="N39" s="71" t="s">
        <v>1377</v>
      </c>
      <c r="O39" s="44"/>
      <c r="P39" s="44" t="str">
        <f t="shared" si="2"/>
        <v>321</v>
      </c>
      <c r="Q39" s="44" t="str">
        <f t="shared" si="3"/>
        <v>32</v>
      </c>
      <c r="R39" s="44"/>
      <c r="S39" s="44"/>
      <c r="T39" s="44"/>
      <c r="U39" s="44">
        <v>3299</v>
      </c>
      <c r="V39" s="44" t="s">
        <v>710</v>
      </c>
      <c r="W39" s="44"/>
      <c r="X39" s="44" t="str">
        <f t="shared" si="4"/>
        <v>32</v>
      </c>
      <c r="Y39" s="44" t="str">
        <f t="shared" si="5"/>
        <v>329</v>
      </c>
      <c r="Z39" s="44"/>
      <c r="AA39" s="44" t="s">
        <v>1384</v>
      </c>
      <c r="AB39" s="44" t="s">
        <v>1385</v>
      </c>
    </row>
    <row r="40" spans="1:28" ht="15" customHeight="1">
      <c r="A40" s="71">
        <v>563</v>
      </c>
      <c r="B40" s="66" t="str">
        <f t="shared" si="0"/>
        <v>Europski fond za regionalni razvoj (ERDF)</v>
      </c>
      <c r="C40" s="71">
        <v>3213</v>
      </c>
      <c r="D40" s="66" t="str">
        <f t="shared" si="1"/>
        <v>Stručno usavršavanje zaposlenika</v>
      </c>
      <c r="E40" s="71" t="s">
        <v>1288</v>
      </c>
      <c r="F40" s="66" t="str">
        <f t="shared" si="6"/>
        <v>NOVI PODPROJEKT</v>
      </c>
      <c r="G40" s="59">
        <v>50000</v>
      </c>
      <c r="H40" s="59">
        <v>40000</v>
      </c>
      <c r="I40" s="59"/>
      <c r="J40" s="76" t="s">
        <v>1373</v>
      </c>
      <c r="K40" s="75" t="s">
        <v>1374</v>
      </c>
      <c r="L40" s="75" t="s">
        <v>1375</v>
      </c>
      <c r="M40" s="77" t="s">
        <v>1376</v>
      </c>
      <c r="N40" s="71" t="s">
        <v>1377</v>
      </c>
      <c r="O40" s="44"/>
      <c r="P40" s="44" t="str">
        <f t="shared" si="2"/>
        <v>321</v>
      </c>
      <c r="Q40" s="44" t="str">
        <f t="shared" si="3"/>
        <v>32</v>
      </c>
      <c r="R40" s="44"/>
      <c r="S40" s="44"/>
      <c r="T40" s="44"/>
      <c r="U40" s="44">
        <v>3411</v>
      </c>
      <c r="V40" s="44" t="s">
        <v>713</v>
      </c>
      <c r="W40" s="44"/>
      <c r="X40" s="44" t="str">
        <f t="shared" si="4"/>
        <v>34</v>
      </c>
      <c r="Y40" s="44" t="str">
        <f t="shared" si="5"/>
        <v>341</v>
      </c>
      <c r="Z40" s="44"/>
      <c r="AA40" s="44" t="s">
        <v>1386</v>
      </c>
      <c r="AB40" s="44" t="s">
        <v>1387</v>
      </c>
    </row>
    <row r="41" spans="1:28" ht="15" customHeight="1">
      <c r="A41" s="71">
        <v>563</v>
      </c>
      <c r="B41" s="66" t="str">
        <f t="shared" si="0"/>
        <v>Europski fond za regionalni razvoj (ERDF)</v>
      </c>
      <c r="C41" s="71">
        <v>3239</v>
      </c>
      <c r="D41" s="66" t="str">
        <f t="shared" si="1"/>
        <v>Ostale usluge</v>
      </c>
      <c r="E41" s="71" t="s">
        <v>1288</v>
      </c>
      <c r="F41" s="66" t="str">
        <f t="shared" si="6"/>
        <v>NOVI PODPROJEKT</v>
      </c>
      <c r="G41" s="59">
        <v>40000</v>
      </c>
      <c r="H41" s="59">
        <v>10000</v>
      </c>
      <c r="I41" s="59"/>
      <c r="J41" s="76" t="s">
        <v>1373</v>
      </c>
      <c r="K41" s="75" t="s">
        <v>1374</v>
      </c>
      <c r="L41" s="75" t="s">
        <v>1375</v>
      </c>
      <c r="M41" s="77" t="s">
        <v>1376</v>
      </c>
      <c r="N41" s="71" t="s">
        <v>1377</v>
      </c>
      <c r="O41" s="44"/>
      <c r="P41" s="44" t="str">
        <f t="shared" si="2"/>
        <v>323</v>
      </c>
      <c r="Q41" s="44" t="str">
        <f t="shared" si="3"/>
        <v>32</v>
      </c>
      <c r="R41" s="44"/>
      <c r="S41" s="44"/>
      <c r="T41" s="44"/>
      <c r="U41" s="44">
        <v>3422</v>
      </c>
      <c r="V41" s="44" t="s">
        <v>716</v>
      </c>
      <c r="W41" s="44"/>
      <c r="X41" s="44" t="str">
        <f t="shared" si="4"/>
        <v>34</v>
      </c>
      <c r="Y41" s="44" t="str">
        <f t="shared" si="5"/>
        <v>342</v>
      </c>
      <c r="Z41" s="44"/>
      <c r="AA41" s="44" t="s">
        <v>1388</v>
      </c>
      <c r="AB41" s="44" t="s">
        <v>1389</v>
      </c>
    </row>
    <row r="42" spans="1:28" ht="15" customHeight="1">
      <c r="A42" s="71">
        <v>563</v>
      </c>
      <c r="B42" s="66" t="str">
        <f t="shared" si="0"/>
        <v>Europski fond za regionalni razvoj (ERDF)</v>
      </c>
      <c r="C42" s="71">
        <v>3111</v>
      </c>
      <c r="D42" s="66" t="str">
        <f t="shared" si="1"/>
        <v>Plaće za redovan rad</v>
      </c>
      <c r="E42" s="71" t="s">
        <v>1288</v>
      </c>
      <c r="F42" s="66" t="str">
        <f t="shared" si="6"/>
        <v>NOVI PODPROJEKT</v>
      </c>
      <c r="G42" s="59">
        <v>122400</v>
      </c>
      <c r="H42" s="59"/>
      <c r="I42" s="59"/>
      <c r="J42" s="71" t="s">
        <v>1390</v>
      </c>
      <c r="K42" s="75" t="s">
        <v>1391</v>
      </c>
      <c r="L42" s="75" t="s">
        <v>1392</v>
      </c>
      <c r="M42" s="77" t="s">
        <v>1376</v>
      </c>
      <c r="N42" s="71" t="s">
        <v>1393</v>
      </c>
      <c r="O42" s="44"/>
      <c r="P42" s="44" t="str">
        <f t="shared" si="2"/>
        <v>311</v>
      </c>
      <c r="Q42" s="44" t="str">
        <f t="shared" si="3"/>
        <v>31</v>
      </c>
      <c r="R42" s="44"/>
      <c r="S42" s="44"/>
      <c r="T42" s="44"/>
      <c r="U42" s="44">
        <v>3423</v>
      </c>
      <c r="V42" s="44" t="s">
        <v>716</v>
      </c>
      <c r="W42" s="44"/>
      <c r="X42" s="44" t="str">
        <f t="shared" si="4"/>
        <v>34</v>
      </c>
      <c r="Y42" s="44" t="str">
        <f t="shared" si="5"/>
        <v>342</v>
      </c>
      <c r="Z42" s="44"/>
      <c r="AA42" s="44" t="s">
        <v>1394</v>
      </c>
      <c r="AB42" s="44" t="s">
        <v>1395</v>
      </c>
    </row>
    <row r="43" spans="1:28" ht="15" customHeight="1">
      <c r="A43" s="71">
        <v>563</v>
      </c>
      <c r="B43" s="66" t="str">
        <f t="shared" si="0"/>
        <v>Europski fond za regionalni razvoj (ERDF)</v>
      </c>
      <c r="C43" s="71">
        <v>3239</v>
      </c>
      <c r="D43" s="66" t="str">
        <f t="shared" si="1"/>
        <v>Ostale usluge</v>
      </c>
      <c r="E43" s="71" t="s">
        <v>1288</v>
      </c>
      <c r="F43" s="66" t="str">
        <f t="shared" si="6"/>
        <v>NOVI PODPROJEKT</v>
      </c>
      <c r="G43" s="59">
        <v>7527210</v>
      </c>
      <c r="H43" s="59"/>
      <c r="I43" s="59"/>
      <c r="J43" s="71" t="s">
        <v>1390</v>
      </c>
      <c r="K43" s="75" t="s">
        <v>1391</v>
      </c>
      <c r="L43" s="75" t="s">
        <v>1392</v>
      </c>
      <c r="M43" s="77" t="s">
        <v>1376</v>
      </c>
      <c r="N43" s="71" t="s">
        <v>1393</v>
      </c>
      <c r="O43" s="44"/>
      <c r="P43" s="44" t="str">
        <f t="shared" si="2"/>
        <v>323</v>
      </c>
      <c r="Q43" s="44" t="str">
        <f t="shared" si="3"/>
        <v>32</v>
      </c>
      <c r="R43" s="44"/>
      <c r="S43" s="44"/>
      <c r="T43" s="44"/>
      <c r="U43" s="44">
        <v>3427</v>
      </c>
      <c r="V43" s="44" t="s">
        <v>721</v>
      </c>
      <c r="W43" s="44"/>
      <c r="X43" s="44" t="str">
        <f t="shared" si="4"/>
        <v>34</v>
      </c>
      <c r="Y43" s="44" t="str">
        <f t="shared" si="5"/>
        <v>342</v>
      </c>
      <c r="Z43" s="44"/>
      <c r="AA43" s="44" t="s">
        <v>1396</v>
      </c>
      <c r="AB43" s="44" t="s">
        <v>1397</v>
      </c>
    </row>
    <row r="44" spans="1:28" ht="15" customHeight="1">
      <c r="A44" s="71">
        <v>61</v>
      </c>
      <c r="B44" s="66" t="str">
        <f t="shared" si="0"/>
        <v>Donacije</v>
      </c>
      <c r="C44" s="71">
        <v>3111</v>
      </c>
      <c r="D44" s="66" t="str">
        <f t="shared" si="1"/>
        <v>Plaće za redovan rad</v>
      </c>
      <c r="E44" s="228" t="s">
        <v>3566</v>
      </c>
      <c r="F44" s="230" t="s">
        <v>3567</v>
      </c>
      <c r="G44" s="220">
        <v>51758</v>
      </c>
      <c r="H44" s="220">
        <v>145803</v>
      </c>
      <c r="I44" s="220"/>
      <c r="J44" s="71" t="s">
        <v>1402</v>
      </c>
      <c r="K44" s="75" t="s">
        <v>1403</v>
      </c>
      <c r="L44" s="75" t="s">
        <v>1404</v>
      </c>
      <c r="M44" s="77" t="s">
        <v>1405</v>
      </c>
      <c r="N44" s="77" t="s">
        <v>1406</v>
      </c>
      <c r="O44" s="44"/>
      <c r="P44" s="44" t="str">
        <f t="shared" si="2"/>
        <v>311</v>
      </c>
      <c r="Q44" s="44" t="str">
        <f t="shared" si="3"/>
        <v>31</v>
      </c>
      <c r="R44" s="44"/>
      <c r="S44" s="44"/>
      <c r="T44" s="44"/>
      <c r="U44" s="44">
        <v>3433</v>
      </c>
      <c r="V44" s="44" t="s">
        <v>729</v>
      </c>
      <c r="W44" s="44"/>
      <c r="X44" s="44" t="str">
        <f t="shared" si="4"/>
        <v>34</v>
      </c>
      <c r="Y44" s="44" t="str">
        <f t="shared" si="5"/>
        <v>343</v>
      </c>
      <c r="Z44" s="44"/>
      <c r="AA44" s="44" t="s">
        <v>1407</v>
      </c>
      <c r="AB44" s="44" t="s">
        <v>1408</v>
      </c>
    </row>
    <row r="45" spans="1:28" ht="15" customHeight="1">
      <c r="A45" s="71">
        <v>61</v>
      </c>
      <c r="B45" s="66" t="str">
        <f t="shared" si="0"/>
        <v>Donacije</v>
      </c>
      <c r="C45" s="71">
        <v>3221</v>
      </c>
      <c r="D45" s="66" t="str">
        <f t="shared" si="1"/>
        <v>Uredski materijal i ostali materijalni rashodi</v>
      </c>
      <c r="E45" s="228" t="s">
        <v>3566</v>
      </c>
      <c r="F45" s="229" t="s">
        <v>3567</v>
      </c>
      <c r="G45" s="220">
        <v>99204</v>
      </c>
      <c r="H45" s="220">
        <v>260000</v>
      </c>
      <c r="I45" s="220"/>
      <c r="J45" s="71" t="s">
        <v>1402</v>
      </c>
      <c r="K45" s="75" t="s">
        <v>1403</v>
      </c>
      <c r="L45" s="75" t="s">
        <v>1404</v>
      </c>
      <c r="M45" s="77" t="s">
        <v>1405</v>
      </c>
      <c r="N45" s="77" t="s">
        <v>1406</v>
      </c>
      <c r="O45" s="44"/>
      <c r="P45" s="44" t="str">
        <f t="shared" si="2"/>
        <v>322</v>
      </c>
      <c r="Q45" s="44" t="str">
        <f t="shared" si="3"/>
        <v>32</v>
      </c>
      <c r="R45" s="44"/>
      <c r="S45" s="44"/>
      <c r="T45" s="44"/>
      <c r="U45" s="44">
        <v>3434</v>
      </c>
      <c r="V45" s="44" t="s">
        <v>732</v>
      </c>
      <c r="W45" s="44"/>
      <c r="X45" s="44" t="str">
        <f t="shared" si="4"/>
        <v>34</v>
      </c>
      <c r="Y45" s="44" t="str">
        <f t="shared" si="5"/>
        <v>343</v>
      </c>
      <c r="Z45" s="44"/>
      <c r="AA45" s="44" t="s">
        <v>1409</v>
      </c>
      <c r="AB45" s="44" t="s">
        <v>1410</v>
      </c>
    </row>
    <row r="46" spans="1:28" ht="15" customHeight="1">
      <c r="A46" s="71">
        <v>61</v>
      </c>
      <c r="B46" s="66" t="str">
        <f t="shared" si="0"/>
        <v>Donacije</v>
      </c>
      <c r="C46" s="71">
        <v>3111</v>
      </c>
      <c r="D46" s="66" t="str">
        <f t="shared" si="1"/>
        <v>Plaće za redovan rad</v>
      </c>
      <c r="E46" s="228" t="s">
        <v>3569</v>
      </c>
      <c r="F46" s="229" t="s">
        <v>3570</v>
      </c>
      <c r="G46" s="220">
        <v>16174</v>
      </c>
      <c r="H46" s="220"/>
      <c r="I46" s="220"/>
      <c r="J46" s="71" t="s">
        <v>1411</v>
      </c>
      <c r="K46" s="75">
        <v>44256</v>
      </c>
      <c r="L46" s="75">
        <v>44712</v>
      </c>
      <c r="M46" s="77" t="s">
        <v>1412</v>
      </c>
      <c r="N46" s="76" t="s">
        <v>1413</v>
      </c>
      <c r="O46" s="44"/>
      <c r="P46" s="44" t="str">
        <f t="shared" si="2"/>
        <v>311</v>
      </c>
      <c r="Q46" s="44" t="str">
        <f t="shared" si="3"/>
        <v>31</v>
      </c>
      <c r="R46" s="44"/>
      <c r="S46" s="44"/>
      <c r="T46" s="44"/>
      <c r="U46" s="44">
        <v>3511</v>
      </c>
      <c r="V46" s="44" t="s">
        <v>735</v>
      </c>
      <c r="W46" s="44"/>
      <c r="X46" s="44" t="str">
        <f t="shared" si="4"/>
        <v>35</v>
      </c>
      <c r="Y46" s="44" t="str">
        <f t="shared" si="5"/>
        <v>351</v>
      </c>
      <c r="Z46" s="44"/>
      <c r="AA46" s="44" t="s">
        <v>1414</v>
      </c>
      <c r="AB46" s="44" t="s">
        <v>1415</v>
      </c>
    </row>
    <row r="47" spans="1:28" ht="15" customHeight="1">
      <c r="A47" s="71">
        <v>61</v>
      </c>
      <c r="B47" s="66" t="str">
        <f t="shared" si="0"/>
        <v>Donacije</v>
      </c>
      <c r="C47" s="71">
        <v>3211</v>
      </c>
      <c r="D47" s="66" t="str">
        <f t="shared" si="1"/>
        <v>Službena putovanja</v>
      </c>
      <c r="E47" s="228" t="s">
        <v>3569</v>
      </c>
      <c r="F47" s="229" t="s">
        <v>3570</v>
      </c>
      <c r="G47" s="220">
        <v>3235</v>
      </c>
      <c r="H47" s="220"/>
      <c r="I47" s="220"/>
      <c r="J47" s="71" t="s">
        <v>1411</v>
      </c>
      <c r="K47" s="75">
        <v>44256</v>
      </c>
      <c r="L47" s="75">
        <v>44712</v>
      </c>
      <c r="M47" s="77" t="s">
        <v>1412</v>
      </c>
      <c r="N47" s="76" t="s">
        <v>1413</v>
      </c>
      <c r="O47" s="44"/>
      <c r="P47" s="44" t="str">
        <f t="shared" si="2"/>
        <v>321</v>
      </c>
      <c r="Q47" s="44" t="str">
        <f t="shared" si="3"/>
        <v>32</v>
      </c>
      <c r="R47" s="44"/>
      <c r="S47" s="44"/>
      <c r="T47" s="44"/>
      <c r="U47" s="44">
        <v>3512</v>
      </c>
      <c r="V47" s="44" t="s">
        <v>738</v>
      </c>
      <c r="W47" s="44"/>
      <c r="X47" s="44" t="str">
        <f t="shared" si="4"/>
        <v>35</v>
      </c>
      <c r="Y47" s="44" t="str">
        <f t="shared" si="5"/>
        <v>351</v>
      </c>
      <c r="Z47" s="44"/>
      <c r="AA47" s="44" t="s">
        <v>1416</v>
      </c>
      <c r="AB47" s="44" t="s">
        <v>1417</v>
      </c>
    </row>
    <row r="48" spans="1:28" ht="15" customHeight="1">
      <c r="A48" s="71">
        <v>52</v>
      </c>
      <c r="B48" s="66" t="str">
        <f t="shared" si="0"/>
        <v>Ostale pomoći</v>
      </c>
      <c r="C48" s="71">
        <v>3111</v>
      </c>
      <c r="D48" s="66" t="str">
        <f t="shared" si="1"/>
        <v>Plaće za redovan rad</v>
      </c>
      <c r="E48" s="228" t="s">
        <v>3568</v>
      </c>
      <c r="F48" s="229" t="s">
        <v>1418</v>
      </c>
      <c r="G48" s="220">
        <v>134280</v>
      </c>
      <c r="H48" s="220"/>
      <c r="I48" s="220"/>
      <c r="J48" s="71" t="s">
        <v>1418</v>
      </c>
      <c r="K48" s="75" t="s">
        <v>1419</v>
      </c>
      <c r="L48" s="75" t="s">
        <v>1420</v>
      </c>
      <c r="M48" s="77" t="s">
        <v>1421</v>
      </c>
      <c r="N48" s="71" t="s">
        <v>1422</v>
      </c>
      <c r="O48" s="44"/>
      <c r="P48" s="44" t="str">
        <f t="shared" si="2"/>
        <v>311</v>
      </c>
      <c r="Q48" s="44" t="str">
        <f t="shared" si="3"/>
        <v>31</v>
      </c>
      <c r="R48" s="44"/>
      <c r="S48" s="44"/>
      <c r="T48" s="44"/>
      <c r="U48" s="44">
        <v>3522</v>
      </c>
      <c r="V48" s="44" t="s">
        <v>741</v>
      </c>
      <c r="W48" s="44"/>
      <c r="X48" s="44" t="str">
        <f t="shared" si="4"/>
        <v>35</v>
      </c>
      <c r="Y48" s="44" t="str">
        <f t="shared" si="5"/>
        <v>352</v>
      </c>
      <c r="Z48" s="44"/>
      <c r="AA48" s="44" t="s">
        <v>1423</v>
      </c>
      <c r="AB48" s="44" t="s">
        <v>1424</v>
      </c>
    </row>
    <row r="49" spans="1:28" ht="15" customHeight="1">
      <c r="A49" s="71">
        <v>52</v>
      </c>
      <c r="B49" s="66" t="str">
        <f t="shared" si="0"/>
        <v>Ostale pomoći</v>
      </c>
      <c r="C49" s="71">
        <v>3211</v>
      </c>
      <c r="D49" s="66" t="str">
        <f t="shared" si="1"/>
        <v>Službena putovanja</v>
      </c>
      <c r="E49" s="228" t="s">
        <v>3568</v>
      </c>
      <c r="F49" s="229" t="s">
        <v>1418</v>
      </c>
      <c r="G49" s="220">
        <v>101683</v>
      </c>
      <c r="H49" s="220"/>
      <c r="I49" s="220"/>
      <c r="J49" s="71" t="s">
        <v>1425</v>
      </c>
      <c r="K49" s="75" t="s">
        <v>1419</v>
      </c>
      <c r="L49" s="75" t="s">
        <v>1420</v>
      </c>
      <c r="M49" s="77" t="s">
        <v>1421</v>
      </c>
      <c r="N49" s="71" t="s">
        <v>1422</v>
      </c>
      <c r="O49" s="44"/>
      <c r="P49" s="44" t="str">
        <f t="shared" si="2"/>
        <v>321</v>
      </c>
      <c r="Q49" s="44" t="str">
        <f t="shared" si="3"/>
        <v>32</v>
      </c>
      <c r="R49" s="44"/>
      <c r="S49" s="44"/>
      <c r="T49" s="44"/>
      <c r="U49" s="44">
        <v>3531</v>
      </c>
      <c r="V49" s="44" t="s">
        <v>744</v>
      </c>
      <c r="W49" s="44"/>
      <c r="X49" s="44" t="str">
        <f t="shared" si="4"/>
        <v>35</v>
      </c>
      <c r="Y49" s="44" t="str">
        <f t="shared" si="5"/>
        <v>353</v>
      </c>
      <c r="Z49" s="44"/>
      <c r="AA49" s="44" t="s">
        <v>1426</v>
      </c>
      <c r="AB49" s="44" t="s">
        <v>1427</v>
      </c>
    </row>
    <row r="50" spans="1:28" ht="15" customHeight="1">
      <c r="A50" s="71">
        <v>52</v>
      </c>
      <c r="B50" s="66" t="str">
        <f t="shared" si="0"/>
        <v>Ostale pomoći</v>
      </c>
      <c r="C50" s="71">
        <v>3221</v>
      </c>
      <c r="D50" s="66" t="str">
        <f t="shared" si="1"/>
        <v>Uredski materijal i ostali materijalni rashodi</v>
      </c>
      <c r="E50" s="228" t="s">
        <v>3568</v>
      </c>
      <c r="F50" s="229" t="s">
        <v>1418</v>
      </c>
      <c r="G50" s="220">
        <v>203250</v>
      </c>
      <c r="H50" s="220"/>
      <c r="I50" s="220"/>
      <c r="J50" s="71" t="s">
        <v>1428</v>
      </c>
      <c r="K50" s="75" t="s">
        <v>1419</v>
      </c>
      <c r="L50" s="75" t="s">
        <v>1420</v>
      </c>
      <c r="M50" s="77" t="s">
        <v>1421</v>
      </c>
      <c r="N50" s="71" t="s">
        <v>1422</v>
      </c>
      <c r="O50" s="44"/>
      <c r="P50" s="44" t="str">
        <f t="shared" si="2"/>
        <v>322</v>
      </c>
      <c r="Q50" s="44" t="str">
        <f t="shared" si="3"/>
        <v>32</v>
      </c>
      <c r="R50" s="44"/>
      <c r="S50" s="44"/>
      <c r="T50" s="44"/>
      <c r="U50" s="44">
        <v>3611</v>
      </c>
      <c r="V50" s="44" t="s">
        <v>747</v>
      </c>
      <c r="W50" s="44"/>
      <c r="X50" s="44" t="str">
        <f t="shared" si="4"/>
        <v>36</v>
      </c>
      <c r="Y50" s="44" t="str">
        <f t="shared" si="5"/>
        <v>361</v>
      </c>
      <c r="Z50" s="44"/>
      <c r="AA50" s="44" t="s">
        <v>1429</v>
      </c>
      <c r="AB50" s="44" t="s">
        <v>1430</v>
      </c>
    </row>
    <row r="51" spans="1:28" ht="15" customHeight="1">
      <c r="A51" s="71">
        <v>52</v>
      </c>
      <c r="B51" s="66" t="str">
        <f t="shared" si="0"/>
        <v>Ostale pomoći</v>
      </c>
      <c r="C51" s="71">
        <v>3239</v>
      </c>
      <c r="D51" s="66" t="str">
        <f t="shared" si="1"/>
        <v>Ostale usluge</v>
      </c>
      <c r="E51" s="228" t="s">
        <v>3568</v>
      </c>
      <c r="F51" s="229" t="s">
        <v>1418</v>
      </c>
      <c r="G51" s="220">
        <v>141226</v>
      </c>
      <c r="H51" s="220"/>
      <c r="I51" s="220"/>
      <c r="J51" s="71" t="s">
        <v>1431</v>
      </c>
      <c r="K51" s="75" t="s">
        <v>1419</v>
      </c>
      <c r="L51" s="75" t="s">
        <v>1420</v>
      </c>
      <c r="M51" s="77" t="s">
        <v>1421</v>
      </c>
      <c r="N51" s="71" t="s">
        <v>1422</v>
      </c>
      <c r="O51" s="44"/>
      <c r="P51" s="44" t="str">
        <f t="shared" si="2"/>
        <v>323</v>
      </c>
      <c r="Q51" s="44" t="str">
        <f t="shared" si="3"/>
        <v>32</v>
      </c>
      <c r="R51" s="44"/>
      <c r="S51" s="44"/>
      <c r="T51" s="44"/>
      <c r="U51" s="44">
        <v>3621</v>
      </c>
      <c r="V51" s="44" t="s">
        <v>750</v>
      </c>
      <c r="W51" s="44"/>
      <c r="X51" s="44" t="str">
        <f t="shared" si="4"/>
        <v>36</v>
      </c>
      <c r="Y51" s="44" t="str">
        <f t="shared" si="5"/>
        <v>362</v>
      </c>
      <c r="Z51" s="44"/>
      <c r="AA51" s="44" t="s">
        <v>1432</v>
      </c>
      <c r="AB51" s="44" t="s">
        <v>1433</v>
      </c>
    </row>
    <row r="52" spans="1:28" ht="15" customHeight="1">
      <c r="A52" s="71">
        <v>52</v>
      </c>
      <c r="B52" s="66" t="str">
        <f t="shared" si="0"/>
        <v>Ostale pomoći</v>
      </c>
      <c r="C52" s="71">
        <v>4224</v>
      </c>
      <c r="D52" s="66" t="str">
        <f t="shared" si="1"/>
        <v>Medicinska i laboratorijska oprema</v>
      </c>
      <c r="E52" s="228" t="s">
        <v>3568</v>
      </c>
      <c r="F52" s="229" t="s">
        <v>1418</v>
      </c>
      <c r="G52" s="220">
        <v>249970</v>
      </c>
      <c r="H52" s="220"/>
      <c r="I52" s="220"/>
      <c r="J52" s="71" t="s">
        <v>1434</v>
      </c>
      <c r="K52" s="75" t="s">
        <v>1419</v>
      </c>
      <c r="L52" s="75" t="s">
        <v>1420</v>
      </c>
      <c r="M52" s="77" t="s">
        <v>1421</v>
      </c>
      <c r="N52" s="71" t="s">
        <v>1422</v>
      </c>
      <c r="O52" s="44"/>
      <c r="P52" s="44" t="str">
        <f t="shared" si="2"/>
        <v>422</v>
      </c>
      <c r="Q52" s="44" t="str">
        <f t="shared" si="3"/>
        <v>42</v>
      </c>
      <c r="R52" s="44"/>
      <c r="S52" s="44"/>
      <c r="T52" s="44"/>
      <c r="U52" s="44">
        <v>3631</v>
      </c>
      <c r="V52" s="44" t="s">
        <v>753</v>
      </c>
      <c r="W52" s="44"/>
      <c r="X52" s="44" t="str">
        <f t="shared" si="4"/>
        <v>36</v>
      </c>
      <c r="Y52" s="44" t="str">
        <f t="shared" si="5"/>
        <v>363</v>
      </c>
      <c r="Z52" s="44"/>
      <c r="AA52" s="44" t="s">
        <v>1435</v>
      </c>
      <c r="AB52" s="44" t="s">
        <v>1436</v>
      </c>
    </row>
    <row r="53" spans="1:28" ht="15" customHeight="1">
      <c r="A53" s="71">
        <v>52</v>
      </c>
      <c r="B53" s="66" t="str">
        <f t="shared" si="0"/>
        <v>Ostale pomoći</v>
      </c>
      <c r="C53" s="71">
        <v>3111</v>
      </c>
      <c r="D53" s="66" t="str">
        <f t="shared" si="1"/>
        <v>Plaće za redovan rad</v>
      </c>
      <c r="E53" s="71" t="s">
        <v>1437</v>
      </c>
      <c r="F53" s="66" t="str">
        <f t="shared" ref="F53:F116" si="7">IFERROR(VLOOKUP(E53,$AA$6:$AB$1016,2,FALSE),"")</f>
        <v>Provedba HKO-a na razini visokog obrazovanja</v>
      </c>
      <c r="G53" s="220">
        <v>125500</v>
      </c>
      <c r="H53" s="220"/>
      <c r="I53" s="220"/>
      <c r="J53" s="71" t="s">
        <v>1438</v>
      </c>
      <c r="K53" s="75" t="s">
        <v>1439</v>
      </c>
      <c r="L53" s="75" t="s">
        <v>1440</v>
      </c>
      <c r="M53" s="77" t="s">
        <v>1441</v>
      </c>
      <c r="N53" s="71" t="s">
        <v>1442</v>
      </c>
      <c r="O53" s="44"/>
      <c r="P53" s="44" t="str">
        <f t="shared" si="2"/>
        <v>311</v>
      </c>
      <c r="Q53" s="44" t="str">
        <f t="shared" si="3"/>
        <v>31</v>
      </c>
      <c r="R53" s="44"/>
      <c r="S53" s="44"/>
      <c r="T53" s="44"/>
      <c r="U53" s="44">
        <v>3632</v>
      </c>
      <c r="V53" s="44" t="s">
        <v>756</v>
      </c>
      <c r="W53" s="44"/>
      <c r="X53" s="44" t="str">
        <f t="shared" si="4"/>
        <v>36</v>
      </c>
      <c r="Y53" s="44" t="str">
        <f t="shared" si="5"/>
        <v>363</v>
      </c>
      <c r="Z53" s="44"/>
      <c r="AA53" s="44" t="s">
        <v>1443</v>
      </c>
      <c r="AB53" s="44" t="s">
        <v>1444</v>
      </c>
    </row>
    <row r="54" spans="1:28" ht="15" customHeight="1">
      <c r="A54" s="71">
        <v>52</v>
      </c>
      <c r="B54" s="66" t="str">
        <f t="shared" si="0"/>
        <v>Ostale pomoći</v>
      </c>
      <c r="C54" s="71">
        <v>3211</v>
      </c>
      <c r="D54" s="66" t="str">
        <f t="shared" si="1"/>
        <v>Službena putovanja</v>
      </c>
      <c r="E54" s="71" t="s">
        <v>1437</v>
      </c>
      <c r="F54" s="66" t="str">
        <f t="shared" si="7"/>
        <v>Provedba HKO-a na razini visokog obrazovanja</v>
      </c>
      <c r="G54" s="220">
        <v>25610</v>
      </c>
      <c r="H54" s="220"/>
      <c r="I54" s="220"/>
      <c r="J54" s="71" t="s">
        <v>1438</v>
      </c>
      <c r="K54" s="75" t="s">
        <v>1439</v>
      </c>
      <c r="L54" s="75" t="s">
        <v>1440</v>
      </c>
      <c r="M54" s="77" t="s">
        <v>1441</v>
      </c>
      <c r="N54" s="71" t="s">
        <v>1442</v>
      </c>
      <c r="O54" s="44"/>
      <c r="P54" s="44" t="str">
        <f t="shared" si="2"/>
        <v>321</v>
      </c>
      <c r="Q54" s="44" t="str">
        <f t="shared" si="3"/>
        <v>32</v>
      </c>
      <c r="R54" s="44"/>
      <c r="S54" s="44"/>
      <c r="T54" s="44"/>
      <c r="U54" s="44">
        <v>3661</v>
      </c>
      <c r="V54" s="44" t="s">
        <v>759</v>
      </c>
      <c r="W54" s="44"/>
      <c r="X54" s="44" t="str">
        <f t="shared" si="4"/>
        <v>36</v>
      </c>
      <c r="Y54" s="44" t="str">
        <f t="shared" si="5"/>
        <v>366</v>
      </c>
      <c r="Z54" s="44"/>
      <c r="AA54" s="44" t="s">
        <v>1445</v>
      </c>
      <c r="AB54" s="44" t="s">
        <v>1446</v>
      </c>
    </row>
    <row r="55" spans="1:28" ht="15" customHeight="1">
      <c r="A55" s="71"/>
      <c r="B55" s="66" t="str">
        <f t="shared" si="0"/>
        <v/>
      </c>
      <c r="C55" s="71"/>
      <c r="D55" s="66" t="str">
        <f t="shared" si="1"/>
        <v/>
      </c>
      <c r="E55" s="71"/>
      <c r="F55" s="66" t="str">
        <f t="shared" si="7"/>
        <v/>
      </c>
      <c r="G55" s="59"/>
      <c r="H55" s="59"/>
      <c r="I55" s="59"/>
      <c r="J55" s="77"/>
      <c r="K55" s="75"/>
      <c r="L55" s="75"/>
      <c r="M55" s="77"/>
      <c r="N55" s="77"/>
      <c r="O55" s="44"/>
      <c r="P55" s="44" t="str">
        <f t="shared" si="2"/>
        <v/>
      </c>
      <c r="Q55" s="44" t="str">
        <f t="shared" si="3"/>
        <v/>
      </c>
      <c r="R55" s="44"/>
      <c r="S55" s="44"/>
      <c r="T55" s="44"/>
      <c r="U55" s="44">
        <v>3662</v>
      </c>
      <c r="V55" s="44" t="s">
        <v>762</v>
      </c>
      <c r="W55" s="44"/>
      <c r="X55" s="44" t="str">
        <f t="shared" si="4"/>
        <v>36</v>
      </c>
      <c r="Y55" s="44" t="str">
        <f t="shared" si="5"/>
        <v>366</v>
      </c>
      <c r="Z55" s="44"/>
      <c r="AA55" s="44" t="s">
        <v>1447</v>
      </c>
      <c r="AB55" s="44" t="s">
        <v>1448</v>
      </c>
    </row>
    <row r="56" spans="1:28" ht="15" customHeight="1">
      <c r="A56" s="71"/>
      <c r="B56" s="66" t="str">
        <f t="shared" si="0"/>
        <v/>
      </c>
      <c r="C56" s="71"/>
      <c r="D56" s="66" t="str">
        <f t="shared" si="1"/>
        <v/>
      </c>
      <c r="E56" s="71"/>
      <c r="F56" s="66" t="str">
        <f t="shared" si="7"/>
        <v/>
      </c>
      <c r="G56" s="59"/>
      <c r="H56" s="59"/>
      <c r="I56" s="59"/>
      <c r="J56" s="77"/>
      <c r="K56" s="75"/>
      <c r="L56" s="75"/>
      <c r="M56" s="77"/>
      <c r="N56" s="77"/>
      <c r="O56" s="44"/>
      <c r="P56" s="44" t="str">
        <f t="shared" si="2"/>
        <v/>
      </c>
      <c r="Q56" s="44" t="str">
        <f t="shared" si="3"/>
        <v/>
      </c>
      <c r="R56" s="44"/>
      <c r="S56" s="44"/>
      <c r="T56" s="44"/>
      <c r="U56" s="44">
        <v>3681</v>
      </c>
      <c r="V56" s="44" t="s">
        <v>765</v>
      </c>
      <c r="W56" s="44"/>
      <c r="X56" s="44" t="str">
        <f t="shared" si="4"/>
        <v>36</v>
      </c>
      <c r="Y56" s="44" t="str">
        <f t="shared" si="5"/>
        <v>368</v>
      </c>
      <c r="Z56" s="44"/>
      <c r="AA56" s="44" t="s">
        <v>1449</v>
      </c>
      <c r="AB56" s="44" t="s">
        <v>1450</v>
      </c>
    </row>
    <row r="57" spans="1:28" ht="15" customHeight="1">
      <c r="A57" s="71"/>
      <c r="B57" s="66" t="str">
        <f t="shared" si="0"/>
        <v/>
      </c>
      <c r="C57" s="71"/>
      <c r="D57" s="66" t="str">
        <f t="shared" si="1"/>
        <v/>
      </c>
      <c r="E57" s="71"/>
      <c r="F57" s="66" t="str">
        <f t="shared" si="7"/>
        <v/>
      </c>
      <c r="G57" s="59"/>
      <c r="H57" s="59"/>
      <c r="I57" s="59"/>
      <c r="J57" s="77"/>
      <c r="K57" s="75"/>
      <c r="L57" s="75"/>
      <c r="M57" s="77"/>
      <c r="N57" s="77"/>
      <c r="O57" s="44"/>
      <c r="P57" s="44" t="str">
        <f t="shared" si="2"/>
        <v/>
      </c>
      <c r="Q57" s="44" t="str">
        <f t="shared" si="3"/>
        <v/>
      </c>
      <c r="R57" s="44"/>
      <c r="S57" s="44"/>
      <c r="T57" s="44"/>
      <c r="U57" s="44">
        <v>3682</v>
      </c>
      <c r="V57" s="44" t="s">
        <v>768</v>
      </c>
      <c r="W57" s="44"/>
      <c r="X57" s="44" t="str">
        <f t="shared" si="4"/>
        <v>36</v>
      </c>
      <c r="Y57" s="44" t="str">
        <f t="shared" si="5"/>
        <v>368</v>
      </c>
      <c r="Z57" s="44"/>
      <c r="AA57" s="44" t="s">
        <v>1451</v>
      </c>
      <c r="AB57" s="44" t="s">
        <v>1452</v>
      </c>
    </row>
    <row r="58" spans="1:28" ht="15" customHeight="1">
      <c r="A58" s="71"/>
      <c r="B58" s="66" t="str">
        <f t="shared" si="0"/>
        <v/>
      </c>
      <c r="C58" s="71"/>
      <c r="D58" s="66" t="str">
        <f t="shared" si="1"/>
        <v/>
      </c>
      <c r="E58" s="71"/>
      <c r="F58" s="66" t="str">
        <f t="shared" si="7"/>
        <v/>
      </c>
      <c r="G58" s="59"/>
      <c r="H58" s="59"/>
      <c r="I58" s="59"/>
      <c r="J58" s="77"/>
      <c r="K58" s="75"/>
      <c r="L58" s="75"/>
      <c r="M58" s="77"/>
      <c r="N58" s="77"/>
      <c r="O58" s="44"/>
      <c r="P58" s="44" t="str">
        <f t="shared" si="2"/>
        <v/>
      </c>
      <c r="Q58" s="44" t="str">
        <f t="shared" si="3"/>
        <v/>
      </c>
      <c r="R58" s="44"/>
      <c r="S58" s="44"/>
      <c r="T58" s="44"/>
      <c r="U58" s="44">
        <v>3691</v>
      </c>
      <c r="V58" s="44" t="s">
        <v>771</v>
      </c>
      <c r="W58" s="44"/>
      <c r="X58" s="44" t="str">
        <f t="shared" si="4"/>
        <v>36</v>
      </c>
      <c r="Y58" s="44" t="str">
        <f t="shared" si="5"/>
        <v>369</v>
      </c>
      <c r="Z58" s="44"/>
      <c r="AA58" s="44" t="s">
        <v>1453</v>
      </c>
      <c r="AB58" s="44" t="s">
        <v>1454</v>
      </c>
    </row>
    <row r="59" spans="1:28" ht="15" customHeight="1">
      <c r="A59" s="71"/>
      <c r="B59" s="66" t="str">
        <f t="shared" si="0"/>
        <v/>
      </c>
      <c r="C59" s="71"/>
      <c r="D59" s="66" t="str">
        <f t="shared" si="1"/>
        <v/>
      </c>
      <c r="E59" s="71"/>
      <c r="F59" s="66" t="str">
        <f t="shared" si="7"/>
        <v/>
      </c>
      <c r="G59" s="59"/>
      <c r="H59" s="59"/>
      <c r="I59" s="59"/>
      <c r="J59" s="77"/>
      <c r="K59" s="75"/>
      <c r="L59" s="75"/>
      <c r="M59" s="77"/>
      <c r="N59" s="77"/>
      <c r="O59" s="44"/>
      <c r="P59" s="44" t="str">
        <f t="shared" si="2"/>
        <v/>
      </c>
      <c r="Q59" s="44" t="str">
        <f t="shared" si="3"/>
        <v/>
      </c>
      <c r="R59" s="44"/>
      <c r="S59" s="44"/>
      <c r="T59" s="44"/>
      <c r="U59" s="44">
        <v>3692</v>
      </c>
      <c r="V59" s="44" t="s">
        <v>774</v>
      </c>
      <c r="W59" s="44"/>
      <c r="X59" s="44" t="str">
        <f t="shared" si="4"/>
        <v>36</v>
      </c>
      <c r="Y59" s="44" t="str">
        <f t="shared" si="5"/>
        <v>369</v>
      </c>
      <c r="Z59" s="44"/>
      <c r="AA59" s="44" t="s">
        <v>1455</v>
      </c>
      <c r="AB59" s="44" t="s">
        <v>1456</v>
      </c>
    </row>
    <row r="60" spans="1:28" ht="15" customHeight="1">
      <c r="A60" s="71"/>
      <c r="B60" s="66" t="str">
        <f t="shared" si="0"/>
        <v/>
      </c>
      <c r="C60" s="71"/>
      <c r="D60" s="66" t="str">
        <f t="shared" si="1"/>
        <v/>
      </c>
      <c r="E60" s="71"/>
      <c r="F60" s="66" t="str">
        <f t="shared" si="7"/>
        <v/>
      </c>
      <c r="G60" s="59"/>
      <c r="H60" s="59"/>
      <c r="I60" s="59"/>
      <c r="J60" s="77"/>
      <c r="K60" s="75"/>
      <c r="L60" s="75"/>
      <c r="M60" s="77"/>
      <c r="N60" s="77"/>
      <c r="O60" s="44"/>
      <c r="P60" s="44" t="str">
        <f t="shared" si="2"/>
        <v/>
      </c>
      <c r="Q60" s="44" t="str">
        <f t="shared" si="3"/>
        <v/>
      </c>
      <c r="R60" s="44"/>
      <c r="S60" s="44"/>
      <c r="T60" s="44"/>
      <c r="U60" s="44">
        <v>3693</v>
      </c>
      <c r="V60" s="44" t="s">
        <v>771</v>
      </c>
      <c r="W60" s="44"/>
      <c r="X60" s="44" t="str">
        <f t="shared" si="4"/>
        <v>36</v>
      </c>
      <c r="Y60" s="44" t="str">
        <f t="shared" si="5"/>
        <v>369</v>
      </c>
      <c r="Z60" s="44"/>
      <c r="AA60" s="44" t="s">
        <v>1457</v>
      </c>
      <c r="AB60" s="44" t="s">
        <v>1458</v>
      </c>
    </row>
    <row r="61" spans="1:28" ht="15" customHeight="1">
      <c r="A61" s="71"/>
      <c r="B61" s="66" t="str">
        <f t="shared" si="0"/>
        <v/>
      </c>
      <c r="C61" s="71"/>
      <c r="D61" s="66" t="str">
        <f t="shared" si="1"/>
        <v/>
      </c>
      <c r="E61" s="71"/>
      <c r="F61" s="66" t="str">
        <f t="shared" si="7"/>
        <v/>
      </c>
      <c r="G61" s="59"/>
      <c r="H61" s="59"/>
      <c r="I61" s="59"/>
      <c r="J61" s="77"/>
      <c r="K61" s="75"/>
      <c r="L61" s="75"/>
      <c r="M61" s="77"/>
      <c r="N61" s="77"/>
      <c r="O61" s="44"/>
      <c r="P61" s="44" t="str">
        <f t="shared" si="2"/>
        <v/>
      </c>
      <c r="Q61" s="44" t="str">
        <f t="shared" si="3"/>
        <v/>
      </c>
      <c r="R61" s="44"/>
      <c r="S61" s="44"/>
      <c r="T61" s="44"/>
      <c r="U61" s="44">
        <v>3694</v>
      </c>
      <c r="V61" s="44" t="s">
        <v>774</v>
      </c>
      <c r="W61" s="44"/>
      <c r="X61" s="44" t="str">
        <f t="shared" si="4"/>
        <v>36</v>
      </c>
      <c r="Y61" s="44" t="str">
        <f t="shared" si="5"/>
        <v>369</v>
      </c>
      <c r="Z61" s="44"/>
      <c r="AA61" s="44" t="s">
        <v>1459</v>
      </c>
      <c r="AB61" s="44" t="s">
        <v>1460</v>
      </c>
    </row>
    <row r="62" spans="1:28" ht="15" customHeight="1">
      <c r="A62" s="71"/>
      <c r="B62" s="66" t="str">
        <f t="shared" si="0"/>
        <v/>
      </c>
      <c r="C62" s="71"/>
      <c r="D62" s="66" t="str">
        <f t="shared" si="1"/>
        <v/>
      </c>
      <c r="E62" s="71"/>
      <c r="F62" s="66" t="str">
        <f t="shared" si="7"/>
        <v/>
      </c>
      <c r="G62" s="59"/>
      <c r="H62" s="59"/>
      <c r="I62" s="59"/>
      <c r="J62" s="77"/>
      <c r="K62" s="75"/>
      <c r="L62" s="75"/>
      <c r="M62" s="77"/>
      <c r="N62" s="77"/>
      <c r="O62" s="44"/>
      <c r="P62" s="44" t="str">
        <f t="shared" si="2"/>
        <v/>
      </c>
      <c r="Q62" s="44" t="str">
        <f t="shared" si="3"/>
        <v/>
      </c>
      <c r="R62" s="44"/>
      <c r="S62" s="44"/>
      <c r="T62" s="44"/>
      <c r="U62" s="44">
        <v>3711</v>
      </c>
      <c r="V62" s="44" t="s">
        <v>781</v>
      </c>
      <c r="W62" s="44"/>
      <c r="X62" s="44" t="str">
        <f t="shared" si="4"/>
        <v>37</v>
      </c>
      <c r="Y62" s="44" t="str">
        <f t="shared" si="5"/>
        <v>371</v>
      </c>
      <c r="Z62" s="44"/>
      <c r="AA62" s="44" t="s">
        <v>1461</v>
      </c>
      <c r="AB62" s="44" t="s">
        <v>1462</v>
      </c>
    </row>
    <row r="63" spans="1:28" ht="15" customHeight="1">
      <c r="A63" s="71"/>
      <c r="B63" s="66" t="str">
        <f t="shared" si="0"/>
        <v/>
      </c>
      <c r="C63" s="71"/>
      <c r="D63" s="66" t="str">
        <f t="shared" si="1"/>
        <v/>
      </c>
      <c r="E63" s="71"/>
      <c r="F63" s="66" t="str">
        <f t="shared" si="7"/>
        <v/>
      </c>
      <c r="G63" s="59"/>
      <c r="H63" s="59"/>
      <c r="I63" s="59"/>
      <c r="J63" s="77"/>
      <c r="K63" s="75"/>
      <c r="L63" s="75"/>
      <c r="M63" s="77"/>
      <c r="N63" s="77"/>
      <c r="O63" s="44"/>
      <c r="P63" s="44" t="str">
        <f t="shared" si="2"/>
        <v/>
      </c>
      <c r="Q63" s="44" t="str">
        <f t="shared" si="3"/>
        <v/>
      </c>
      <c r="R63" s="44"/>
      <c r="S63" s="44"/>
      <c r="T63" s="44"/>
      <c r="U63" s="44">
        <v>3712</v>
      </c>
      <c r="V63" s="44" t="s">
        <v>784</v>
      </c>
      <c r="W63" s="44"/>
      <c r="X63" s="44" t="str">
        <f t="shared" si="4"/>
        <v>37</v>
      </c>
      <c r="Y63" s="44" t="str">
        <f t="shared" si="5"/>
        <v>371</v>
      </c>
      <c r="Z63" s="44"/>
      <c r="AA63" s="44" t="s">
        <v>1463</v>
      </c>
      <c r="AB63" s="44" t="s">
        <v>1464</v>
      </c>
    </row>
    <row r="64" spans="1:28" ht="15" customHeight="1">
      <c r="A64" s="71"/>
      <c r="B64" s="66" t="str">
        <f t="shared" si="0"/>
        <v/>
      </c>
      <c r="C64" s="71"/>
      <c r="D64" s="66" t="str">
        <f t="shared" si="1"/>
        <v/>
      </c>
      <c r="E64" s="71"/>
      <c r="F64" s="66" t="str">
        <f t="shared" si="7"/>
        <v/>
      </c>
      <c r="G64" s="59"/>
      <c r="H64" s="59"/>
      <c r="I64" s="59"/>
      <c r="J64" s="77"/>
      <c r="K64" s="75"/>
      <c r="L64" s="75"/>
      <c r="M64" s="77"/>
      <c r="N64" s="77"/>
      <c r="O64" s="44"/>
      <c r="P64" s="44" t="str">
        <f t="shared" si="2"/>
        <v/>
      </c>
      <c r="Q64" s="44" t="str">
        <f t="shared" si="3"/>
        <v/>
      </c>
      <c r="R64" s="44"/>
      <c r="S64" s="44"/>
      <c r="T64" s="44"/>
      <c r="U64" s="44">
        <v>3713</v>
      </c>
      <c r="V64" s="44" t="s">
        <v>787</v>
      </c>
      <c r="W64" s="44"/>
      <c r="X64" s="44" t="str">
        <f t="shared" si="4"/>
        <v>37</v>
      </c>
      <c r="Y64" s="44" t="str">
        <f t="shared" si="5"/>
        <v>371</v>
      </c>
      <c r="Z64" s="44"/>
      <c r="AA64" s="44" t="s">
        <v>1465</v>
      </c>
      <c r="AB64" s="44" t="s">
        <v>1466</v>
      </c>
    </row>
    <row r="65" spans="1:28" ht="15" customHeight="1">
      <c r="A65" s="71"/>
      <c r="B65" s="66" t="str">
        <f t="shared" si="0"/>
        <v/>
      </c>
      <c r="C65" s="71"/>
      <c r="D65" s="66" t="str">
        <f t="shared" si="1"/>
        <v/>
      </c>
      <c r="E65" s="71"/>
      <c r="F65" s="66" t="str">
        <f t="shared" si="7"/>
        <v/>
      </c>
      <c r="G65" s="59"/>
      <c r="H65" s="59"/>
      <c r="I65" s="59"/>
      <c r="J65" s="77"/>
      <c r="K65" s="75"/>
      <c r="L65" s="75"/>
      <c r="M65" s="77"/>
      <c r="N65" s="77"/>
      <c r="O65" s="44"/>
      <c r="P65" s="44" t="str">
        <f t="shared" si="2"/>
        <v/>
      </c>
      <c r="Q65" s="44" t="str">
        <f t="shared" si="3"/>
        <v/>
      </c>
      <c r="R65" s="44"/>
      <c r="S65" s="44"/>
      <c r="T65" s="44"/>
      <c r="U65" s="44">
        <v>3714</v>
      </c>
      <c r="V65" s="44" t="s">
        <v>790</v>
      </c>
      <c r="W65" s="44"/>
      <c r="X65" s="44" t="str">
        <f t="shared" si="4"/>
        <v>37</v>
      </c>
      <c r="Y65" s="44" t="str">
        <f t="shared" si="5"/>
        <v>371</v>
      </c>
      <c r="Z65" s="44"/>
      <c r="AA65" s="44" t="s">
        <v>1467</v>
      </c>
      <c r="AB65" s="44" t="s">
        <v>1468</v>
      </c>
    </row>
    <row r="66" spans="1:28" ht="15" customHeight="1">
      <c r="A66" s="71"/>
      <c r="B66" s="66" t="str">
        <f t="shared" si="0"/>
        <v/>
      </c>
      <c r="C66" s="71"/>
      <c r="D66" s="66" t="str">
        <f t="shared" si="1"/>
        <v/>
      </c>
      <c r="E66" s="71"/>
      <c r="F66" s="66" t="str">
        <f t="shared" si="7"/>
        <v/>
      </c>
      <c r="G66" s="59"/>
      <c r="H66" s="59"/>
      <c r="I66" s="59"/>
      <c r="J66" s="77"/>
      <c r="K66" s="75"/>
      <c r="L66" s="75"/>
      <c r="M66" s="77"/>
      <c r="N66" s="77"/>
      <c r="O66" s="44"/>
      <c r="P66" s="44" t="str">
        <f t="shared" si="2"/>
        <v/>
      </c>
      <c r="Q66" s="44" t="str">
        <f t="shared" si="3"/>
        <v/>
      </c>
      <c r="R66" s="44"/>
      <c r="S66" s="44"/>
      <c r="T66" s="44"/>
      <c r="U66" s="44">
        <v>3715</v>
      </c>
      <c r="V66" s="44" t="s">
        <v>793</v>
      </c>
      <c r="W66" s="44"/>
      <c r="X66" s="44" t="str">
        <f t="shared" si="4"/>
        <v>37</v>
      </c>
      <c r="Y66" s="44" t="str">
        <f t="shared" si="5"/>
        <v>371</v>
      </c>
      <c r="Z66" s="44"/>
      <c r="AA66" s="44" t="s">
        <v>1469</v>
      </c>
      <c r="AB66" s="44" t="s">
        <v>1470</v>
      </c>
    </row>
    <row r="67" spans="1:28" ht="15" customHeight="1">
      <c r="A67" s="71"/>
      <c r="B67" s="66" t="str">
        <f t="shared" ref="B67:B130" si="8">IFERROR(VLOOKUP(A67,$R$6:$S$23,2,FALSE),"")</f>
        <v/>
      </c>
      <c r="C67" s="71"/>
      <c r="D67" s="66" t="str">
        <f t="shared" ref="D67:D130" si="9">IFERROR(VLOOKUP(C67,$U$5:$W$127,2,FALSE),"")</f>
        <v/>
      </c>
      <c r="E67" s="71"/>
      <c r="F67" s="66" t="str">
        <f t="shared" si="7"/>
        <v/>
      </c>
      <c r="G67" s="59"/>
      <c r="H67" s="59"/>
      <c r="I67" s="59"/>
      <c r="J67" s="77"/>
      <c r="K67" s="75"/>
      <c r="L67" s="75"/>
      <c r="M67" s="77"/>
      <c r="N67" s="77"/>
      <c r="O67" s="44"/>
      <c r="P67" s="44" t="str">
        <f t="shared" si="2"/>
        <v/>
      </c>
      <c r="Q67" s="44" t="str">
        <f t="shared" si="3"/>
        <v/>
      </c>
      <c r="R67" s="44"/>
      <c r="S67" s="44"/>
      <c r="T67" s="44"/>
      <c r="U67" s="44">
        <v>3721</v>
      </c>
      <c r="V67" s="44" t="s">
        <v>796</v>
      </c>
      <c r="W67" s="44"/>
      <c r="X67" s="44" t="str">
        <f t="shared" si="4"/>
        <v>37</v>
      </c>
      <c r="Y67" s="44" t="str">
        <f t="shared" si="5"/>
        <v>372</v>
      </c>
      <c r="Z67" s="44"/>
      <c r="AA67" s="44" t="s">
        <v>1471</v>
      </c>
      <c r="AB67" s="44" t="s">
        <v>1472</v>
      </c>
    </row>
    <row r="68" spans="1:28" ht="15" customHeight="1">
      <c r="A68" s="71"/>
      <c r="B68" s="66" t="str">
        <f t="shared" si="8"/>
        <v/>
      </c>
      <c r="C68" s="71"/>
      <c r="D68" s="66" t="str">
        <f t="shared" si="9"/>
        <v/>
      </c>
      <c r="E68" s="71"/>
      <c r="F68" s="66" t="str">
        <f t="shared" si="7"/>
        <v/>
      </c>
      <c r="G68" s="59"/>
      <c r="H68" s="59"/>
      <c r="I68" s="59"/>
      <c r="J68" s="77"/>
      <c r="K68" s="75"/>
      <c r="L68" s="75"/>
      <c r="M68" s="77"/>
      <c r="N68" s="77"/>
      <c r="O68" s="44"/>
      <c r="P68" s="44" t="str">
        <f t="shared" si="2"/>
        <v/>
      </c>
      <c r="Q68" s="44" t="str">
        <f t="shared" si="3"/>
        <v/>
      </c>
      <c r="R68" s="44"/>
      <c r="S68" s="44"/>
      <c r="T68" s="44"/>
      <c r="U68" s="44">
        <v>3722</v>
      </c>
      <c r="V68" s="44" t="s">
        <v>799</v>
      </c>
      <c r="W68" s="44"/>
      <c r="X68" s="44" t="str">
        <f t="shared" si="4"/>
        <v>37</v>
      </c>
      <c r="Y68" s="44" t="str">
        <f t="shared" si="5"/>
        <v>372</v>
      </c>
      <c r="Z68" s="44"/>
      <c r="AA68" s="44" t="s">
        <v>1473</v>
      </c>
      <c r="AB68" s="44" t="s">
        <v>1474</v>
      </c>
    </row>
    <row r="69" spans="1:28" ht="15" customHeight="1">
      <c r="A69" s="71"/>
      <c r="B69" s="66" t="str">
        <f t="shared" si="8"/>
        <v/>
      </c>
      <c r="C69" s="71"/>
      <c r="D69" s="66" t="str">
        <f t="shared" si="9"/>
        <v/>
      </c>
      <c r="E69" s="71"/>
      <c r="F69" s="66" t="str">
        <f t="shared" si="7"/>
        <v/>
      </c>
      <c r="G69" s="59"/>
      <c r="H69" s="59"/>
      <c r="I69" s="59"/>
      <c r="J69" s="77"/>
      <c r="K69" s="75"/>
      <c r="L69" s="75"/>
      <c r="M69" s="77"/>
      <c r="N69" s="77"/>
      <c r="O69" s="44"/>
      <c r="P69" s="44" t="str">
        <f t="shared" si="2"/>
        <v/>
      </c>
      <c r="Q69" s="44" t="str">
        <f t="shared" si="3"/>
        <v/>
      </c>
      <c r="R69" s="44"/>
      <c r="S69" s="44"/>
      <c r="T69" s="44"/>
      <c r="U69" s="44">
        <v>3723</v>
      </c>
      <c r="V69" s="44" t="s">
        <v>802</v>
      </c>
      <c r="W69" s="44"/>
      <c r="X69" s="44" t="str">
        <f t="shared" si="4"/>
        <v>37</v>
      </c>
      <c r="Y69" s="44" t="str">
        <f t="shared" si="5"/>
        <v>372</v>
      </c>
      <c r="Z69" s="44"/>
      <c r="AA69" s="44" t="s">
        <v>1475</v>
      </c>
      <c r="AB69" s="44" t="s">
        <v>1476</v>
      </c>
    </row>
    <row r="70" spans="1:28" ht="15" customHeight="1">
      <c r="A70" s="71"/>
      <c r="B70" s="66" t="str">
        <f t="shared" si="8"/>
        <v/>
      </c>
      <c r="C70" s="71"/>
      <c r="D70" s="66" t="str">
        <f t="shared" si="9"/>
        <v/>
      </c>
      <c r="E70" s="71"/>
      <c r="F70" s="66" t="str">
        <f t="shared" si="7"/>
        <v/>
      </c>
      <c r="G70" s="59"/>
      <c r="H70" s="59"/>
      <c r="I70" s="59"/>
      <c r="J70" s="77"/>
      <c r="K70" s="75"/>
      <c r="L70" s="75"/>
      <c r="M70" s="77"/>
      <c r="N70" s="77"/>
      <c r="O70" s="44"/>
      <c r="P70" s="44" t="str">
        <f t="shared" si="2"/>
        <v/>
      </c>
      <c r="Q70" s="44" t="str">
        <f t="shared" si="3"/>
        <v/>
      </c>
      <c r="R70" s="44"/>
      <c r="S70" s="44"/>
      <c r="T70" s="44"/>
      <c r="U70" s="44">
        <v>3811</v>
      </c>
      <c r="V70" s="44" t="s">
        <v>805</v>
      </c>
      <c r="W70" s="44"/>
      <c r="X70" s="44" t="str">
        <f t="shared" si="4"/>
        <v>38</v>
      </c>
      <c r="Y70" s="44" t="str">
        <f t="shared" si="5"/>
        <v>381</v>
      </c>
      <c r="Z70" s="44"/>
      <c r="AA70" s="44" t="s">
        <v>1477</v>
      </c>
      <c r="AB70" s="44" t="s">
        <v>1478</v>
      </c>
    </row>
    <row r="71" spans="1:28" ht="15" customHeight="1">
      <c r="A71" s="71"/>
      <c r="B71" s="66" t="str">
        <f t="shared" si="8"/>
        <v/>
      </c>
      <c r="C71" s="71"/>
      <c r="D71" s="66" t="str">
        <f t="shared" si="9"/>
        <v/>
      </c>
      <c r="E71" s="71"/>
      <c r="F71" s="66" t="str">
        <f t="shared" si="7"/>
        <v/>
      </c>
      <c r="G71" s="59"/>
      <c r="H71" s="59"/>
      <c r="I71" s="59"/>
      <c r="J71" s="77"/>
      <c r="K71" s="75"/>
      <c r="L71" s="75"/>
      <c r="M71" s="77"/>
      <c r="N71" s="77"/>
      <c r="O71" s="44"/>
      <c r="P71" s="44" t="str">
        <f t="shared" si="2"/>
        <v/>
      </c>
      <c r="Q71" s="44" t="str">
        <f t="shared" si="3"/>
        <v/>
      </c>
      <c r="R71" s="44"/>
      <c r="S71" s="44"/>
      <c r="T71" s="44"/>
      <c r="U71" s="44">
        <v>3812</v>
      </c>
      <c r="V71" s="44" t="s">
        <v>808</v>
      </c>
      <c r="W71" s="44"/>
      <c r="X71" s="44" t="str">
        <f t="shared" si="4"/>
        <v>38</v>
      </c>
      <c r="Y71" s="44" t="str">
        <f t="shared" si="5"/>
        <v>381</v>
      </c>
      <c r="Z71" s="44"/>
      <c r="AA71" s="44" t="s">
        <v>1479</v>
      </c>
      <c r="AB71" s="44" t="s">
        <v>1480</v>
      </c>
    </row>
    <row r="72" spans="1:28" ht="15" customHeight="1">
      <c r="A72" s="71"/>
      <c r="B72" s="66" t="str">
        <f t="shared" si="8"/>
        <v/>
      </c>
      <c r="C72" s="71"/>
      <c r="D72" s="66" t="str">
        <f t="shared" si="9"/>
        <v/>
      </c>
      <c r="E72" s="71"/>
      <c r="F72" s="66" t="str">
        <f t="shared" si="7"/>
        <v/>
      </c>
      <c r="G72" s="59"/>
      <c r="H72" s="59"/>
      <c r="I72" s="59"/>
      <c r="J72" s="77"/>
      <c r="K72" s="75"/>
      <c r="L72" s="75"/>
      <c r="M72" s="77"/>
      <c r="N72" s="77"/>
      <c r="O72" s="44"/>
      <c r="P72" s="44" t="str">
        <f t="shared" si="2"/>
        <v/>
      </c>
      <c r="Q72" s="44" t="str">
        <f t="shared" si="3"/>
        <v/>
      </c>
      <c r="R72" s="44"/>
      <c r="S72" s="44"/>
      <c r="T72" s="44"/>
      <c r="U72" s="44">
        <v>3813</v>
      </c>
      <c r="V72" s="44" t="s">
        <v>811</v>
      </c>
      <c r="W72" s="44"/>
      <c r="X72" s="44" t="str">
        <f t="shared" si="4"/>
        <v>38</v>
      </c>
      <c r="Y72" s="44" t="str">
        <f t="shared" si="5"/>
        <v>381</v>
      </c>
      <c r="Z72" s="44"/>
      <c r="AA72" s="44" t="s">
        <v>1481</v>
      </c>
      <c r="AB72" s="44" t="s">
        <v>1482</v>
      </c>
    </row>
    <row r="73" spans="1:28" ht="15" customHeight="1">
      <c r="A73" s="71"/>
      <c r="B73" s="66" t="str">
        <f t="shared" si="8"/>
        <v/>
      </c>
      <c r="C73" s="71"/>
      <c r="D73" s="66" t="str">
        <f t="shared" si="9"/>
        <v/>
      </c>
      <c r="E73" s="71"/>
      <c r="F73" s="66" t="str">
        <f t="shared" si="7"/>
        <v/>
      </c>
      <c r="G73" s="59"/>
      <c r="H73" s="59"/>
      <c r="I73" s="59"/>
      <c r="J73" s="77"/>
      <c r="K73" s="75"/>
      <c r="L73" s="75"/>
      <c r="M73" s="77"/>
      <c r="N73" s="77"/>
      <c r="O73" s="44"/>
      <c r="P73" s="44" t="str">
        <f t="shared" si="2"/>
        <v/>
      </c>
      <c r="Q73" s="44" t="str">
        <f t="shared" si="3"/>
        <v/>
      </c>
      <c r="R73" s="44"/>
      <c r="S73" s="44"/>
      <c r="T73" s="44"/>
      <c r="U73" s="44">
        <v>3821</v>
      </c>
      <c r="V73" s="44" t="s">
        <v>814</v>
      </c>
      <c r="W73" s="44"/>
      <c r="X73" s="44" t="str">
        <f t="shared" si="4"/>
        <v>38</v>
      </c>
      <c r="Y73" s="44" t="str">
        <f t="shared" si="5"/>
        <v>382</v>
      </c>
      <c r="Z73" s="44"/>
      <c r="AA73" s="44" t="s">
        <v>1483</v>
      </c>
      <c r="AB73" s="44" t="s">
        <v>1484</v>
      </c>
    </row>
    <row r="74" spans="1:28" ht="15" customHeight="1">
      <c r="A74" s="71"/>
      <c r="B74" s="66" t="str">
        <f t="shared" si="8"/>
        <v/>
      </c>
      <c r="C74" s="71"/>
      <c r="D74" s="66" t="str">
        <f t="shared" si="9"/>
        <v/>
      </c>
      <c r="E74" s="71"/>
      <c r="F74" s="66" t="str">
        <f t="shared" si="7"/>
        <v/>
      </c>
      <c r="G74" s="59"/>
      <c r="H74" s="59"/>
      <c r="I74" s="59"/>
      <c r="J74" s="77"/>
      <c r="K74" s="75"/>
      <c r="L74" s="75"/>
      <c r="M74" s="77"/>
      <c r="N74" s="77"/>
      <c r="O74" s="44"/>
      <c r="P74" s="44" t="str">
        <f t="shared" si="2"/>
        <v/>
      </c>
      <c r="Q74" s="44" t="str">
        <f t="shared" si="3"/>
        <v/>
      </c>
      <c r="R74" s="44"/>
      <c r="S74" s="44"/>
      <c r="T74" s="44"/>
      <c r="U74" s="44">
        <v>3831</v>
      </c>
      <c r="V74" s="44" t="s">
        <v>817</v>
      </c>
      <c r="W74" s="44"/>
      <c r="X74" s="44" t="str">
        <f t="shared" si="4"/>
        <v>38</v>
      </c>
      <c r="Y74" s="44" t="str">
        <f t="shared" si="5"/>
        <v>383</v>
      </c>
      <c r="Z74" s="44"/>
      <c r="AA74" s="44" t="s">
        <v>1485</v>
      </c>
      <c r="AB74" s="44" t="s">
        <v>1486</v>
      </c>
    </row>
    <row r="75" spans="1:28" ht="15" customHeight="1">
      <c r="A75" s="71"/>
      <c r="B75" s="66" t="str">
        <f t="shared" si="8"/>
        <v/>
      </c>
      <c r="C75" s="71"/>
      <c r="D75" s="66" t="str">
        <f t="shared" si="9"/>
        <v/>
      </c>
      <c r="E75" s="71"/>
      <c r="F75" s="66" t="str">
        <f t="shared" si="7"/>
        <v/>
      </c>
      <c r="G75" s="59"/>
      <c r="H75" s="59"/>
      <c r="I75" s="59"/>
      <c r="J75" s="77"/>
      <c r="K75" s="75"/>
      <c r="L75" s="75"/>
      <c r="M75" s="77"/>
      <c r="N75" s="77"/>
      <c r="O75" s="44"/>
      <c r="P75" s="44" t="str">
        <f t="shared" si="2"/>
        <v/>
      </c>
      <c r="Q75" s="44" t="str">
        <f t="shared" si="3"/>
        <v/>
      </c>
      <c r="R75" s="44"/>
      <c r="S75" s="44"/>
      <c r="T75" s="44"/>
      <c r="U75" s="44">
        <v>3832</v>
      </c>
      <c r="V75" s="44" t="s">
        <v>820</v>
      </c>
      <c r="W75" s="44"/>
      <c r="X75" s="44" t="str">
        <f t="shared" si="4"/>
        <v>38</v>
      </c>
      <c r="Y75" s="44" t="str">
        <f t="shared" si="5"/>
        <v>383</v>
      </c>
      <c r="Z75" s="44"/>
      <c r="AA75" s="44" t="s">
        <v>1487</v>
      </c>
      <c r="AB75" s="44" t="s">
        <v>1488</v>
      </c>
    </row>
    <row r="76" spans="1:28" ht="15" customHeight="1">
      <c r="A76" s="71"/>
      <c r="B76" s="66" t="str">
        <f t="shared" si="8"/>
        <v/>
      </c>
      <c r="C76" s="71"/>
      <c r="D76" s="66" t="str">
        <f t="shared" si="9"/>
        <v/>
      </c>
      <c r="E76" s="71"/>
      <c r="F76" s="66" t="str">
        <f t="shared" si="7"/>
        <v/>
      </c>
      <c r="G76" s="59"/>
      <c r="H76" s="59"/>
      <c r="I76" s="59"/>
      <c r="J76" s="77"/>
      <c r="K76" s="75"/>
      <c r="L76" s="75"/>
      <c r="M76" s="77"/>
      <c r="N76" s="77"/>
      <c r="O76" s="44"/>
      <c r="P76" s="44" t="str">
        <f t="shared" si="2"/>
        <v/>
      </c>
      <c r="Q76" s="44" t="str">
        <f t="shared" si="3"/>
        <v/>
      </c>
      <c r="R76" s="44"/>
      <c r="S76" s="44"/>
      <c r="T76" s="44"/>
      <c r="U76" s="44">
        <v>3833</v>
      </c>
      <c r="V76" s="44" t="s">
        <v>823</v>
      </c>
      <c r="W76" s="44"/>
      <c r="X76" s="44" t="str">
        <f t="shared" si="4"/>
        <v>38</v>
      </c>
      <c r="Y76" s="44" t="str">
        <f t="shared" si="5"/>
        <v>383</v>
      </c>
      <c r="Z76" s="44"/>
      <c r="AA76" s="44" t="s">
        <v>1489</v>
      </c>
      <c r="AB76" s="44" t="s">
        <v>1490</v>
      </c>
    </row>
    <row r="77" spans="1:28" ht="15" customHeight="1">
      <c r="A77" s="71"/>
      <c r="B77" s="66" t="str">
        <f t="shared" si="8"/>
        <v/>
      </c>
      <c r="C77" s="71"/>
      <c r="D77" s="66" t="str">
        <f t="shared" si="9"/>
        <v/>
      </c>
      <c r="E77" s="71"/>
      <c r="F77" s="66" t="str">
        <f t="shared" si="7"/>
        <v/>
      </c>
      <c r="G77" s="59"/>
      <c r="H77" s="59"/>
      <c r="I77" s="59"/>
      <c r="J77" s="77"/>
      <c r="K77" s="75"/>
      <c r="L77" s="75"/>
      <c r="M77" s="77"/>
      <c r="N77" s="77"/>
      <c r="O77" s="44"/>
      <c r="P77" s="44" t="str">
        <f t="shared" si="2"/>
        <v/>
      </c>
      <c r="Q77" s="44" t="str">
        <f t="shared" si="3"/>
        <v/>
      </c>
      <c r="R77" s="44"/>
      <c r="S77" s="44"/>
      <c r="T77" s="44"/>
      <c r="U77" s="44">
        <v>3834</v>
      </c>
      <c r="V77" s="44" t="s">
        <v>826</v>
      </c>
      <c r="W77" s="44"/>
      <c r="X77" s="44" t="str">
        <f t="shared" si="4"/>
        <v>38</v>
      </c>
      <c r="Y77" s="44" t="str">
        <f t="shared" si="5"/>
        <v>383</v>
      </c>
      <c r="Z77" s="44"/>
      <c r="AA77" s="44" t="s">
        <v>1491</v>
      </c>
      <c r="AB77" s="44" t="s">
        <v>1492</v>
      </c>
    </row>
    <row r="78" spans="1:28" ht="15" customHeight="1">
      <c r="A78" s="71"/>
      <c r="B78" s="66" t="str">
        <f t="shared" si="8"/>
        <v/>
      </c>
      <c r="C78" s="71"/>
      <c r="D78" s="66" t="str">
        <f t="shared" si="9"/>
        <v/>
      </c>
      <c r="E78" s="71"/>
      <c r="F78" s="66" t="str">
        <f t="shared" si="7"/>
        <v/>
      </c>
      <c r="G78" s="59"/>
      <c r="H78" s="59"/>
      <c r="I78" s="59"/>
      <c r="J78" s="77"/>
      <c r="K78" s="75"/>
      <c r="L78" s="75"/>
      <c r="M78" s="77"/>
      <c r="N78" s="77"/>
      <c r="O78" s="44"/>
      <c r="P78" s="44" t="str">
        <f t="shared" si="2"/>
        <v/>
      </c>
      <c r="Q78" s="44" t="str">
        <f t="shared" si="3"/>
        <v/>
      </c>
      <c r="R78" s="44"/>
      <c r="S78" s="44"/>
      <c r="T78" s="44"/>
      <c r="U78" s="44">
        <v>3835</v>
      </c>
      <c r="V78" s="44" t="s">
        <v>829</v>
      </c>
      <c r="W78" s="44"/>
      <c r="X78" s="44" t="str">
        <f t="shared" si="4"/>
        <v>38</v>
      </c>
      <c r="Y78" s="44" t="str">
        <f t="shared" si="5"/>
        <v>383</v>
      </c>
      <c r="Z78" s="44"/>
      <c r="AA78" s="44" t="s">
        <v>1493</v>
      </c>
      <c r="AB78" s="44" t="s">
        <v>1494</v>
      </c>
    </row>
    <row r="79" spans="1:28" ht="15" customHeight="1">
      <c r="A79" s="71"/>
      <c r="B79" s="66" t="str">
        <f t="shared" si="8"/>
        <v/>
      </c>
      <c r="C79" s="71"/>
      <c r="D79" s="66" t="str">
        <f t="shared" si="9"/>
        <v/>
      </c>
      <c r="E79" s="71"/>
      <c r="F79" s="66" t="str">
        <f t="shared" si="7"/>
        <v/>
      </c>
      <c r="G79" s="59"/>
      <c r="H79" s="59"/>
      <c r="I79" s="59"/>
      <c r="J79" s="77"/>
      <c r="K79" s="75"/>
      <c r="L79" s="75"/>
      <c r="M79" s="77"/>
      <c r="N79" s="77"/>
      <c r="O79" s="44"/>
      <c r="P79" s="44" t="str">
        <f t="shared" si="2"/>
        <v/>
      </c>
      <c r="Q79" s="44" t="str">
        <f t="shared" si="3"/>
        <v/>
      </c>
      <c r="R79" s="44"/>
      <c r="S79" s="44"/>
      <c r="T79" s="44"/>
      <c r="U79" s="44">
        <v>3861</v>
      </c>
      <c r="V79" s="78" t="s">
        <v>832</v>
      </c>
      <c r="W79" s="44"/>
      <c r="X79" s="44" t="str">
        <f t="shared" si="4"/>
        <v>38</v>
      </c>
      <c r="Y79" s="44" t="str">
        <f t="shared" si="5"/>
        <v>386</v>
      </c>
      <c r="Z79" s="44"/>
      <c r="AA79" s="44" t="s">
        <v>1495</v>
      </c>
      <c r="AB79" s="44" t="s">
        <v>1496</v>
      </c>
    </row>
    <row r="80" spans="1:28" ht="15" customHeight="1">
      <c r="A80" s="71"/>
      <c r="B80" s="66" t="str">
        <f t="shared" si="8"/>
        <v/>
      </c>
      <c r="C80" s="71"/>
      <c r="D80" s="66" t="str">
        <f t="shared" si="9"/>
        <v/>
      </c>
      <c r="E80" s="71"/>
      <c r="F80" s="66" t="str">
        <f t="shared" si="7"/>
        <v/>
      </c>
      <c r="G80" s="59"/>
      <c r="H80" s="59"/>
      <c r="I80" s="59"/>
      <c r="J80" s="77"/>
      <c r="K80" s="75"/>
      <c r="L80" s="75"/>
      <c r="M80" s="77"/>
      <c r="N80" s="77"/>
      <c r="O80" s="44"/>
      <c r="P80" s="44" t="str">
        <f t="shared" si="2"/>
        <v/>
      </c>
      <c r="Q80" s="44" t="str">
        <f t="shared" si="3"/>
        <v/>
      </c>
      <c r="R80" s="44"/>
      <c r="S80" s="44"/>
      <c r="T80" s="44"/>
      <c r="U80" s="44">
        <v>3862</v>
      </c>
      <c r="V80" s="44" t="s">
        <v>835</v>
      </c>
      <c r="W80" s="44"/>
      <c r="X80" s="44" t="str">
        <f t="shared" si="4"/>
        <v>38</v>
      </c>
      <c r="Y80" s="44" t="str">
        <f t="shared" si="5"/>
        <v>386</v>
      </c>
      <c r="Z80" s="44"/>
      <c r="AA80" s="44" t="s">
        <v>1497</v>
      </c>
      <c r="AB80" s="44" t="s">
        <v>1498</v>
      </c>
    </row>
    <row r="81" spans="1:28" ht="15" customHeight="1">
      <c r="A81" s="71"/>
      <c r="B81" s="66" t="str">
        <f t="shared" si="8"/>
        <v/>
      </c>
      <c r="C81" s="71"/>
      <c r="D81" s="66" t="str">
        <f t="shared" si="9"/>
        <v/>
      </c>
      <c r="E81" s="71"/>
      <c r="F81" s="66" t="str">
        <f t="shared" si="7"/>
        <v/>
      </c>
      <c r="G81" s="59"/>
      <c r="H81" s="59"/>
      <c r="I81" s="59"/>
      <c r="J81" s="77"/>
      <c r="K81" s="75"/>
      <c r="L81" s="75"/>
      <c r="M81" s="77"/>
      <c r="N81" s="77"/>
      <c r="O81" s="44"/>
      <c r="P81" s="44" t="str">
        <f t="shared" si="2"/>
        <v/>
      </c>
      <c r="Q81" s="44" t="str">
        <f t="shared" si="3"/>
        <v/>
      </c>
      <c r="R81" s="44"/>
      <c r="S81" s="44"/>
      <c r="T81" s="44"/>
      <c r="U81" s="44">
        <v>3863</v>
      </c>
      <c r="V81" s="44" t="s">
        <v>838</v>
      </c>
      <c r="W81" s="44"/>
      <c r="X81" s="44" t="str">
        <f t="shared" si="4"/>
        <v>38</v>
      </c>
      <c r="Y81" s="44" t="str">
        <f t="shared" si="5"/>
        <v>386</v>
      </c>
      <c r="Z81" s="44"/>
      <c r="AA81" s="44" t="s">
        <v>1499</v>
      </c>
      <c r="AB81" s="44" t="s">
        <v>1500</v>
      </c>
    </row>
    <row r="82" spans="1:28" ht="15" customHeight="1">
      <c r="A82" s="71"/>
      <c r="B82" s="66" t="str">
        <f t="shared" si="8"/>
        <v/>
      </c>
      <c r="C82" s="71"/>
      <c r="D82" s="66" t="str">
        <f t="shared" si="9"/>
        <v/>
      </c>
      <c r="E82" s="71"/>
      <c r="F82" s="66" t="str">
        <f t="shared" si="7"/>
        <v/>
      </c>
      <c r="G82" s="59"/>
      <c r="H82" s="59"/>
      <c r="I82" s="59"/>
      <c r="J82" s="77"/>
      <c r="K82" s="75"/>
      <c r="L82" s="75"/>
      <c r="M82" s="77"/>
      <c r="N82" s="77"/>
      <c r="O82" s="44"/>
      <c r="P82" s="44" t="str">
        <f t="shared" si="2"/>
        <v/>
      </c>
      <c r="Q82" s="44" t="str">
        <f t="shared" si="3"/>
        <v/>
      </c>
      <c r="R82" s="44"/>
      <c r="S82" s="44"/>
      <c r="T82" s="44"/>
      <c r="U82" s="44">
        <v>4111</v>
      </c>
      <c r="V82" s="44" t="s">
        <v>841</v>
      </c>
      <c r="W82" s="44"/>
      <c r="X82" s="44" t="str">
        <f t="shared" si="4"/>
        <v>41</v>
      </c>
      <c r="Y82" s="44" t="str">
        <f t="shared" si="5"/>
        <v>411</v>
      </c>
      <c r="Z82" s="44"/>
      <c r="AA82" s="44" t="s">
        <v>1501</v>
      </c>
      <c r="AB82" s="44" t="s">
        <v>1502</v>
      </c>
    </row>
    <row r="83" spans="1:28" ht="15" customHeight="1">
      <c r="A83" s="71"/>
      <c r="B83" s="66" t="str">
        <f t="shared" si="8"/>
        <v/>
      </c>
      <c r="C83" s="71"/>
      <c r="D83" s="66" t="str">
        <f t="shared" si="9"/>
        <v/>
      </c>
      <c r="E83" s="71"/>
      <c r="F83" s="66" t="str">
        <f t="shared" si="7"/>
        <v/>
      </c>
      <c r="G83" s="59"/>
      <c r="H83" s="59"/>
      <c r="I83" s="59"/>
      <c r="J83" s="77"/>
      <c r="K83" s="75"/>
      <c r="L83" s="75"/>
      <c r="M83" s="77"/>
      <c r="N83" s="77"/>
      <c r="O83" s="44"/>
      <c r="P83" s="44" t="str">
        <f t="shared" si="2"/>
        <v/>
      </c>
      <c r="Q83" s="44" t="str">
        <f t="shared" si="3"/>
        <v/>
      </c>
      <c r="R83" s="44"/>
      <c r="S83" s="44"/>
      <c r="T83" s="44"/>
      <c r="U83" s="44">
        <v>4113</v>
      </c>
      <c r="V83" s="44" t="s">
        <v>844</v>
      </c>
      <c r="W83" s="44"/>
      <c r="X83" s="44" t="str">
        <f t="shared" si="4"/>
        <v>41</v>
      </c>
      <c r="Y83" s="44" t="str">
        <f t="shared" si="5"/>
        <v>411</v>
      </c>
      <c r="Z83" s="44"/>
      <c r="AA83" s="44" t="s">
        <v>1503</v>
      </c>
      <c r="AB83" s="44" t="s">
        <v>1504</v>
      </c>
    </row>
    <row r="84" spans="1:28" ht="15" customHeight="1">
      <c r="A84" s="71"/>
      <c r="B84" s="66" t="str">
        <f t="shared" si="8"/>
        <v/>
      </c>
      <c r="C84" s="71"/>
      <c r="D84" s="66" t="str">
        <f t="shared" si="9"/>
        <v/>
      </c>
      <c r="E84" s="71"/>
      <c r="F84" s="66" t="str">
        <f t="shared" si="7"/>
        <v/>
      </c>
      <c r="G84" s="59"/>
      <c r="H84" s="59"/>
      <c r="I84" s="59"/>
      <c r="J84" s="77"/>
      <c r="K84" s="75"/>
      <c r="L84" s="75"/>
      <c r="M84" s="77"/>
      <c r="N84" s="77"/>
      <c r="O84" s="44"/>
      <c r="P84" s="44" t="str">
        <f t="shared" si="2"/>
        <v/>
      </c>
      <c r="Q84" s="44" t="str">
        <f t="shared" si="3"/>
        <v/>
      </c>
      <c r="R84" s="44"/>
      <c r="S84" s="44"/>
      <c r="T84" s="44"/>
      <c r="U84" s="44">
        <v>4122</v>
      </c>
      <c r="V84" s="44" t="s">
        <v>847</v>
      </c>
      <c r="W84" s="44"/>
      <c r="X84" s="44" t="str">
        <f t="shared" si="4"/>
        <v>41</v>
      </c>
      <c r="Y84" s="44" t="str">
        <f t="shared" si="5"/>
        <v>412</v>
      </c>
      <c r="Z84" s="44"/>
      <c r="AA84" s="44" t="s">
        <v>1505</v>
      </c>
      <c r="AB84" s="44" t="s">
        <v>1506</v>
      </c>
    </row>
    <row r="85" spans="1:28" ht="15" customHeight="1">
      <c r="A85" s="71"/>
      <c r="B85" s="66" t="str">
        <f t="shared" si="8"/>
        <v/>
      </c>
      <c r="C85" s="71"/>
      <c r="D85" s="66" t="str">
        <f t="shared" si="9"/>
        <v/>
      </c>
      <c r="E85" s="71"/>
      <c r="F85" s="66" t="str">
        <f t="shared" si="7"/>
        <v/>
      </c>
      <c r="G85" s="59"/>
      <c r="H85" s="59"/>
      <c r="I85" s="59"/>
      <c r="J85" s="77"/>
      <c r="K85" s="75"/>
      <c r="L85" s="75"/>
      <c r="M85" s="77"/>
      <c r="N85" s="77"/>
      <c r="O85" s="44"/>
      <c r="P85" s="44" t="str">
        <f t="shared" si="2"/>
        <v/>
      </c>
      <c r="Q85" s="44" t="str">
        <f t="shared" si="3"/>
        <v/>
      </c>
      <c r="R85" s="44"/>
      <c r="S85" s="44"/>
      <c r="T85" s="44"/>
      <c r="U85" s="44">
        <v>4123</v>
      </c>
      <c r="V85" s="44" t="s">
        <v>850</v>
      </c>
      <c r="W85" s="44"/>
      <c r="X85" s="44" t="str">
        <f t="shared" si="4"/>
        <v>41</v>
      </c>
      <c r="Y85" s="44" t="str">
        <f t="shared" si="5"/>
        <v>412</v>
      </c>
      <c r="Z85" s="44"/>
      <c r="AA85" s="44" t="s">
        <v>1507</v>
      </c>
      <c r="AB85" s="44" t="s">
        <v>1508</v>
      </c>
    </row>
    <row r="86" spans="1:28" ht="15" customHeight="1">
      <c r="A86" s="71"/>
      <c r="B86" s="66" t="str">
        <f t="shared" si="8"/>
        <v/>
      </c>
      <c r="C86" s="71"/>
      <c r="D86" s="66" t="str">
        <f t="shared" si="9"/>
        <v/>
      </c>
      <c r="E86" s="71"/>
      <c r="F86" s="66" t="str">
        <f t="shared" si="7"/>
        <v/>
      </c>
      <c r="G86" s="59"/>
      <c r="H86" s="59"/>
      <c r="I86" s="59"/>
      <c r="J86" s="77"/>
      <c r="K86" s="75"/>
      <c r="L86" s="75"/>
      <c r="M86" s="77"/>
      <c r="N86" s="77"/>
      <c r="O86" s="44"/>
      <c r="P86" s="44" t="str">
        <f t="shared" si="2"/>
        <v/>
      </c>
      <c r="Q86" s="44" t="str">
        <f t="shared" si="3"/>
        <v/>
      </c>
      <c r="R86" s="44"/>
      <c r="S86" s="44"/>
      <c r="T86" s="44"/>
      <c r="U86" s="44">
        <v>4124</v>
      </c>
      <c r="V86" s="44" t="s">
        <v>853</v>
      </c>
      <c r="W86" s="44"/>
      <c r="X86" s="44" t="str">
        <f t="shared" si="4"/>
        <v>41</v>
      </c>
      <c r="Y86" s="44" t="str">
        <f t="shared" si="5"/>
        <v>412</v>
      </c>
      <c r="Z86" s="44"/>
      <c r="AA86" s="44" t="s">
        <v>1509</v>
      </c>
      <c r="AB86" s="44" t="s">
        <v>1510</v>
      </c>
    </row>
    <row r="87" spans="1:28" ht="15" customHeight="1">
      <c r="A87" s="71"/>
      <c r="B87" s="66" t="str">
        <f t="shared" si="8"/>
        <v/>
      </c>
      <c r="C87" s="71"/>
      <c r="D87" s="66" t="str">
        <f t="shared" si="9"/>
        <v/>
      </c>
      <c r="E87" s="71"/>
      <c r="F87" s="66" t="str">
        <f t="shared" si="7"/>
        <v/>
      </c>
      <c r="G87" s="59"/>
      <c r="H87" s="59"/>
      <c r="I87" s="59"/>
      <c r="J87" s="77"/>
      <c r="K87" s="75"/>
      <c r="L87" s="75"/>
      <c r="M87" s="77"/>
      <c r="N87" s="77"/>
      <c r="O87" s="44"/>
      <c r="P87" s="44" t="str">
        <f t="shared" si="2"/>
        <v/>
      </c>
      <c r="Q87" s="44" t="str">
        <f t="shared" si="3"/>
        <v/>
      </c>
      <c r="R87" s="44"/>
      <c r="S87" s="44"/>
      <c r="T87" s="44"/>
      <c r="U87" s="44">
        <v>4126</v>
      </c>
      <c r="V87" s="44" t="s">
        <v>856</v>
      </c>
      <c r="W87" s="44"/>
      <c r="X87" s="44" t="str">
        <f t="shared" si="4"/>
        <v>41</v>
      </c>
      <c r="Y87" s="44" t="str">
        <f t="shared" si="5"/>
        <v>412</v>
      </c>
      <c r="Z87" s="44"/>
      <c r="AA87" s="44" t="s">
        <v>1511</v>
      </c>
      <c r="AB87" s="44" t="s">
        <v>1512</v>
      </c>
    </row>
    <row r="88" spans="1:28" ht="15" customHeight="1">
      <c r="A88" s="71"/>
      <c r="B88" s="66" t="str">
        <f t="shared" si="8"/>
        <v/>
      </c>
      <c r="C88" s="71"/>
      <c r="D88" s="66" t="str">
        <f t="shared" si="9"/>
        <v/>
      </c>
      <c r="E88" s="71"/>
      <c r="F88" s="66" t="str">
        <f t="shared" si="7"/>
        <v/>
      </c>
      <c r="G88" s="59"/>
      <c r="H88" s="59"/>
      <c r="I88" s="59"/>
      <c r="J88" s="77"/>
      <c r="K88" s="75"/>
      <c r="L88" s="75"/>
      <c r="M88" s="77"/>
      <c r="N88" s="77"/>
      <c r="O88" s="44"/>
      <c r="P88" s="44" t="str">
        <f t="shared" si="2"/>
        <v/>
      </c>
      <c r="Q88" s="44" t="str">
        <f t="shared" si="3"/>
        <v/>
      </c>
      <c r="R88" s="44"/>
      <c r="S88" s="44"/>
      <c r="T88" s="44"/>
      <c r="U88" s="44">
        <v>4211</v>
      </c>
      <c r="V88" s="44" t="s">
        <v>859</v>
      </c>
      <c r="W88" s="44"/>
      <c r="X88" s="44" t="str">
        <f t="shared" si="4"/>
        <v>42</v>
      </c>
      <c r="Y88" s="44" t="str">
        <f t="shared" si="5"/>
        <v>421</v>
      </c>
      <c r="Z88" s="44"/>
      <c r="AA88" s="44" t="s">
        <v>1513</v>
      </c>
      <c r="AB88" s="44" t="s">
        <v>1514</v>
      </c>
    </row>
    <row r="89" spans="1:28" ht="15" customHeight="1">
      <c r="A89" s="71"/>
      <c r="B89" s="66" t="str">
        <f t="shared" si="8"/>
        <v/>
      </c>
      <c r="C89" s="71"/>
      <c r="D89" s="66" t="str">
        <f t="shared" si="9"/>
        <v/>
      </c>
      <c r="E89" s="71"/>
      <c r="F89" s="66" t="str">
        <f t="shared" si="7"/>
        <v/>
      </c>
      <c r="G89" s="59"/>
      <c r="H89" s="59"/>
      <c r="I89" s="59"/>
      <c r="J89" s="77"/>
      <c r="K89" s="75"/>
      <c r="L89" s="75"/>
      <c r="M89" s="77"/>
      <c r="N89" s="77"/>
      <c r="O89" s="44"/>
      <c r="P89" s="44" t="str">
        <f t="shared" si="2"/>
        <v/>
      </c>
      <c r="Q89" s="44" t="str">
        <f t="shared" si="3"/>
        <v/>
      </c>
      <c r="R89" s="44"/>
      <c r="S89" s="44"/>
      <c r="T89" s="44"/>
      <c r="U89" s="44">
        <v>4212</v>
      </c>
      <c r="V89" s="44" t="s">
        <v>862</v>
      </c>
      <c r="W89" s="44"/>
      <c r="X89" s="44" t="str">
        <f t="shared" si="4"/>
        <v>42</v>
      </c>
      <c r="Y89" s="44" t="str">
        <f t="shared" si="5"/>
        <v>421</v>
      </c>
      <c r="Z89" s="44"/>
      <c r="AA89" s="44" t="s">
        <v>1515</v>
      </c>
      <c r="AB89" s="44" t="s">
        <v>1516</v>
      </c>
    </row>
    <row r="90" spans="1:28" ht="15" customHeight="1">
      <c r="A90" s="71"/>
      <c r="B90" s="66" t="str">
        <f t="shared" si="8"/>
        <v/>
      </c>
      <c r="C90" s="71"/>
      <c r="D90" s="66" t="str">
        <f t="shared" si="9"/>
        <v/>
      </c>
      <c r="E90" s="71"/>
      <c r="F90" s="66" t="str">
        <f t="shared" si="7"/>
        <v/>
      </c>
      <c r="G90" s="59"/>
      <c r="H90" s="59"/>
      <c r="I90" s="59"/>
      <c r="J90" s="77"/>
      <c r="K90" s="75"/>
      <c r="L90" s="75"/>
      <c r="M90" s="77"/>
      <c r="N90" s="77"/>
      <c r="O90" s="44"/>
      <c r="P90" s="44" t="str">
        <f t="shared" si="2"/>
        <v/>
      </c>
      <c r="Q90" s="44" t="str">
        <f t="shared" si="3"/>
        <v/>
      </c>
      <c r="R90" s="44"/>
      <c r="S90" s="44"/>
      <c r="T90" s="44"/>
      <c r="U90" s="44">
        <v>4213</v>
      </c>
      <c r="V90" s="44" t="s">
        <v>865</v>
      </c>
      <c r="W90" s="44"/>
      <c r="X90" s="44" t="str">
        <f t="shared" si="4"/>
        <v>42</v>
      </c>
      <c r="Y90" s="44" t="str">
        <f t="shared" si="5"/>
        <v>421</v>
      </c>
      <c r="Z90" s="44"/>
      <c r="AA90" s="44" t="s">
        <v>1517</v>
      </c>
      <c r="AB90" s="44" t="s">
        <v>1518</v>
      </c>
    </row>
    <row r="91" spans="1:28" ht="15" customHeight="1">
      <c r="A91" s="71"/>
      <c r="B91" s="66" t="str">
        <f t="shared" si="8"/>
        <v/>
      </c>
      <c r="C91" s="71"/>
      <c r="D91" s="66" t="str">
        <f t="shared" si="9"/>
        <v/>
      </c>
      <c r="E91" s="71"/>
      <c r="F91" s="66" t="str">
        <f t="shared" si="7"/>
        <v/>
      </c>
      <c r="G91" s="59"/>
      <c r="H91" s="59"/>
      <c r="I91" s="59"/>
      <c r="J91" s="77"/>
      <c r="K91" s="75"/>
      <c r="L91" s="75"/>
      <c r="M91" s="77"/>
      <c r="N91" s="77"/>
      <c r="O91" s="44"/>
      <c r="P91" s="44" t="str">
        <f t="shared" si="2"/>
        <v/>
      </c>
      <c r="Q91" s="44" t="str">
        <f t="shared" si="3"/>
        <v/>
      </c>
      <c r="R91" s="44"/>
      <c r="S91" s="44"/>
      <c r="T91" s="44"/>
      <c r="U91" s="44">
        <v>4214</v>
      </c>
      <c r="V91" s="44" t="s">
        <v>868</v>
      </c>
      <c r="W91" s="44"/>
      <c r="X91" s="44" t="str">
        <f t="shared" si="4"/>
        <v>42</v>
      </c>
      <c r="Y91" s="44" t="str">
        <f t="shared" si="5"/>
        <v>421</v>
      </c>
      <c r="Z91" s="44"/>
      <c r="AA91" s="44" t="s">
        <v>1519</v>
      </c>
      <c r="AB91" s="44" t="s">
        <v>1520</v>
      </c>
    </row>
    <row r="92" spans="1:28" ht="15" customHeight="1">
      <c r="A92" s="71"/>
      <c r="B92" s="66" t="str">
        <f t="shared" si="8"/>
        <v/>
      </c>
      <c r="C92" s="71"/>
      <c r="D92" s="66" t="str">
        <f t="shared" si="9"/>
        <v/>
      </c>
      <c r="E92" s="71"/>
      <c r="F92" s="66" t="str">
        <f t="shared" si="7"/>
        <v/>
      </c>
      <c r="G92" s="59"/>
      <c r="H92" s="59"/>
      <c r="I92" s="59"/>
      <c r="J92" s="77"/>
      <c r="K92" s="75"/>
      <c r="L92" s="75"/>
      <c r="M92" s="77"/>
      <c r="N92" s="77"/>
      <c r="O92" s="44"/>
      <c r="P92" s="44" t="str">
        <f t="shared" si="2"/>
        <v/>
      </c>
      <c r="Q92" s="44" t="str">
        <f t="shared" si="3"/>
        <v/>
      </c>
      <c r="R92" s="44"/>
      <c r="S92" s="44"/>
      <c r="T92" s="44"/>
      <c r="U92" s="44">
        <v>4221</v>
      </c>
      <c r="V92" s="44" t="s">
        <v>871</v>
      </c>
      <c r="W92" s="44"/>
      <c r="X92" s="44" t="str">
        <f t="shared" si="4"/>
        <v>42</v>
      </c>
      <c r="Y92" s="44" t="str">
        <f t="shared" si="5"/>
        <v>422</v>
      </c>
      <c r="Z92" s="44"/>
      <c r="AA92" s="44" t="s">
        <v>1521</v>
      </c>
      <c r="AB92" s="44" t="s">
        <v>1522</v>
      </c>
    </row>
    <row r="93" spans="1:28" ht="15" customHeight="1">
      <c r="A93" s="71"/>
      <c r="B93" s="66" t="str">
        <f t="shared" si="8"/>
        <v/>
      </c>
      <c r="C93" s="71"/>
      <c r="D93" s="66" t="str">
        <f t="shared" si="9"/>
        <v/>
      </c>
      <c r="E93" s="71"/>
      <c r="F93" s="66" t="str">
        <f t="shared" si="7"/>
        <v/>
      </c>
      <c r="G93" s="59"/>
      <c r="H93" s="59"/>
      <c r="I93" s="59"/>
      <c r="J93" s="77"/>
      <c r="K93" s="75"/>
      <c r="L93" s="75"/>
      <c r="M93" s="77"/>
      <c r="N93" s="77"/>
      <c r="O93" s="44"/>
      <c r="P93" s="44" t="str">
        <f t="shared" si="2"/>
        <v/>
      </c>
      <c r="Q93" s="44" t="str">
        <f t="shared" si="3"/>
        <v/>
      </c>
      <c r="R93" s="44"/>
      <c r="S93" s="44"/>
      <c r="T93" s="44"/>
      <c r="U93" s="44">
        <v>4222</v>
      </c>
      <c r="V93" s="44" t="s">
        <v>874</v>
      </c>
      <c r="W93" s="44"/>
      <c r="X93" s="44" t="str">
        <f t="shared" si="4"/>
        <v>42</v>
      </c>
      <c r="Y93" s="44" t="str">
        <f t="shared" si="5"/>
        <v>422</v>
      </c>
      <c r="Z93" s="44"/>
      <c r="AA93" s="44" t="s">
        <v>1523</v>
      </c>
      <c r="AB93" s="44" t="s">
        <v>1524</v>
      </c>
    </row>
    <row r="94" spans="1:28" ht="15" customHeight="1">
      <c r="A94" s="71"/>
      <c r="B94" s="66" t="str">
        <f t="shared" si="8"/>
        <v/>
      </c>
      <c r="C94" s="71"/>
      <c r="D94" s="66" t="str">
        <f t="shared" si="9"/>
        <v/>
      </c>
      <c r="E94" s="71"/>
      <c r="F94" s="66" t="str">
        <f t="shared" si="7"/>
        <v/>
      </c>
      <c r="G94" s="59"/>
      <c r="H94" s="59"/>
      <c r="I94" s="59"/>
      <c r="J94" s="77"/>
      <c r="K94" s="75"/>
      <c r="L94" s="75"/>
      <c r="M94" s="77"/>
      <c r="N94" s="77"/>
      <c r="O94" s="44"/>
      <c r="P94" s="44" t="str">
        <f t="shared" si="2"/>
        <v/>
      </c>
      <c r="Q94" s="44" t="str">
        <f t="shared" si="3"/>
        <v/>
      </c>
      <c r="R94" s="44"/>
      <c r="S94" s="44"/>
      <c r="T94" s="44"/>
      <c r="U94" s="44">
        <v>4223</v>
      </c>
      <c r="V94" s="44" t="s">
        <v>877</v>
      </c>
      <c r="W94" s="44"/>
      <c r="X94" s="44" t="str">
        <f t="shared" si="4"/>
        <v>42</v>
      </c>
      <c r="Y94" s="44" t="str">
        <f t="shared" si="5"/>
        <v>422</v>
      </c>
      <c r="Z94" s="44"/>
      <c r="AA94" s="44" t="s">
        <v>1525</v>
      </c>
      <c r="AB94" s="44" t="s">
        <v>1526</v>
      </c>
    </row>
    <row r="95" spans="1:28" ht="15" customHeight="1">
      <c r="A95" s="71"/>
      <c r="B95" s="66" t="str">
        <f t="shared" si="8"/>
        <v/>
      </c>
      <c r="C95" s="71"/>
      <c r="D95" s="66" t="str">
        <f t="shared" si="9"/>
        <v/>
      </c>
      <c r="E95" s="71"/>
      <c r="F95" s="66" t="str">
        <f t="shared" si="7"/>
        <v/>
      </c>
      <c r="G95" s="59"/>
      <c r="H95" s="59"/>
      <c r="I95" s="59"/>
      <c r="J95" s="77"/>
      <c r="K95" s="75"/>
      <c r="L95" s="75"/>
      <c r="M95" s="77"/>
      <c r="N95" s="77"/>
      <c r="O95" s="44"/>
      <c r="P95" s="44" t="str">
        <f t="shared" si="2"/>
        <v/>
      </c>
      <c r="Q95" s="44" t="str">
        <f t="shared" si="3"/>
        <v/>
      </c>
      <c r="R95" s="44"/>
      <c r="S95" s="44"/>
      <c r="T95" s="44"/>
      <c r="U95" s="44">
        <v>4224</v>
      </c>
      <c r="V95" s="44" t="s">
        <v>880</v>
      </c>
      <c r="W95" s="44"/>
      <c r="X95" s="44" t="str">
        <f t="shared" si="4"/>
        <v>42</v>
      </c>
      <c r="Y95" s="44" t="str">
        <f t="shared" si="5"/>
        <v>422</v>
      </c>
      <c r="Z95" s="44"/>
      <c r="AA95" s="44" t="s">
        <v>1527</v>
      </c>
      <c r="AB95" s="44" t="s">
        <v>1528</v>
      </c>
    </row>
    <row r="96" spans="1:28" ht="15" customHeight="1">
      <c r="A96" s="71"/>
      <c r="B96" s="66" t="str">
        <f t="shared" si="8"/>
        <v/>
      </c>
      <c r="C96" s="71"/>
      <c r="D96" s="66" t="str">
        <f t="shared" si="9"/>
        <v/>
      </c>
      <c r="E96" s="71"/>
      <c r="F96" s="66" t="str">
        <f t="shared" si="7"/>
        <v/>
      </c>
      <c r="G96" s="59"/>
      <c r="H96" s="59"/>
      <c r="I96" s="59"/>
      <c r="J96" s="77"/>
      <c r="K96" s="75"/>
      <c r="L96" s="75"/>
      <c r="M96" s="77"/>
      <c r="N96" s="77"/>
      <c r="O96" s="44"/>
      <c r="P96" s="44" t="str">
        <f t="shared" si="2"/>
        <v/>
      </c>
      <c r="Q96" s="44" t="str">
        <f t="shared" si="3"/>
        <v/>
      </c>
      <c r="R96" s="44"/>
      <c r="S96" s="44"/>
      <c r="T96" s="44"/>
      <c r="U96" s="44">
        <v>4225</v>
      </c>
      <c r="V96" s="44" t="s">
        <v>883</v>
      </c>
      <c r="W96" s="44"/>
      <c r="X96" s="44" t="str">
        <f t="shared" si="4"/>
        <v>42</v>
      </c>
      <c r="Y96" s="44" t="str">
        <f t="shared" si="5"/>
        <v>422</v>
      </c>
      <c r="Z96" s="44"/>
      <c r="AA96" s="44" t="s">
        <v>1529</v>
      </c>
      <c r="AB96" s="44" t="s">
        <v>1530</v>
      </c>
    </row>
    <row r="97" spans="1:28" ht="15" customHeight="1">
      <c r="A97" s="71"/>
      <c r="B97" s="66" t="str">
        <f t="shared" si="8"/>
        <v/>
      </c>
      <c r="C97" s="71"/>
      <c r="D97" s="66" t="str">
        <f t="shared" si="9"/>
        <v/>
      </c>
      <c r="E97" s="71"/>
      <c r="F97" s="66" t="str">
        <f t="shared" si="7"/>
        <v/>
      </c>
      <c r="G97" s="59"/>
      <c r="H97" s="59"/>
      <c r="I97" s="59"/>
      <c r="J97" s="77"/>
      <c r="K97" s="75"/>
      <c r="L97" s="75"/>
      <c r="M97" s="77"/>
      <c r="N97" s="77"/>
      <c r="O97" s="44"/>
      <c r="P97" s="44" t="str">
        <f t="shared" si="2"/>
        <v/>
      </c>
      <c r="Q97" s="44" t="str">
        <f t="shared" si="3"/>
        <v/>
      </c>
      <c r="R97" s="44"/>
      <c r="S97" s="44"/>
      <c r="T97" s="44"/>
      <c r="U97" s="44">
        <v>4226</v>
      </c>
      <c r="V97" s="44" t="s">
        <v>886</v>
      </c>
      <c r="W97" s="44"/>
      <c r="X97" s="44" t="str">
        <f t="shared" si="4"/>
        <v>42</v>
      </c>
      <c r="Y97" s="44" t="str">
        <f t="shared" si="5"/>
        <v>422</v>
      </c>
      <c r="Z97" s="44"/>
      <c r="AA97" s="44" t="s">
        <v>1531</v>
      </c>
      <c r="AB97" s="44" t="s">
        <v>1532</v>
      </c>
    </row>
    <row r="98" spans="1:28" ht="15" customHeight="1">
      <c r="A98" s="71"/>
      <c r="B98" s="66" t="str">
        <f t="shared" si="8"/>
        <v/>
      </c>
      <c r="C98" s="71"/>
      <c r="D98" s="66" t="str">
        <f t="shared" si="9"/>
        <v/>
      </c>
      <c r="E98" s="71"/>
      <c r="F98" s="66" t="str">
        <f t="shared" si="7"/>
        <v/>
      </c>
      <c r="G98" s="59"/>
      <c r="H98" s="59"/>
      <c r="I98" s="59"/>
      <c r="J98" s="77"/>
      <c r="K98" s="75"/>
      <c r="L98" s="75"/>
      <c r="M98" s="77"/>
      <c r="N98" s="77"/>
      <c r="O98" s="44"/>
      <c r="P98" s="44" t="str">
        <f t="shared" si="2"/>
        <v/>
      </c>
      <c r="Q98" s="44" t="str">
        <f t="shared" si="3"/>
        <v/>
      </c>
      <c r="R98" s="44"/>
      <c r="S98" s="44"/>
      <c r="T98" s="44"/>
      <c r="U98" s="44">
        <v>4227</v>
      </c>
      <c r="V98" s="44" t="s">
        <v>889</v>
      </c>
      <c r="W98" s="44"/>
      <c r="X98" s="44" t="str">
        <f t="shared" si="4"/>
        <v>42</v>
      </c>
      <c r="Y98" s="44" t="str">
        <f t="shared" si="5"/>
        <v>422</v>
      </c>
      <c r="Z98" s="44"/>
      <c r="AA98" s="44" t="s">
        <v>1533</v>
      </c>
      <c r="AB98" s="44" t="s">
        <v>1534</v>
      </c>
    </row>
    <row r="99" spans="1:28" ht="15" customHeight="1">
      <c r="A99" s="71"/>
      <c r="B99" s="66" t="str">
        <f t="shared" si="8"/>
        <v/>
      </c>
      <c r="C99" s="71"/>
      <c r="D99" s="66" t="str">
        <f t="shared" si="9"/>
        <v/>
      </c>
      <c r="E99" s="71"/>
      <c r="F99" s="66" t="str">
        <f t="shared" si="7"/>
        <v/>
      </c>
      <c r="G99" s="59"/>
      <c r="H99" s="59"/>
      <c r="I99" s="59"/>
      <c r="J99" s="77"/>
      <c r="K99" s="75"/>
      <c r="L99" s="75"/>
      <c r="M99" s="77"/>
      <c r="N99" s="77"/>
      <c r="O99" s="44"/>
      <c r="P99" s="44" t="str">
        <f t="shared" si="2"/>
        <v/>
      </c>
      <c r="Q99" s="44" t="str">
        <f t="shared" si="3"/>
        <v/>
      </c>
      <c r="R99" s="44"/>
      <c r="S99" s="44"/>
      <c r="T99" s="44"/>
      <c r="U99" s="44">
        <v>4231</v>
      </c>
      <c r="V99" s="44" t="s">
        <v>892</v>
      </c>
      <c r="W99" s="44"/>
      <c r="X99" s="44" t="str">
        <f t="shared" si="4"/>
        <v>42</v>
      </c>
      <c r="Y99" s="44" t="str">
        <f t="shared" si="5"/>
        <v>423</v>
      </c>
      <c r="Z99" s="44"/>
      <c r="AA99" s="44" t="s">
        <v>1535</v>
      </c>
      <c r="AB99" s="44" t="s">
        <v>1536</v>
      </c>
    </row>
    <row r="100" spans="1:28" ht="15" customHeight="1">
      <c r="A100" s="71"/>
      <c r="B100" s="66" t="str">
        <f t="shared" si="8"/>
        <v/>
      </c>
      <c r="C100" s="71"/>
      <c r="D100" s="66" t="str">
        <f t="shared" si="9"/>
        <v/>
      </c>
      <c r="E100" s="71"/>
      <c r="F100" s="66" t="str">
        <f t="shared" si="7"/>
        <v/>
      </c>
      <c r="G100" s="59"/>
      <c r="H100" s="59"/>
      <c r="I100" s="59"/>
      <c r="J100" s="77"/>
      <c r="K100" s="75"/>
      <c r="L100" s="75"/>
      <c r="M100" s="77"/>
      <c r="N100" s="77"/>
      <c r="O100" s="44"/>
      <c r="P100" s="44" t="str">
        <f t="shared" si="2"/>
        <v/>
      </c>
      <c r="Q100" s="44" t="str">
        <f t="shared" si="3"/>
        <v/>
      </c>
      <c r="R100" s="44"/>
      <c r="S100" s="44"/>
      <c r="T100" s="44"/>
      <c r="U100" s="44">
        <v>4233</v>
      </c>
      <c r="V100" s="44" t="s">
        <v>895</v>
      </c>
      <c r="W100" s="44"/>
      <c r="X100" s="44" t="str">
        <f t="shared" si="4"/>
        <v>42</v>
      </c>
      <c r="Y100" s="44" t="str">
        <f t="shared" si="5"/>
        <v>423</v>
      </c>
      <c r="Z100" s="44"/>
      <c r="AA100" s="44" t="s">
        <v>1537</v>
      </c>
      <c r="AB100" s="44" t="s">
        <v>1538</v>
      </c>
    </row>
    <row r="101" spans="1:28" ht="15" customHeight="1">
      <c r="A101" s="71"/>
      <c r="B101" s="66" t="str">
        <f t="shared" si="8"/>
        <v/>
      </c>
      <c r="C101" s="71"/>
      <c r="D101" s="66" t="str">
        <f t="shared" si="9"/>
        <v/>
      </c>
      <c r="E101" s="71"/>
      <c r="F101" s="66" t="str">
        <f t="shared" si="7"/>
        <v/>
      </c>
      <c r="G101" s="59"/>
      <c r="H101" s="59"/>
      <c r="I101" s="59"/>
      <c r="J101" s="77"/>
      <c r="K101" s="75"/>
      <c r="L101" s="75"/>
      <c r="M101" s="77"/>
      <c r="N101" s="77"/>
      <c r="O101" s="44"/>
      <c r="P101" s="44" t="str">
        <f t="shared" si="2"/>
        <v/>
      </c>
      <c r="Q101" s="44" t="str">
        <f t="shared" si="3"/>
        <v/>
      </c>
      <c r="R101" s="44"/>
      <c r="S101" s="44"/>
      <c r="T101" s="44"/>
      <c r="U101" s="44">
        <v>4241</v>
      </c>
      <c r="V101" s="44" t="s">
        <v>898</v>
      </c>
      <c r="W101" s="44"/>
      <c r="X101" s="44" t="str">
        <f t="shared" si="4"/>
        <v>42</v>
      </c>
      <c r="Y101" s="44" t="str">
        <f t="shared" si="5"/>
        <v>424</v>
      </c>
      <c r="Z101" s="44"/>
      <c r="AA101" s="44" t="s">
        <v>1539</v>
      </c>
      <c r="AB101" s="44" t="s">
        <v>1540</v>
      </c>
    </row>
    <row r="102" spans="1:28" ht="15" customHeight="1">
      <c r="A102" s="71"/>
      <c r="B102" s="66" t="str">
        <f t="shared" si="8"/>
        <v/>
      </c>
      <c r="C102" s="71"/>
      <c r="D102" s="66" t="str">
        <f t="shared" si="9"/>
        <v/>
      </c>
      <c r="E102" s="71"/>
      <c r="F102" s="66" t="str">
        <f t="shared" si="7"/>
        <v/>
      </c>
      <c r="G102" s="59"/>
      <c r="H102" s="59"/>
      <c r="I102" s="59"/>
      <c r="J102" s="77"/>
      <c r="K102" s="75"/>
      <c r="L102" s="75"/>
      <c r="M102" s="77"/>
      <c r="N102" s="77"/>
      <c r="O102" s="44"/>
      <c r="P102" s="44" t="str">
        <f t="shared" si="2"/>
        <v/>
      </c>
      <c r="Q102" s="44" t="str">
        <f t="shared" si="3"/>
        <v/>
      </c>
      <c r="R102" s="44"/>
      <c r="S102" s="44"/>
      <c r="T102" s="44"/>
      <c r="U102" s="44">
        <v>4242</v>
      </c>
      <c r="V102" s="44" t="s">
        <v>901</v>
      </c>
      <c r="W102" s="44"/>
      <c r="X102" s="44" t="str">
        <f t="shared" si="4"/>
        <v>42</v>
      </c>
      <c r="Y102" s="44" t="str">
        <f t="shared" si="5"/>
        <v>424</v>
      </c>
      <c r="Z102" s="44"/>
      <c r="AA102" s="44" t="s">
        <v>1541</v>
      </c>
      <c r="AB102" s="44" t="s">
        <v>1542</v>
      </c>
    </row>
    <row r="103" spans="1:28" ht="15" customHeight="1">
      <c r="A103" s="71"/>
      <c r="B103" s="66" t="str">
        <f t="shared" si="8"/>
        <v/>
      </c>
      <c r="C103" s="71"/>
      <c r="D103" s="66" t="str">
        <f t="shared" si="9"/>
        <v/>
      </c>
      <c r="E103" s="71"/>
      <c r="F103" s="66" t="str">
        <f t="shared" si="7"/>
        <v/>
      </c>
      <c r="G103" s="59"/>
      <c r="H103" s="59"/>
      <c r="I103" s="59"/>
      <c r="J103" s="77"/>
      <c r="K103" s="75"/>
      <c r="L103" s="75"/>
      <c r="M103" s="77"/>
      <c r="N103" s="77"/>
      <c r="O103" s="44"/>
      <c r="P103" s="44" t="str">
        <f t="shared" si="2"/>
        <v/>
      </c>
      <c r="Q103" s="44" t="str">
        <f t="shared" si="3"/>
        <v/>
      </c>
      <c r="R103" s="44"/>
      <c r="S103" s="44"/>
      <c r="T103" s="44"/>
      <c r="U103" s="44">
        <v>4244</v>
      </c>
      <c r="V103" s="44" t="s">
        <v>904</v>
      </c>
      <c r="W103" s="44"/>
      <c r="X103" s="44" t="str">
        <f t="shared" si="4"/>
        <v>42</v>
      </c>
      <c r="Y103" s="44" t="str">
        <f t="shared" si="5"/>
        <v>424</v>
      </c>
      <c r="Z103" s="44"/>
      <c r="AA103" s="44" t="s">
        <v>1543</v>
      </c>
      <c r="AB103" s="44" t="s">
        <v>1544</v>
      </c>
    </row>
    <row r="104" spans="1:28" ht="15" customHeight="1">
      <c r="A104" s="71"/>
      <c r="B104" s="66" t="str">
        <f t="shared" si="8"/>
        <v/>
      </c>
      <c r="C104" s="71"/>
      <c r="D104" s="66" t="str">
        <f t="shared" si="9"/>
        <v/>
      </c>
      <c r="E104" s="71"/>
      <c r="F104" s="66" t="str">
        <f t="shared" si="7"/>
        <v/>
      </c>
      <c r="G104" s="59"/>
      <c r="H104" s="59"/>
      <c r="I104" s="59"/>
      <c r="J104" s="77"/>
      <c r="K104" s="75"/>
      <c r="L104" s="75"/>
      <c r="M104" s="77"/>
      <c r="N104" s="77"/>
      <c r="O104" s="44"/>
      <c r="P104" s="44" t="str">
        <f t="shared" si="2"/>
        <v/>
      </c>
      <c r="Q104" s="44" t="str">
        <f t="shared" si="3"/>
        <v/>
      </c>
      <c r="R104" s="44"/>
      <c r="S104" s="44"/>
      <c r="T104" s="44"/>
      <c r="U104" s="44">
        <v>4251</v>
      </c>
      <c r="V104" s="44" t="s">
        <v>907</v>
      </c>
      <c r="W104" s="44"/>
      <c r="X104" s="44" t="str">
        <f t="shared" si="4"/>
        <v>42</v>
      </c>
      <c r="Y104" s="44" t="str">
        <f t="shared" si="5"/>
        <v>425</v>
      </c>
      <c r="Z104" s="44"/>
      <c r="AA104" s="44" t="s">
        <v>1545</v>
      </c>
      <c r="AB104" s="44" t="s">
        <v>1546</v>
      </c>
    </row>
    <row r="105" spans="1:28" ht="15" customHeight="1">
      <c r="A105" s="71"/>
      <c r="B105" s="66" t="str">
        <f t="shared" si="8"/>
        <v/>
      </c>
      <c r="C105" s="71"/>
      <c r="D105" s="66" t="str">
        <f t="shared" si="9"/>
        <v/>
      </c>
      <c r="E105" s="71"/>
      <c r="F105" s="66" t="str">
        <f t="shared" si="7"/>
        <v/>
      </c>
      <c r="G105" s="59"/>
      <c r="H105" s="59"/>
      <c r="I105" s="59"/>
      <c r="J105" s="77"/>
      <c r="K105" s="75"/>
      <c r="L105" s="75"/>
      <c r="M105" s="77"/>
      <c r="N105" s="77"/>
      <c r="O105" s="44"/>
      <c r="P105" s="44" t="str">
        <f t="shared" si="2"/>
        <v/>
      </c>
      <c r="Q105" s="44" t="str">
        <f t="shared" si="3"/>
        <v/>
      </c>
      <c r="R105" s="44"/>
      <c r="S105" s="44"/>
      <c r="T105" s="44"/>
      <c r="U105" s="44">
        <v>4252</v>
      </c>
      <c r="V105" s="44" t="s">
        <v>910</v>
      </c>
      <c r="W105" s="44"/>
      <c r="X105" s="44" t="str">
        <f t="shared" si="4"/>
        <v>42</v>
      </c>
      <c r="Y105" s="44" t="str">
        <f t="shared" si="5"/>
        <v>425</v>
      </c>
      <c r="Z105" s="44"/>
      <c r="AA105" s="44" t="s">
        <v>1547</v>
      </c>
      <c r="AB105" s="44" t="s">
        <v>1548</v>
      </c>
    </row>
    <row r="106" spans="1:28" ht="15" customHeight="1">
      <c r="A106" s="71"/>
      <c r="B106" s="66" t="str">
        <f t="shared" si="8"/>
        <v/>
      </c>
      <c r="C106" s="71"/>
      <c r="D106" s="66" t="str">
        <f t="shared" si="9"/>
        <v/>
      </c>
      <c r="E106" s="71"/>
      <c r="F106" s="66" t="str">
        <f t="shared" si="7"/>
        <v/>
      </c>
      <c r="G106" s="59"/>
      <c r="H106" s="59"/>
      <c r="I106" s="59"/>
      <c r="J106" s="77"/>
      <c r="K106" s="75"/>
      <c r="L106" s="75"/>
      <c r="M106" s="77"/>
      <c r="N106" s="77"/>
      <c r="O106" s="44"/>
      <c r="P106" s="44" t="str">
        <f t="shared" si="2"/>
        <v/>
      </c>
      <c r="Q106" s="44" t="str">
        <f t="shared" si="3"/>
        <v/>
      </c>
      <c r="R106" s="44"/>
      <c r="S106" s="44"/>
      <c r="T106" s="44"/>
      <c r="U106" s="44">
        <v>4262</v>
      </c>
      <c r="V106" s="44" t="s">
        <v>913</v>
      </c>
      <c r="W106" s="44"/>
      <c r="X106" s="44" t="str">
        <f t="shared" si="4"/>
        <v>42</v>
      </c>
      <c r="Y106" s="44" t="str">
        <f t="shared" si="5"/>
        <v>426</v>
      </c>
      <c r="Z106" s="44"/>
      <c r="AA106" s="44" t="s">
        <v>1549</v>
      </c>
      <c r="AB106" s="44" t="s">
        <v>1550</v>
      </c>
    </row>
    <row r="107" spans="1:28" ht="15" customHeight="1">
      <c r="A107" s="71"/>
      <c r="B107" s="66" t="str">
        <f t="shared" si="8"/>
        <v/>
      </c>
      <c r="C107" s="71"/>
      <c r="D107" s="66" t="str">
        <f t="shared" si="9"/>
        <v/>
      </c>
      <c r="E107" s="71"/>
      <c r="F107" s="66" t="str">
        <f t="shared" si="7"/>
        <v/>
      </c>
      <c r="G107" s="59"/>
      <c r="H107" s="59"/>
      <c r="I107" s="59"/>
      <c r="J107" s="77"/>
      <c r="K107" s="75"/>
      <c r="L107" s="75"/>
      <c r="M107" s="77"/>
      <c r="N107" s="77"/>
      <c r="O107" s="44"/>
      <c r="P107" s="44" t="str">
        <f t="shared" si="2"/>
        <v/>
      </c>
      <c r="Q107" s="44" t="str">
        <f t="shared" si="3"/>
        <v/>
      </c>
      <c r="R107" s="44"/>
      <c r="S107" s="44"/>
      <c r="T107" s="44"/>
      <c r="U107" s="44">
        <v>4263</v>
      </c>
      <c r="V107" s="44" t="s">
        <v>917</v>
      </c>
      <c r="W107" s="44"/>
      <c r="X107" s="44" t="str">
        <f t="shared" si="4"/>
        <v>42</v>
      </c>
      <c r="Y107" s="44" t="str">
        <f t="shared" si="5"/>
        <v>426</v>
      </c>
      <c r="Z107" s="44"/>
      <c r="AA107" s="44" t="s">
        <v>1551</v>
      </c>
      <c r="AB107" s="44" t="s">
        <v>1552</v>
      </c>
    </row>
    <row r="108" spans="1:28" ht="15" customHeight="1">
      <c r="A108" s="71"/>
      <c r="B108" s="66" t="str">
        <f t="shared" si="8"/>
        <v/>
      </c>
      <c r="C108" s="71"/>
      <c r="D108" s="66" t="str">
        <f t="shared" si="9"/>
        <v/>
      </c>
      <c r="E108" s="71"/>
      <c r="F108" s="66" t="str">
        <f t="shared" si="7"/>
        <v/>
      </c>
      <c r="G108" s="59"/>
      <c r="H108" s="59"/>
      <c r="I108" s="59"/>
      <c r="J108" s="77"/>
      <c r="K108" s="75"/>
      <c r="L108" s="75"/>
      <c r="M108" s="77"/>
      <c r="N108" s="77"/>
      <c r="O108" s="44"/>
      <c r="P108" s="44" t="str">
        <f t="shared" si="2"/>
        <v/>
      </c>
      <c r="Q108" s="44" t="str">
        <f t="shared" si="3"/>
        <v/>
      </c>
      <c r="R108" s="44"/>
      <c r="S108" s="44"/>
      <c r="T108" s="44"/>
      <c r="U108" s="44">
        <v>4264</v>
      </c>
      <c r="V108" s="44" t="s">
        <v>920</v>
      </c>
      <c r="W108" s="44"/>
      <c r="X108" s="44" t="str">
        <f t="shared" si="4"/>
        <v>42</v>
      </c>
      <c r="Y108" s="44" t="str">
        <f t="shared" si="5"/>
        <v>426</v>
      </c>
      <c r="Z108" s="44"/>
      <c r="AA108" s="44" t="s">
        <v>1553</v>
      </c>
      <c r="AB108" s="44" t="s">
        <v>1554</v>
      </c>
    </row>
    <row r="109" spans="1:28" ht="15" customHeight="1">
      <c r="A109" s="71"/>
      <c r="B109" s="66" t="str">
        <f t="shared" si="8"/>
        <v/>
      </c>
      <c r="C109" s="71"/>
      <c r="D109" s="66" t="str">
        <f t="shared" si="9"/>
        <v/>
      </c>
      <c r="E109" s="71"/>
      <c r="F109" s="66" t="str">
        <f t="shared" si="7"/>
        <v/>
      </c>
      <c r="G109" s="59"/>
      <c r="H109" s="59"/>
      <c r="I109" s="59"/>
      <c r="J109" s="77"/>
      <c r="K109" s="75"/>
      <c r="L109" s="75"/>
      <c r="M109" s="77"/>
      <c r="N109" s="77"/>
      <c r="O109" s="44"/>
      <c r="P109" s="44" t="str">
        <f t="shared" si="2"/>
        <v/>
      </c>
      <c r="Q109" s="44" t="str">
        <f t="shared" si="3"/>
        <v/>
      </c>
      <c r="R109" s="44"/>
      <c r="S109" s="44"/>
      <c r="T109" s="44"/>
      <c r="U109" s="44">
        <v>4312</v>
      </c>
      <c r="V109" s="44" t="s">
        <v>923</v>
      </c>
      <c r="W109" s="44"/>
      <c r="X109" s="44" t="str">
        <f t="shared" si="4"/>
        <v>43</v>
      </c>
      <c r="Y109" s="44" t="str">
        <f t="shared" si="5"/>
        <v>431</v>
      </c>
      <c r="Z109" s="44"/>
      <c r="AA109" s="44" t="s">
        <v>1555</v>
      </c>
      <c r="AB109" s="44" t="s">
        <v>1556</v>
      </c>
    </row>
    <row r="110" spans="1:28" ht="15" customHeight="1">
      <c r="A110" s="71"/>
      <c r="B110" s="66" t="str">
        <f t="shared" si="8"/>
        <v/>
      </c>
      <c r="C110" s="71"/>
      <c r="D110" s="66" t="str">
        <f t="shared" si="9"/>
        <v/>
      </c>
      <c r="E110" s="71"/>
      <c r="F110" s="66" t="str">
        <f t="shared" si="7"/>
        <v/>
      </c>
      <c r="G110" s="59"/>
      <c r="H110" s="59"/>
      <c r="I110" s="59"/>
      <c r="J110" s="77"/>
      <c r="K110" s="75"/>
      <c r="L110" s="75"/>
      <c r="M110" s="77"/>
      <c r="N110" s="77"/>
      <c r="O110" s="44"/>
      <c r="P110" s="44" t="str">
        <f t="shared" si="2"/>
        <v/>
      </c>
      <c r="Q110" s="44" t="str">
        <f t="shared" si="3"/>
        <v/>
      </c>
      <c r="R110" s="44"/>
      <c r="S110" s="44"/>
      <c r="T110" s="44"/>
      <c r="U110" s="44">
        <v>4411</v>
      </c>
      <c r="V110" s="44" t="s">
        <v>926</v>
      </c>
      <c r="W110" s="44"/>
      <c r="X110" s="44" t="str">
        <f t="shared" si="4"/>
        <v>44</v>
      </c>
      <c r="Y110" s="44" t="str">
        <f t="shared" si="5"/>
        <v>441</v>
      </c>
      <c r="Z110" s="44"/>
      <c r="AA110" s="44" t="s">
        <v>1557</v>
      </c>
      <c r="AB110" s="44" t="s">
        <v>1558</v>
      </c>
    </row>
    <row r="111" spans="1:28" ht="15" customHeight="1">
      <c r="A111" s="71"/>
      <c r="B111" s="66" t="str">
        <f t="shared" si="8"/>
        <v/>
      </c>
      <c r="C111" s="71"/>
      <c r="D111" s="66" t="str">
        <f t="shared" si="9"/>
        <v/>
      </c>
      <c r="E111" s="71"/>
      <c r="F111" s="66" t="str">
        <f t="shared" si="7"/>
        <v/>
      </c>
      <c r="G111" s="59"/>
      <c r="H111" s="59"/>
      <c r="I111" s="59"/>
      <c r="J111" s="77"/>
      <c r="K111" s="75"/>
      <c r="L111" s="75"/>
      <c r="M111" s="77"/>
      <c r="N111" s="77"/>
      <c r="O111" s="44"/>
      <c r="P111" s="44" t="str">
        <f t="shared" si="2"/>
        <v/>
      </c>
      <c r="Q111" s="44" t="str">
        <f t="shared" si="3"/>
        <v/>
      </c>
      <c r="R111" s="44"/>
      <c r="S111" s="44"/>
      <c r="T111" s="44"/>
      <c r="U111" s="44">
        <v>4511</v>
      </c>
      <c r="V111" s="44" t="s">
        <v>930</v>
      </c>
      <c r="W111" s="44"/>
      <c r="X111" s="44" t="str">
        <f t="shared" si="4"/>
        <v>45</v>
      </c>
      <c r="Y111" s="44" t="str">
        <f t="shared" si="5"/>
        <v>451</v>
      </c>
      <c r="Z111" s="44"/>
      <c r="AA111" s="44" t="s">
        <v>1559</v>
      </c>
      <c r="AB111" s="44" t="s">
        <v>1560</v>
      </c>
    </row>
    <row r="112" spans="1:28" ht="15" customHeight="1">
      <c r="A112" s="71"/>
      <c r="B112" s="66" t="str">
        <f t="shared" si="8"/>
        <v/>
      </c>
      <c r="C112" s="71"/>
      <c r="D112" s="66" t="str">
        <f t="shared" si="9"/>
        <v/>
      </c>
      <c r="E112" s="71"/>
      <c r="F112" s="66" t="str">
        <f t="shared" si="7"/>
        <v/>
      </c>
      <c r="G112" s="59"/>
      <c r="H112" s="59"/>
      <c r="I112" s="59"/>
      <c r="J112" s="77"/>
      <c r="K112" s="75"/>
      <c r="L112" s="75"/>
      <c r="M112" s="77"/>
      <c r="N112" s="77"/>
      <c r="O112" s="44"/>
      <c r="P112" s="44" t="str">
        <f t="shared" si="2"/>
        <v/>
      </c>
      <c r="Q112" s="44" t="str">
        <f t="shared" si="3"/>
        <v/>
      </c>
      <c r="R112" s="44"/>
      <c r="S112" s="44"/>
      <c r="T112" s="44"/>
      <c r="U112" s="44">
        <v>4521</v>
      </c>
      <c r="V112" s="44" t="s">
        <v>933</v>
      </c>
      <c r="W112" s="44"/>
      <c r="X112" s="44" t="str">
        <f t="shared" si="4"/>
        <v>45</v>
      </c>
      <c r="Y112" s="44" t="str">
        <f t="shared" si="5"/>
        <v>452</v>
      </c>
      <c r="Z112" s="44"/>
      <c r="AA112" s="44" t="s">
        <v>1561</v>
      </c>
      <c r="AB112" s="44" t="s">
        <v>1562</v>
      </c>
    </row>
    <row r="113" spans="1:28" ht="15" customHeight="1">
      <c r="A113" s="71"/>
      <c r="B113" s="66" t="str">
        <f t="shared" si="8"/>
        <v/>
      </c>
      <c r="C113" s="71"/>
      <c r="D113" s="66" t="str">
        <f t="shared" si="9"/>
        <v/>
      </c>
      <c r="E113" s="71"/>
      <c r="F113" s="66" t="str">
        <f t="shared" si="7"/>
        <v/>
      </c>
      <c r="G113" s="59"/>
      <c r="H113" s="59"/>
      <c r="I113" s="59"/>
      <c r="J113" s="77"/>
      <c r="K113" s="75"/>
      <c r="L113" s="75"/>
      <c r="M113" s="77"/>
      <c r="N113" s="77"/>
      <c r="O113" s="44"/>
      <c r="P113" s="44" t="str">
        <f t="shared" si="2"/>
        <v/>
      </c>
      <c r="Q113" s="44" t="str">
        <f t="shared" si="3"/>
        <v/>
      </c>
      <c r="R113" s="44"/>
      <c r="S113" s="44"/>
      <c r="T113" s="44"/>
      <c r="U113" s="44">
        <v>4531</v>
      </c>
      <c r="V113" s="44" t="s">
        <v>936</v>
      </c>
      <c r="W113" s="44"/>
      <c r="X113" s="44" t="str">
        <f t="shared" si="4"/>
        <v>45</v>
      </c>
      <c r="Y113" s="44" t="str">
        <f t="shared" si="5"/>
        <v>453</v>
      </c>
      <c r="Z113" s="44"/>
      <c r="AA113" s="44" t="s">
        <v>1563</v>
      </c>
      <c r="AB113" s="44" t="s">
        <v>1564</v>
      </c>
    </row>
    <row r="114" spans="1:28" ht="15" customHeight="1">
      <c r="A114" s="71"/>
      <c r="B114" s="66" t="str">
        <f t="shared" si="8"/>
        <v/>
      </c>
      <c r="C114" s="71"/>
      <c r="D114" s="66" t="str">
        <f t="shared" si="9"/>
        <v/>
      </c>
      <c r="E114" s="71"/>
      <c r="F114" s="66" t="str">
        <f t="shared" si="7"/>
        <v/>
      </c>
      <c r="G114" s="59"/>
      <c r="H114" s="59"/>
      <c r="I114" s="59"/>
      <c r="J114" s="77"/>
      <c r="K114" s="75"/>
      <c r="L114" s="75"/>
      <c r="M114" s="77"/>
      <c r="N114" s="77"/>
      <c r="O114" s="44"/>
      <c r="P114" s="44" t="str">
        <f t="shared" si="2"/>
        <v/>
      </c>
      <c r="Q114" s="44" t="str">
        <f t="shared" si="3"/>
        <v/>
      </c>
      <c r="R114" s="44"/>
      <c r="S114" s="44"/>
      <c r="T114" s="44"/>
      <c r="U114" s="44">
        <v>4541</v>
      </c>
      <c r="V114" s="44" t="s">
        <v>939</v>
      </c>
      <c r="W114" s="44"/>
      <c r="X114" s="44" t="str">
        <f t="shared" si="4"/>
        <v>45</v>
      </c>
      <c r="Y114" s="44" t="str">
        <f t="shared" si="5"/>
        <v>454</v>
      </c>
      <c r="Z114" s="44"/>
      <c r="AA114" s="44" t="s">
        <v>1565</v>
      </c>
      <c r="AB114" s="44" t="s">
        <v>1566</v>
      </c>
    </row>
    <row r="115" spans="1:28" ht="15" customHeight="1">
      <c r="A115" s="71"/>
      <c r="B115" s="66" t="str">
        <f t="shared" si="8"/>
        <v/>
      </c>
      <c r="C115" s="71"/>
      <c r="D115" s="66" t="str">
        <f t="shared" si="9"/>
        <v/>
      </c>
      <c r="E115" s="71"/>
      <c r="F115" s="66" t="str">
        <f t="shared" si="7"/>
        <v/>
      </c>
      <c r="G115" s="59"/>
      <c r="H115" s="59"/>
      <c r="I115" s="59"/>
      <c r="J115" s="77"/>
      <c r="K115" s="75"/>
      <c r="L115" s="75"/>
      <c r="M115" s="77"/>
      <c r="N115" s="77"/>
      <c r="O115" s="44"/>
      <c r="P115" s="44" t="str">
        <f t="shared" si="2"/>
        <v/>
      </c>
      <c r="Q115" s="44" t="str">
        <f t="shared" si="3"/>
        <v/>
      </c>
      <c r="R115" s="44"/>
      <c r="S115" s="44"/>
      <c r="T115" s="44"/>
      <c r="U115" s="44">
        <v>5121</v>
      </c>
      <c r="V115" s="44" t="s">
        <v>942</v>
      </c>
      <c r="W115" s="44"/>
      <c r="X115" s="44" t="str">
        <f t="shared" si="4"/>
        <v>51</v>
      </c>
      <c r="Y115" s="44" t="str">
        <f t="shared" si="5"/>
        <v>512</v>
      </c>
      <c r="Z115" s="44"/>
      <c r="AA115" s="44" t="s">
        <v>1567</v>
      </c>
      <c r="AB115" s="44" t="s">
        <v>1568</v>
      </c>
    </row>
    <row r="116" spans="1:28" ht="15" customHeight="1">
      <c r="A116" s="71"/>
      <c r="B116" s="66" t="str">
        <f t="shared" si="8"/>
        <v/>
      </c>
      <c r="C116" s="71"/>
      <c r="D116" s="66" t="str">
        <f t="shared" si="9"/>
        <v/>
      </c>
      <c r="E116" s="71"/>
      <c r="F116" s="66" t="str">
        <f t="shared" si="7"/>
        <v/>
      </c>
      <c r="G116" s="59"/>
      <c r="H116" s="59"/>
      <c r="I116" s="59"/>
      <c r="J116" s="77"/>
      <c r="K116" s="75"/>
      <c r="L116" s="75"/>
      <c r="M116" s="77"/>
      <c r="N116" s="77"/>
      <c r="O116" s="44"/>
      <c r="P116" s="44" t="str">
        <f t="shared" si="2"/>
        <v/>
      </c>
      <c r="Q116" s="44" t="str">
        <f t="shared" si="3"/>
        <v/>
      </c>
      <c r="R116" s="44"/>
      <c r="S116" s="44"/>
      <c r="T116" s="44"/>
      <c r="U116" s="44">
        <v>5443</v>
      </c>
      <c r="V116" s="44" t="s">
        <v>945</v>
      </c>
      <c r="W116" s="44"/>
      <c r="X116" s="44" t="str">
        <f t="shared" si="4"/>
        <v>54</v>
      </c>
      <c r="Y116" s="44" t="str">
        <f t="shared" si="5"/>
        <v>544</v>
      </c>
      <c r="Z116" s="44"/>
      <c r="AA116" s="44" t="s">
        <v>1569</v>
      </c>
      <c r="AB116" s="44" t="s">
        <v>1570</v>
      </c>
    </row>
    <row r="117" spans="1:28" ht="15" customHeight="1">
      <c r="A117" s="71"/>
      <c r="B117" s="66" t="str">
        <f t="shared" si="8"/>
        <v/>
      </c>
      <c r="C117" s="71"/>
      <c r="D117" s="66" t="str">
        <f t="shared" si="9"/>
        <v/>
      </c>
      <c r="E117" s="71"/>
      <c r="F117" s="66" t="str">
        <f t="shared" ref="F117:F180" si="10">IFERROR(VLOOKUP(E117,$AA$6:$AB$1016,2,FALSE),"")</f>
        <v/>
      </c>
      <c r="G117" s="59"/>
      <c r="H117" s="59"/>
      <c r="I117" s="59"/>
      <c r="J117" s="77"/>
      <c r="K117" s="75"/>
      <c r="L117" s="75"/>
      <c r="M117" s="77"/>
      <c r="N117" s="77"/>
      <c r="O117" s="44"/>
      <c r="P117" s="44" t="str">
        <f t="shared" si="2"/>
        <v/>
      </c>
      <c r="Q117" s="44" t="str">
        <f t="shared" si="3"/>
        <v/>
      </c>
      <c r="R117" s="44"/>
      <c r="S117" s="44"/>
      <c r="T117" s="44"/>
      <c r="U117" s="44">
        <v>5121</v>
      </c>
      <c r="V117" s="44" t="s">
        <v>948</v>
      </c>
      <c r="W117" s="44"/>
      <c r="X117" s="44" t="str">
        <f t="shared" si="4"/>
        <v>51</v>
      </c>
      <c r="Y117" s="44" t="str">
        <f t="shared" si="5"/>
        <v>512</v>
      </c>
      <c r="Z117" s="44"/>
      <c r="AA117" s="44" t="s">
        <v>1571</v>
      </c>
      <c r="AB117" s="44" t="s">
        <v>1572</v>
      </c>
    </row>
    <row r="118" spans="1:28" ht="15" customHeight="1">
      <c r="A118" s="71"/>
      <c r="B118" s="66" t="str">
        <f t="shared" si="8"/>
        <v/>
      </c>
      <c r="C118" s="71"/>
      <c r="D118" s="66" t="str">
        <f t="shared" si="9"/>
        <v/>
      </c>
      <c r="E118" s="71"/>
      <c r="F118" s="66" t="str">
        <f t="shared" si="10"/>
        <v/>
      </c>
      <c r="G118" s="59"/>
      <c r="H118" s="59"/>
      <c r="I118" s="59"/>
      <c r="J118" s="77"/>
      <c r="K118" s="75"/>
      <c r="L118" s="75"/>
      <c r="M118" s="77"/>
      <c r="N118" s="77"/>
      <c r="O118" s="44"/>
      <c r="P118" s="44" t="str">
        <f t="shared" si="2"/>
        <v/>
      </c>
      <c r="Q118" s="44" t="str">
        <f t="shared" si="3"/>
        <v/>
      </c>
      <c r="R118" s="44"/>
      <c r="S118" s="44"/>
      <c r="T118" s="44"/>
      <c r="U118" s="44">
        <v>5122</v>
      </c>
      <c r="V118" s="44" t="s">
        <v>951</v>
      </c>
      <c r="W118" s="44"/>
      <c r="X118" s="44" t="str">
        <f t="shared" si="4"/>
        <v>51</v>
      </c>
      <c r="Y118" s="44" t="str">
        <f t="shared" si="5"/>
        <v>512</v>
      </c>
      <c r="Z118" s="44"/>
      <c r="AA118" s="44" t="s">
        <v>1573</v>
      </c>
      <c r="AB118" s="44" t="s">
        <v>1574</v>
      </c>
    </row>
    <row r="119" spans="1:28" ht="15" customHeight="1">
      <c r="A119" s="71"/>
      <c r="B119" s="66" t="str">
        <f t="shared" si="8"/>
        <v/>
      </c>
      <c r="C119" s="71"/>
      <c r="D119" s="66" t="str">
        <f t="shared" si="9"/>
        <v/>
      </c>
      <c r="E119" s="71"/>
      <c r="F119" s="66" t="str">
        <f t="shared" si="10"/>
        <v/>
      </c>
      <c r="G119" s="59"/>
      <c r="H119" s="59"/>
      <c r="I119" s="59"/>
      <c r="J119" s="77"/>
      <c r="K119" s="75"/>
      <c r="L119" s="75"/>
      <c r="M119" s="77"/>
      <c r="N119" s="77"/>
      <c r="O119" s="44"/>
      <c r="P119" s="44" t="str">
        <f t="shared" si="2"/>
        <v/>
      </c>
      <c r="Q119" s="44" t="str">
        <f t="shared" si="3"/>
        <v/>
      </c>
      <c r="R119" s="44"/>
      <c r="S119" s="44"/>
      <c r="T119" s="44"/>
      <c r="U119" s="44">
        <v>5141</v>
      </c>
      <c r="V119" s="44" t="s">
        <v>954</v>
      </c>
      <c r="W119" s="44"/>
      <c r="X119" s="44" t="str">
        <f t="shared" si="4"/>
        <v>51</v>
      </c>
      <c r="Y119" s="44" t="str">
        <f t="shared" si="5"/>
        <v>514</v>
      </c>
      <c r="Z119" s="44"/>
      <c r="AA119" s="44" t="s">
        <v>1575</v>
      </c>
      <c r="AB119" s="44" t="s">
        <v>1576</v>
      </c>
    </row>
    <row r="120" spans="1:28" ht="15" customHeight="1">
      <c r="A120" s="71"/>
      <c r="B120" s="66" t="str">
        <f t="shared" si="8"/>
        <v/>
      </c>
      <c r="C120" s="71"/>
      <c r="D120" s="66" t="str">
        <f t="shared" si="9"/>
        <v/>
      </c>
      <c r="E120" s="71"/>
      <c r="F120" s="66" t="str">
        <f t="shared" si="10"/>
        <v/>
      </c>
      <c r="G120" s="59"/>
      <c r="H120" s="59"/>
      <c r="I120" s="59"/>
      <c r="J120" s="77"/>
      <c r="K120" s="75"/>
      <c r="L120" s="75"/>
      <c r="M120" s="77"/>
      <c r="N120" s="77"/>
      <c r="O120" s="44"/>
      <c r="P120" s="44" t="str">
        <f t="shared" si="2"/>
        <v/>
      </c>
      <c r="Q120" s="44" t="str">
        <f t="shared" si="3"/>
        <v/>
      </c>
      <c r="R120" s="44"/>
      <c r="S120" s="44"/>
      <c r="T120" s="44"/>
      <c r="U120" s="44">
        <v>5181</v>
      </c>
      <c r="V120" s="44" t="s">
        <v>957</v>
      </c>
      <c r="W120" s="44"/>
      <c r="X120" s="44" t="str">
        <f t="shared" si="4"/>
        <v>51</v>
      </c>
      <c r="Y120" s="44" t="str">
        <f t="shared" si="5"/>
        <v>518</v>
      </c>
      <c r="Z120" s="44"/>
      <c r="AA120" s="44" t="s">
        <v>1577</v>
      </c>
      <c r="AB120" s="44" t="s">
        <v>1578</v>
      </c>
    </row>
    <row r="121" spans="1:28" ht="15" customHeight="1">
      <c r="A121" s="71"/>
      <c r="B121" s="66" t="str">
        <f t="shared" si="8"/>
        <v/>
      </c>
      <c r="C121" s="71"/>
      <c r="D121" s="66" t="str">
        <f t="shared" si="9"/>
        <v/>
      </c>
      <c r="E121" s="71"/>
      <c r="F121" s="66" t="str">
        <f t="shared" si="10"/>
        <v/>
      </c>
      <c r="G121" s="59"/>
      <c r="H121" s="59"/>
      <c r="I121" s="59"/>
      <c r="J121" s="77"/>
      <c r="K121" s="75"/>
      <c r="L121" s="75"/>
      <c r="M121" s="77"/>
      <c r="N121" s="77"/>
      <c r="O121" s="44"/>
      <c r="P121" s="44" t="str">
        <f t="shared" si="2"/>
        <v/>
      </c>
      <c r="Q121" s="44" t="str">
        <f t="shared" si="3"/>
        <v/>
      </c>
      <c r="R121" s="44"/>
      <c r="S121" s="44"/>
      <c r="T121" s="44"/>
      <c r="U121" s="44">
        <v>5183</v>
      </c>
      <c r="V121" s="44" t="s">
        <v>960</v>
      </c>
      <c r="W121" s="44"/>
      <c r="X121" s="44" t="str">
        <f t="shared" si="4"/>
        <v>51</v>
      </c>
      <c r="Y121" s="44" t="str">
        <f t="shared" si="5"/>
        <v>518</v>
      </c>
      <c r="Z121" s="44"/>
      <c r="AA121" s="44" t="s">
        <v>1579</v>
      </c>
      <c r="AB121" s="44" t="s">
        <v>1580</v>
      </c>
    </row>
    <row r="122" spans="1:28" ht="15" customHeight="1">
      <c r="A122" s="71"/>
      <c r="B122" s="66" t="str">
        <f t="shared" si="8"/>
        <v/>
      </c>
      <c r="C122" s="71"/>
      <c r="D122" s="66" t="str">
        <f t="shared" si="9"/>
        <v/>
      </c>
      <c r="E122" s="71"/>
      <c r="F122" s="66" t="str">
        <f t="shared" si="10"/>
        <v/>
      </c>
      <c r="G122" s="59"/>
      <c r="H122" s="59"/>
      <c r="I122" s="59"/>
      <c r="J122" s="77"/>
      <c r="K122" s="75"/>
      <c r="L122" s="75"/>
      <c r="M122" s="77"/>
      <c r="N122" s="77"/>
      <c r="O122" s="44"/>
      <c r="P122" s="44" t="str">
        <f t="shared" si="2"/>
        <v/>
      </c>
      <c r="Q122" s="44" t="str">
        <f t="shared" si="3"/>
        <v/>
      </c>
      <c r="R122" s="44"/>
      <c r="S122" s="44"/>
      <c r="T122" s="44"/>
      <c r="U122" s="44">
        <v>5422</v>
      </c>
      <c r="V122" s="44" t="s">
        <v>963</v>
      </c>
      <c r="W122" s="44"/>
      <c r="X122" s="44" t="str">
        <f t="shared" si="4"/>
        <v>54</v>
      </c>
      <c r="Y122" s="44" t="str">
        <f t="shared" si="5"/>
        <v>542</v>
      </c>
      <c r="Z122" s="44"/>
      <c r="AA122" s="44" t="s">
        <v>1581</v>
      </c>
      <c r="AB122" s="44" t="s">
        <v>1582</v>
      </c>
    </row>
    <row r="123" spans="1:28" ht="15" customHeight="1">
      <c r="A123" s="71"/>
      <c r="B123" s="66" t="str">
        <f t="shared" si="8"/>
        <v/>
      </c>
      <c r="C123" s="71"/>
      <c r="D123" s="66" t="str">
        <f t="shared" si="9"/>
        <v/>
      </c>
      <c r="E123" s="71"/>
      <c r="F123" s="66" t="str">
        <f t="shared" si="10"/>
        <v/>
      </c>
      <c r="G123" s="59"/>
      <c r="H123" s="59"/>
      <c r="I123" s="59"/>
      <c r="J123" s="77"/>
      <c r="K123" s="75"/>
      <c r="L123" s="75"/>
      <c r="M123" s="77"/>
      <c r="N123" s="77"/>
      <c r="O123" s="44"/>
      <c r="P123" s="44" t="str">
        <f t="shared" si="2"/>
        <v/>
      </c>
      <c r="Q123" s="44" t="str">
        <f t="shared" si="3"/>
        <v/>
      </c>
      <c r="R123" s="44"/>
      <c r="S123" s="44"/>
      <c r="T123" s="44"/>
      <c r="U123" s="44">
        <v>5431</v>
      </c>
      <c r="V123" s="44" t="s">
        <v>966</v>
      </c>
      <c r="W123" s="44"/>
      <c r="X123" s="44" t="str">
        <f t="shared" si="4"/>
        <v>54</v>
      </c>
      <c r="Y123" s="44" t="str">
        <f t="shared" si="5"/>
        <v>543</v>
      </c>
      <c r="Z123" s="44"/>
      <c r="AA123" s="44" t="s">
        <v>1583</v>
      </c>
      <c r="AB123" s="44" t="s">
        <v>1584</v>
      </c>
    </row>
    <row r="124" spans="1:28" ht="15" customHeight="1">
      <c r="A124" s="71"/>
      <c r="B124" s="66" t="str">
        <f t="shared" si="8"/>
        <v/>
      </c>
      <c r="C124" s="71"/>
      <c r="D124" s="66" t="str">
        <f t="shared" si="9"/>
        <v/>
      </c>
      <c r="E124" s="71"/>
      <c r="F124" s="66" t="str">
        <f t="shared" si="10"/>
        <v/>
      </c>
      <c r="G124" s="59"/>
      <c r="H124" s="59"/>
      <c r="I124" s="59"/>
      <c r="J124" s="77"/>
      <c r="K124" s="75"/>
      <c r="L124" s="75"/>
      <c r="M124" s="77"/>
      <c r="N124" s="77"/>
      <c r="O124" s="44"/>
      <c r="P124" s="44" t="str">
        <f t="shared" si="2"/>
        <v/>
      </c>
      <c r="Q124" s="44" t="str">
        <f t="shared" si="3"/>
        <v/>
      </c>
      <c r="R124" s="44"/>
      <c r="S124" s="44"/>
      <c r="T124" s="44"/>
      <c r="U124" s="44">
        <v>5443</v>
      </c>
      <c r="V124" s="44" t="s">
        <v>969</v>
      </c>
      <c r="W124" s="44"/>
      <c r="X124" s="44" t="str">
        <f t="shared" si="4"/>
        <v>54</v>
      </c>
      <c r="Y124" s="44" t="str">
        <f t="shared" si="5"/>
        <v>544</v>
      </c>
      <c r="Z124" s="44"/>
      <c r="AA124" s="44" t="s">
        <v>1585</v>
      </c>
      <c r="AB124" s="44" t="s">
        <v>1586</v>
      </c>
    </row>
    <row r="125" spans="1:28" ht="15" customHeight="1">
      <c r="A125" s="71"/>
      <c r="B125" s="66" t="str">
        <f t="shared" si="8"/>
        <v/>
      </c>
      <c r="C125" s="71"/>
      <c r="D125" s="66" t="str">
        <f t="shared" si="9"/>
        <v/>
      </c>
      <c r="E125" s="71"/>
      <c r="F125" s="66" t="str">
        <f t="shared" si="10"/>
        <v/>
      </c>
      <c r="G125" s="59"/>
      <c r="H125" s="59"/>
      <c r="I125" s="59"/>
      <c r="J125" s="77"/>
      <c r="K125" s="75"/>
      <c r="L125" s="75"/>
      <c r="M125" s="77"/>
      <c r="N125" s="77"/>
      <c r="O125" s="44"/>
      <c r="P125" s="44" t="str">
        <f t="shared" si="2"/>
        <v/>
      </c>
      <c r="Q125" s="44" t="str">
        <f t="shared" si="3"/>
        <v/>
      </c>
      <c r="R125" s="44"/>
      <c r="S125" s="44"/>
      <c r="T125" s="44"/>
      <c r="U125" s="44">
        <v>5445</v>
      </c>
      <c r="V125" s="44" t="s">
        <v>972</v>
      </c>
      <c r="W125" s="44"/>
      <c r="X125" s="44" t="str">
        <f t="shared" si="4"/>
        <v>54</v>
      </c>
      <c r="Y125" s="44" t="str">
        <f t="shared" si="5"/>
        <v>544</v>
      </c>
      <c r="Z125" s="44"/>
      <c r="AA125" s="44" t="s">
        <v>1587</v>
      </c>
      <c r="AB125" s="44" t="s">
        <v>1588</v>
      </c>
    </row>
    <row r="126" spans="1:28" ht="15" customHeight="1">
      <c r="A126" s="71"/>
      <c r="B126" s="66" t="str">
        <f t="shared" si="8"/>
        <v/>
      </c>
      <c r="C126" s="71"/>
      <c r="D126" s="66" t="str">
        <f t="shared" si="9"/>
        <v/>
      </c>
      <c r="E126" s="71"/>
      <c r="F126" s="66" t="str">
        <f t="shared" si="10"/>
        <v/>
      </c>
      <c r="G126" s="59"/>
      <c r="H126" s="59"/>
      <c r="I126" s="59"/>
      <c r="J126" s="77"/>
      <c r="K126" s="75"/>
      <c r="L126" s="75"/>
      <c r="M126" s="77"/>
      <c r="N126" s="77"/>
      <c r="O126" s="44"/>
      <c r="P126" s="44" t="str">
        <f t="shared" si="2"/>
        <v/>
      </c>
      <c r="Q126" s="44" t="str">
        <f t="shared" si="3"/>
        <v/>
      </c>
      <c r="R126" s="44"/>
      <c r="S126" s="44"/>
      <c r="T126" s="44"/>
      <c r="U126" s="44">
        <v>5453</v>
      </c>
      <c r="V126" s="44" t="s">
        <v>975</v>
      </c>
      <c r="W126" s="44"/>
      <c r="X126" s="44" t="str">
        <f t="shared" si="4"/>
        <v>54</v>
      </c>
      <c r="Y126" s="44" t="str">
        <f t="shared" si="5"/>
        <v>545</v>
      </c>
      <c r="Z126" s="44"/>
      <c r="AA126" s="44" t="s">
        <v>1589</v>
      </c>
      <c r="AB126" s="44" t="s">
        <v>1590</v>
      </c>
    </row>
    <row r="127" spans="1:28" ht="15.75" customHeight="1">
      <c r="A127" s="71"/>
      <c r="B127" s="66" t="str">
        <f t="shared" si="8"/>
        <v/>
      </c>
      <c r="C127" s="71"/>
      <c r="D127" s="66" t="str">
        <f t="shared" si="9"/>
        <v/>
      </c>
      <c r="E127" s="71"/>
      <c r="F127" s="66" t="str">
        <f t="shared" si="10"/>
        <v/>
      </c>
      <c r="G127" s="59"/>
      <c r="H127" s="59"/>
      <c r="I127" s="59"/>
      <c r="J127" s="77"/>
      <c r="K127" s="75"/>
      <c r="L127" s="75"/>
      <c r="M127" s="77"/>
      <c r="N127" s="77"/>
      <c r="O127" s="44"/>
      <c r="P127" s="44" t="str">
        <f t="shared" si="2"/>
        <v/>
      </c>
      <c r="Q127" s="44" t="str">
        <f t="shared" si="3"/>
        <v/>
      </c>
      <c r="R127" s="44"/>
      <c r="S127" s="44"/>
      <c r="T127" s="44"/>
      <c r="U127" s="44">
        <v>5472</v>
      </c>
      <c r="V127" s="44" t="s">
        <v>978</v>
      </c>
      <c r="W127" s="44"/>
      <c r="X127" s="44" t="str">
        <f t="shared" si="4"/>
        <v>54</v>
      </c>
      <c r="Y127" s="44" t="str">
        <f t="shared" si="5"/>
        <v>547</v>
      </c>
      <c r="Z127" s="44"/>
      <c r="AA127" s="44" t="s">
        <v>1591</v>
      </c>
      <c r="AB127" s="44" t="s">
        <v>1592</v>
      </c>
    </row>
    <row r="128" spans="1:28" ht="15.75" customHeight="1">
      <c r="A128" s="71"/>
      <c r="B128" s="66" t="str">
        <f t="shared" si="8"/>
        <v/>
      </c>
      <c r="C128" s="71"/>
      <c r="D128" s="66" t="str">
        <f t="shared" si="9"/>
        <v/>
      </c>
      <c r="E128" s="71"/>
      <c r="F128" s="66" t="str">
        <f t="shared" si="10"/>
        <v/>
      </c>
      <c r="G128" s="59"/>
      <c r="H128" s="59"/>
      <c r="I128" s="59"/>
      <c r="J128" s="77"/>
      <c r="K128" s="75"/>
      <c r="L128" s="75"/>
      <c r="M128" s="77"/>
      <c r="N128" s="77"/>
      <c r="O128" s="44"/>
      <c r="P128" s="44" t="str">
        <f t="shared" si="2"/>
        <v/>
      </c>
      <c r="Q128" s="44" t="str">
        <f t="shared" si="3"/>
        <v/>
      </c>
      <c r="R128" s="44"/>
      <c r="S128" s="44"/>
      <c r="T128" s="44"/>
      <c r="U128" s="44"/>
      <c r="V128" s="44"/>
      <c r="W128" s="44"/>
      <c r="X128" s="44"/>
      <c r="Y128" s="44"/>
      <c r="Z128" s="44"/>
      <c r="AA128" s="44" t="s">
        <v>1593</v>
      </c>
      <c r="AB128" s="44" t="s">
        <v>1594</v>
      </c>
    </row>
    <row r="129" spans="1:28" ht="15.75" customHeight="1">
      <c r="A129" s="71"/>
      <c r="B129" s="66" t="str">
        <f t="shared" si="8"/>
        <v/>
      </c>
      <c r="C129" s="71"/>
      <c r="D129" s="66" t="str">
        <f t="shared" si="9"/>
        <v/>
      </c>
      <c r="E129" s="71"/>
      <c r="F129" s="66" t="str">
        <f t="shared" si="10"/>
        <v/>
      </c>
      <c r="G129" s="59"/>
      <c r="H129" s="59"/>
      <c r="I129" s="59"/>
      <c r="J129" s="77"/>
      <c r="K129" s="75"/>
      <c r="L129" s="75"/>
      <c r="M129" s="77"/>
      <c r="N129" s="77"/>
      <c r="O129" s="44"/>
      <c r="P129" s="44" t="str">
        <f t="shared" si="2"/>
        <v/>
      </c>
      <c r="Q129" s="44" t="str">
        <f t="shared" si="3"/>
        <v/>
      </c>
      <c r="R129" s="44"/>
      <c r="S129" s="44"/>
      <c r="T129" s="44"/>
      <c r="U129" s="44"/>
      <c r="V129" s="44"/>
      <c r="W129" s="44"/>
      <c r="X129" s="44"/>
      <c r="Y129" s="44"/>
      <c r="Z129" s="44"/>
      <c r="AA129" s="44" t="s">
        <v>1595</v>
      </c>
      <c r="AB129" s="44" t="s">
        <v>1596</v>
      </c>
    </row>
    <row r="130" spans="1:28" ht="15.75" customHeight="1">
      <c r="A130" s="71"/>
      <c r="B130" s="66" t="str">
        <f t="shared" si="8"/>
        <v/>
      </c>
      <c r="C130" s="71"/>
      <c r="D130" s="66" t="str">
        <f t="shared" si="9"/>
        <v/>
      </c>
      <c r="E130" s="71"/>
      <c r="F130" s="66" t="str">
        <f t="shared" si="10"/>
        <v/>
      </c>
      <c r="G130" s="59"/>
      <c r="H130" s="59"/>
      <c r="I130" s="59"/>
      <c r="J130" s="77"/>
      <c r="K130" s="75"/>
      <c r="L130" s="75"/>
      <c r="M130" s="77"/>
      <c r="N130" s="77"/>
      <c r="O130" s="44"/>
      <c r="P130" s="44" t="str">
        <f t="shared" si="2"/>
        <v/>
      </c>
      <c r="Q130" s="44" t="str">
        <f t="shared" si="3"/>
        <v/>
      </c>
      <c r="R130" s="44"/>
      <c r="S130" s="44"/>
      <c r="T130" s="44"/>
      <c r="U130" s="44"/>
      <c r="V130" s="44"/>
      <c r="W130" s="44"/>
      <c r="X130" s="44"/>
      <c r="Y130" s="44"/>
      <c r="Z130" s="44"/>
      <c r="AA130" s="44" t="s">
        <v>1597</v>
      </c>
      <c r="AB130" s="44" t="s">
        <v>1598</v>
      </c>
    </row>
    <row r="131" spans="1:28" ht="15.75" customHeight="1">
      <c r="A131" s="71"/>
      <c r="B131" s="66" t="str">
        <f t="shared" ref="B131:B194" si="11">IFERROR(VLOOKUP(A131,$R$6:$S$23,2,FALSE),"")</f>
        <v/>
      </c>
      <c r="C131" s="71"/>
      <c r="D131" s="66" t="str">
        <f t="shared" ref="D131:D194" si="12">IFERROR(VLOOKUP(C131,$U$5:$W$127,2,FALSE),"")</f>
        <v/>
      </c>
      <c r="E131" s="71"/>
      <c r="F131" s="66" t="str">
        <f t="shared" si="10"/>
        <v/>
      </c>
      <c r="G131" s="59"/>
      <c r="H131" s="59"/>
      <c r="I131" s="59"/>
      <c r="J131" s="77"/>
      <c r="K131" s="75"/>
      <c r="L131" s="75"/>
      <c r="M131" s="77"/>
      <c r="N131" s="77"/>
      <c r="O131" s="44"/>
      <c r="P131" s="44" t="str">
        <f t="shared" si="2"/>
        <v/>
      </c>
      <c r="Q131" s="44" t="str">
        <f t="shared" si="3"/>
        <v/>
      </c>
      <c r="R131" s="44"/>
      <c r="S131" s="44"/>
      <c r="T131" s="44"/>
      <c r="U131" s="44"/>
      <c r="V131" s="44"/>
      <c r="W131" s="44"/>
      <c r="X131" s="44"/>
      <c r="Y131" s="44"/>
      <c r="Z131" s="44"/>
      <c r="AA131" s="44" t="s">
        <v>1599</v>
      </c>
      <c r="AB131" s="44" t="s">
        <v>1600</v>
      </c>
    </row>
    <row r="132" spans="1:28" ht="15.75" customHeight="1">
      <c r="A132" s="71"/>
      <c r="B132" s="66" t="str">
        <f t="shared" si="11"/>
        <v/>
      </c>
      <c r="C132" s="71"/>
      <c r="D132" s="66" t="str">
        <f t="shared" si="12"/>
        <v/>
      </c>
      <c r="E132" s="71"/>
      <c r="F132" s="66" t="str">
        <f t="shared" si="10"/>
        <v/>
      </c>
      <c r="G132" s="59"/>
      <c r="H132" s="59"/>
      <c r="I132" s="59"/>
      <c r="J132" s="77"/>
      <c r="K132" s="75"/>
      <c r="L132" s="75"/>
      <c r="M132" s="77"/>
      <c r="N132" s="77"/>
      <c r="O132" s="44"/>
      <c r="P132" s="44" t="str">
        <f t="shared" si="2"/>
        <v/>
      </c>
      <c r="Q132" s="44" t="str">
        <f t="shared" si="3"/>
        <v/>
      </c>
      <c r="R132" s="44"/>
      <c r="S132" s="44"/>
      <c r="T132" s="44"/>
      <c r="U132" s="44"/>
      <c r="V132" s="44"/>
      <c r="W132" s="44"/>
      <c r="X132" s="44"/>
      <c r="Y132" s="44"/>
      <c r="Z132" s="44"/>
      <c r="AA132" s="44" t="s">
        <v>1601</v>
      </c>
      <c r="AB132" s="44" t="s">
        <v>1602</v>
      </c>
    </row>
    <row r="133" spans="1:28" ht="15.75" customHeight="1">
      <c r="A133" s="71"/>
      <c r="B133" s="66" t="str">
        <f t="shared" si="11"/>
        <v/>
      </c>
      <c r="C133" s="71"/>
      <c r="D133" s="66" t="str">
        <f t="shared" si="12"/>
        <v/>
      </c>
      <c r="E133" s="71"/>
      <c r="F133" s="66" t="str">
        <f t="shared" si="10"/>
        <v/>
      </c>
      <c r="G133" s="59"/>
      <c r="H133" s="59"/>
      <c r="I133" s="59"/>
      <c r="J133" s="77"/>
      <c r="K133" s="75"/>
      <c r="L133" s="75"/>
      <c r="M133" s="77"/>
      <c r="N133" s="77"/>
      <c r="O133" s="44"/>
      <c r="P133" s="44" t="str">
        <f t="shared" si="2"/>
        <v/>
      </c>
      <c r="Q133" s="44" t="str">
        <f t="shared" si="3"/>
        <v/>
      </c>
      <c r="R133" s="44"/>
      <c r="S133" s="44"/>
      <c r="T133" s="44"/>
      <c r="U133" s="44"/>
      <c r="V133" s="44"/>
      <c r="W133" s="44"/>
      <c r="X133" s="44"/>
      <c r="Y133" s="44"/>
      <c r="Z133" s="44"/>
      <c r="AA133" s="44" t="s">
        <v>1603</v>
      </c>
      <c r="AB133" s="44" t="s">
        <v>1604</v>
      </c>
    </row>
    <row r="134" spans="1:28" ht="15.75" customHeight="1">
      <c r="A134" s="71"/>
      <c r="B134" s="66" t="str">
        <f t="shared" si="11"/>
        <v/>
      </c>
      <c r="C134" s="71"/>
      <c r="D134" s="66" t="str">
        <f t="shared" si="12"/>
        <v/>
      </c>
      <c r="E134" s="71"/>
      <c r="F134" s="66" t="str">
        <f t="shared" si="10"/>
        <v/>
      </c>
      <c r="G134" s="59"/>
      <c r="H134" s="59"/>
      <c r="I134" s="59"/>
      <c r="J134" s="77"/>
      <c r="K134" s="75"/>
      <c r="L134" s="75"/>
      <c r="M134" s="77"/>
      <c r="N134" s="77"/>
      <c r="O134" s="44"/>
      <c r="P134" s="44" t="str">
        <f t="shared" si="2"/>
        <v/>
      </c>
      <c r="Q134" s="44" t="str">
        <f t="shared" si="3"/>
        <v/>
      </c>
      <c r="R134" s="44"/>
      <c r="S134" s="44"/>
      <c r="T134" s="44"/>
      <c r="U134" s="44"/>
      <c r="V134" s="44"/>
      <c r="W134" s="44"/>
      <c r="X134" s="44"/>
      <c r="Y134" s="44"/>
      <c r="Z134" s="44"/>
      <c r="AA134" s="44" t="s">
        <v>1605</v>
      </c>
      <c r="AB134" s="44" t="s">
        <v>1606</v>
      </c>
    </row>
    <row r="135" spans="1:28" ht="15.75" customHeight="1">
      <c r="A135" s="71"/>
      <c r="B135" s="66" t="str">
        <f t="shared" si="11"/>
        <v/>
      </c>
      <c r="C135" s="71"/>
      <c r="D135" s="66" t="str">
        <f t="shared" si="12"/>
        <v/>
      </c>
      <c r="E135" s="71"/>
      <c r="F135" s="66" t="str">
        <f t="shared" si="10"/>
        <v/>
      </c>
      <c r="G135" s="59"/>
      <c r="H135" s="59"/>
      <c r="I135" s="59"/>
      <c r="J135" s="77"/>
      <c r="K135" s="75"/>
      <c r="L135" s="75"/>
      <c r="M135" s="77"/>
      <c r="N135" s="77"/>
      <c r="O135" s="44"/>
      <c r="P135" s="44" t="str">
        <f t="shared" si="2"/>
        <v/>
      </c>
      <c r="Q135" s="44" t="str">
        <f t="shared" si="3"/>
        <v/>
      </c>
      <c r="R135" s="44"/>
      <c r="S135" s="44"/>
      <c r="T135" s="44"/>
      <c r="U135" s="44"/>
      <c r="V135" s="44"/>
      <c r="W135" s="44"/>
      <c r="X135" s="44"/>
      <c r="Y135" s="44"/>
      <c r="Z135" s="44"/>
      <c r="AA135" s="44" t="s">
        <v>1607</v>
      </c>
      <c r="AB135" s="44" t="s">
        <v>1608</v>
      </c>
    </row>
    <row r="136" spans="1:28" ht="15.75" customHeight="1">
      <c r="A136" s="71"/>
      <c r="B136" s="66" t="str">
        <f t="shared" si="11"/>
        <v/>
      </c>
      <c r="C136" s="71"/>
      <c r="D136" s="66" t="str">
        <f t="shared" si="12"/>
        <v/>
      </c>
      <c r="E136" s="71"/>
      <c r="F136" s="66" t="str">
        <f t="shared" si="10"/>
        <v/>
      </c>
      <c r="G136" s="59"/>
      <c r="H136" s="59"/>
      <c r="I136" s="59"/>
      <c r="J136" s="77"/>
      <c r="K136" s="75"/>
      <c r="L136" s="75"/>
      <c r="M136" s="77"/>
      <c r="N136" s="77"/>
      <c r="O136" s="44"/>
      <c r="P136" s="44" t="str">
        <f t="shared" si="2"/>
        <v/>
      </c>
      <c r="Q136" s="44" t="str">
        <f t="shared" si="3"/>
        <v/>
      </c>
      <c r="R136" s="44"/>
      <c r="S136" s="44"/>
      <c r="T136" s="44"/>
      <c r="U136" s="44"/>
      <c r="V136" s="44"/>
      <c r="W136" s="44"/>
      <c r="X136" s="44"/>
      <c r="Y136" s="44"/>
      <c r="Z136" s="44"/>
      <c r="AA136" s="44" t="s">
        <v>1609</v>
      </c>
      <c r="AB136" s="44" t="s">
        <v>1610</v>
      </c>
    </row>
    <row r="137" spans="1:28" ht="15.75" customHeight="1">
      <c r="A137" s="71"/>
      <c r="B137" s="66" t="str">
        <f t="shared" si="11"/>
        <v/>
      </c>
      <c r="C137" s="71"/>
      <c r="D137" s="66" t="str">
        <f t="shared" si="12"/>
        <v/>
      </c>
      <c r="E137" s="71"/>
      <c r="F137" s="66" t="str">
        <f t="shared" si="10"/>
        <v/>
      </c>
      <c r="G137" s="59"/>
      <c r="H137" s="59"/>
      <c r="I137" s="59"/>
      <c r="J137" s="77"/>
      <c r="K137" s="75"/>
      <c r="L137" s="75"/>
      <c r="M137" s="77"/>
      <c r="N137" s="77"/>
      <c r="O137" s="44"/>
      <c r="P137" s="44" t="str">
        <f t="shared" si="2"/>
        <v/>
      </c>
      <c r="Q137" s="44" t="str">
        <f t="shared" si="3"/>
        <v/>
      </c>
      <c r="R137" s="44"/>
      <c r="S137" s="44"/>
      <c r="T137" s="44"/>
      <c r="U137" s="44"/>
      <c r="V137" s="44"/>
      <c r="W137" s="44"/>
      <c r="X137" s="44"/>
      <c r="Y137" s="44"/>
      <c r="Z137" s="44"/>
      <c r="AA137" s="44" t="s">
        <v>1611</v>
      </c>
      <c r="AB137" s="44" t="s">
        <v>1612</v>
      </c>
    </row>
    <row r="138" spans="1:28" ht="15.75" customHeight="1">
      <c r="A138" s="71"/>
      <c r="B138" s="66" t="str">
        <f t="shared" si="11"/>
        <v/>
      </c>
      <c r="C138" s="71"/>
      <c r="D138" s="66" t="str">
        <f t="shared" si="12"/>
        <v/>
      </c>
      <c r="E138" s="71"/>
      <c r="F138" s="66" t="str">
        <f t="shared" si="10"/>
        <v/>
      </c>
      <c r="G138" s="59"/>
      <c r="H138" s="59"/>
      <c r="I138" s="59"/>
      <c r="J138" s="77"/>
      <c r="K138" s="75"/>
      <c r="L138" s="75"/>
      <c r="M138" s="77"/>
      <c r="N138" s="77"/>
      <c r="O138" s="44"/>
      <c r="P138" s="44" t="str">
        <f t="shared" si="2"/>
        <v/>
      </c>
      <c r="Q138" s="44" t="str">
        <f t="shared" si="3"/>
        <v/>
      </c>
      <c r="R138" s="44"/>
      <c r="S138" s="44"/>
      <c r="T138" s="44"/>
      <c r="U138" s="44"/>
      <c r="V138" s="44"/>
      <c r="W138" s="44"/>
      <c r="X138" s="44"/>
      <c r="Y138" s="44"/>
      <c r="Z138" s="44"/>
      <c r="AA138" s="44" t="s">
        <v>1613</v>
      </c>
      <c r="AB138" s="44" t="s">
        <v>1614</v>
      </c>
    </row>
    <row r="139" spans="1:28" ht="15.75" customHeight="1">
      <c r="A139" s="71"/>
      <c r="B139" s="66" t="str">
        <f t="shared" si="11"/>
        <v/>
      </c>
      <c r="C139" s="71"/>
      <c r="D139" s="66" t="str">
        <f t="shared" si="12"/>
        <v/>
      </c>
      <c r="E139" s="71"/>
      <c r="F139" s="66" t="str">
        <f t="shared" si="10"/>
        <v/>
      </c>
      <c r="G139" s="59"/>
      <c r="H139" s="59"/>
      <c r="I139" s="59"/>
      <c r="J139" s="77"/>
      <c r="K139" s="75"/>
      <c r="L139" s="75"/>
      <c r="M139" s="77"/>
      <c r="N139" s="77"/>
      <c r="O139" s="44"/>
      <c r="P139" s="44" t="str">
        <f t="shared" si="2"/>
        <v/>
      </c>
      <c r="Q139" s="44" t="str">
        <f t="shared" si="3"/>
        <v/>
      </c>
      <c r="R139" s="44"/>
      <c r="S139" s="44"/>
      <c r="T139" s="44"/>
      <c r="U139" s="44"/>
      <c r="V139" s="44"/>
      <c r="W139" s="44"/>
      <c r="X139" s="44"/>
      <c r="Y139" s="44"/>
      <c r="Z139" s="44"/>
      <c r="AA139" s="44" t="s">
        <v>1615</v>
      </c>
      <c r="AB139" s="44" t="s">
        <v>1616</v>
      </c>
    </row>
    <row r="140" spans="1:28" ht="15.75" customHeight="1">
      <c r="A140" s="71"/>
      <c r="B140" s="66" t="str">
        <f t="shared" si="11"/>
        <v/>
      </c>
      <c r="C140" s="71"/>
      <c r="D140" s="66" t="str">
        <f t="shared" si="12"/>
        <v/>
      </c>
      <c r="E140" s="71"/>
      <c r="F140" s="66" t="str">
        <f t="shared" si="10"/>
        <v/>
      </c>
      <c r="G140" s="59"/>
      <c r="H140" s="59"/>
      <c r="I140" s="59"/>
      <c r="J140" s="77"/>
      <c r="K140" s="75"/>
      <c r="L140" s="75"/>
      <c r="M140" s="77"/>
      <c r="N140" s="77"/>
      <c r="O140" s="44"/>
      <c r="P140" s="44" t="str">
        <f t="shared" si="2"/>
        <v/>
      </c>
      <c r="Q140" s="44" t="str">
        <f t="shared" si="3"/>
        <v/>
      </c>
      <c r="R140" s="44"/>
      <c r="S140" s="44"/>
      <c r="T140" s="44"/>
      <c r="U140" s="44"/>
      <c r="V140" s="44"/>
      <c r="W140" s="44"/>
      <c r="X140" s="44"/>
      <c r="Y140" s="44"/>
      <c r="Z140" s="44"/>
      <c r="AA140" s="44" t="s">
        <v>1617</v>
      </c>
      <c r="AB140" s="44" t="s">
        <v>1618</v>
      </c>
    </row>
    <row r="141" spans="1:28" ht="15.75" customHeight="1">
      <c r="A141" s="71"/>
      <c r="B141" s="66" t="str">
        <f t="shared" si="11"/>
        <v/>
      </c>
      <c r="C141" s="71"/>
      <c r="D141" s="66" t="str">
        <f t="shared" si="12"/>
        <v/>
      </c>
      <c r="E141" s="71"/>
      <c r="F141" s="66" t="str">
        <f t="shared" si="10"/>
        <v/>
      </c>
      <c r="G141" s="59"/>
      <c r="H141" s="59"/>
      <c r="I141" s="59"/>
      <c r="J141" s="77"/>
      <c r="K141" s="75"/>
      <c r="L141" s="75"/>
      <c r="M141" s="77"/>
      <c r="N141" s="77"/>
      <c r="O141" s="44"/>
      <c r="P141" s="44" t="str">
        <f t="shared" si="2"/>
        <v/>
      </c>
      <c r="Q141" s="44" t="str">
        <f t="shared" si="3"/>
        <v/>
      </c>
      <c r="R141" s="44"/>
      <c r="S141" s="44"/>
      <c r="T141" s="44"/>
      <c r="U141" s="44"/>
      <c r="V141" s="44"/>
      <c r="W141" s="44"/>
      <c r="X141" s="44"/>
      <c r="Y141" s="44"/>
      <c r="Z141" s="44"/>
      <c r="AA141" s="44" t="s">
        <v>1619</v>
      </c>
      <c r="AB141" s="44" t="s">
        <v>1620</v>
      </c>
    </row>
    <row r="142" spans="1:28" ht="15.75" customHeight="1">
      <c r="A142" s="71"/>
      <c r="B142" s="66" t="str">
        <f t="shared" si="11"/>
        <v/>
      </c>
      <c r="C142" s="71"/>
      <c r="D142" s="66" t="str">
        <f t="shared" si="12"/>
        <v/>
      </c>
      <c r="E142" s="71"/>
      <c r="F142" s="66" t="str">
        <f t="shared" si="10"/>
        <v/>
      </c>
      <c r="G142" s="59"/>
      <c r="H142" s="59"/>
      <c r="I142" s="59"/>
      <c r="J142" s="77"/>
      <c r="K142" s="75"/>
      <c r="L142" s="75"/>
      <c r="M142" s="77"/>
      <c r="N142" s="77"/>
      <c r="O142" s="44"/>
      <c r="P142" s="44" t="str">
        <f t="shared" si="2"/>
        <v/>
      </c>
      <c r="Q142" s="44" t="str">
        <f t="shared" si="3"/>
        <v/>
      </c>
      <c r="R142" s="44"/>
      <c r="S142" s="44"/>
      <c r="T142" s="44"/>
      <c r="U142" s="44"/>
      <c r="V142" s="44"/>
      <c r="W142" s="44"/>
      <c r="X142" s="44"/>
      <c r="Y142" s="44"/>
      <c r="Z142" s="44"/>
      <c r="AA142" s="44" t="s">
        <v>1621</v>
      </c>
      <c r="AB142" s="44" t="s">
        <v>1622</v>
      </c>
    </row>
    <row r="143" spans="1:28" ht="15.75" customHeight="1">
      <c r="A143" s="71"/>
      <c r="B143" s="66" t="str">
        <f t="shared" si="11"/>
        <v/>
      </c>
      <c r="C143" s="71"/>
      <c r="D143" s="66" t="str">
        <f t="shared" si="12"/>
        <v/>
      </c>
      <c r="E143" s="71"/>
      <c r="F143" s="66" t="str">
        <f t="shared" si="10"/>
        <v/>
      </c>
      <c r="G143" s="59"/>
      <c r="H143" s="59"/>
      <c r="I143" s="59"/>
      <c r="J143" s="77"/>
      <c r="K143" s="75"/>
      <c r="L143" s="75"/>
      <c r="M143" s="77"/>
      <c r="N143" s="77"/>
      <c r="O143" s="44"/>
      <c r="P143" s="44" t="str">
        <f t="shared" si="2"/>
        <v/>
      </c>
      <c r="Q143" s="44" t="str">
        <f t="shared" si="3"/>
        <v/>
      </c>
      <c r="R143" s="44"/>
      <c r="S143" s="44"/>
      <c r="T143" s="44"/>
      <c r="U143" s="44"/>
      <c r="V143" s="44"/>
      <c r="W143" s="44"/>
      <c r="X143" s="44"/>
      <c r="Y143" s="44"/>
      <c r="Z143" s="44"/>
      <c r="AA143" s="44" t="s">
        <v>1623</v>
      </c>
      <c r="AB143" s="44" t="s">
        <v>1624</v>
      </c>
    </row>
    <row r="144" spans="1:28" ht="15.75" customHeight="1">
      <c r="A144" s="71"/>
      <c r="B144" s="66" t="str">
        <f t="shared" si="11"/>
        <v/>
      </c>
      <c r="C144" s="71"/>
      <c r="D144" s="66" t="str">
        <f t="shared" si="12"/>
        <v/>
      </c>
      <c r="E144" s="71"/>
      <c r="F144" s="66" t="str">
        <f t="shared" si="10"/>
        <v/>
      </c>
      <c r="G144" s="59"/>
      <c r="H144" s="59"/>
      <c r="I144" s="59"/>
      <c r="J144" s="77"/>
      <c r="K144" s="75"/>
      <c r="L144" s="75"/>
      <c r="M144" s="77"/>
      <c r="N144" s="77"/>
      <c r="O144" s="44"/>
      <c r="P144" s="44" t="str">
        <f t="shared" si="2"/>
        <v/>
      </c>
      <c r="Q144" s="44" t="str">
        <f t="shared" si="3"/>
        <v/>
      </c>
      <c r="R144" s="44"/>
      <c r="S144" s="44"/>
      <c r="T144" s="44"/>
      <c r="U144" s="44"/>
      <c r="V144" s="44"/>
      <c r="W144" s="44"/>
      <c r="X144" s="44"/>
      <c r="Y144" s="44"/>
      <c r="Z144" s="44"/>
      <c r="AA144" s="44" t="s">
        <v>1625</v>
      </c>
      <c r="AB144" s="44" t="s">
        <v>1626</v>
      </c>
    </row>
    <row r="145" spans="1:28" ht="15.75" customHeight="1">
      <c r="A145" s="71"/>
      <c r="B145" s="66" t="str">
        <f t="shared" si="11"/>
        <v/>
      </c>
      <c r="C145" s="71"/>
      <c r="D145" s="66" t="str">
        <f t="shared" si="12"/>
        <v/>
      </c>
      <c r="E145" s="71"/>
      <c r="F145" s="66" t="str">
        <f t="shared" si="10"/>
        <v/>
      </c>
      <c r="G145" s="59"/>
      <c r="H145" s="59"/>
      <c r="I145" s="59"/>
      <c r="J145" s="77"/>
      <c r="K145" s="75"/>
      <c r="L145" s="75"/>
      <c r="M145" s="77"/>
      <c r="N145" s="77"/>
      <c r="O145" s="44"/>
      <c r="P145" s="44" t="str">
        <f t="shared" si="2"/>
        <v/>
      </c>
      <c r="Q145" s="44" t="str">
        <f t="shared" si="3"/>
        <v/>
      </c>
      <c r="R145" s="44"/>
      <c r="S145" s="44"/>
      <c r="T145" s="44"/>
      <c r="U145" s="44"/>
      <c r="V145" s="44"/>
      <c r="W145" s="44"/>
      <c r="X145" s="44"/>
      <c r="Y145" s="44"/>
      <c r="Z145" s="44"/>
      <c r="AA145" s="44" t="s">
        <v>1627</v>
      </c>
      <c r="AB145" s="44" t="s">
        <v>1628</v>
      </c>
    </row>
    <row r="146" spans="1:28" ht="15.75" customHeight="1">
      <c r="A146" s="71"/>
      <c r="B146" s="66" t="str">
        <f t="shared" si="11"/>
        <v/>
      </c>
      <c r="C146" s="71"/>
      <c r="D146" s="66" t="str">
        <f t="shared" si="12"/>
        <v/>
      </c>
      <c r="E146" s="71"/>
      <c r="F146" s="66" t="str">
        <f t="shared" si="10"/>
        <v/>
      </c>
      <c r="G146" s="59"/>
      <c r="H146" s="59"/>
      <c r="I146" s="59"/>
      <c r="J146" s="77"/>
      <c r="K146" s="75"/>
      <c r="L146" s="75"/>
      <c r="M146" s="77"/>
      <c r="N146" s="77"/>
      <c r="O146" s="44"/>
      <c r="P146" s="44" t="str">
        <f t="shared" si="2"/>
        <v/>
      </c>
      <c r="Q146" s="44" t="str">
        <f t="shared" si="3"/>
        <v/>
      </c>
      <c r="R146" s="44"/>
      <c r="S146" s="44"/>
      <c r="T146" s="44"/>
      <c r="U146" s="44"/>
      <c r="V146" s="44"/>
      <c r="W146" s="44"/>
      <c r="X146" s="44"/>
      <c r="Y146" s="44"/>
      <c r="Z146" s="44"/>
      <c r="AA146" s="44" t="s">
        <v>1629</v>
      </c>
      <c r="AB146" s="44" t="s">
        <v>1630</v>
      </c>
    </row>
    <row r="147" spans="1:28" ht="15.75" customHeight="1">
      <c r="A147" s="71"/>
      <c r="B147" s="66" t="str">
        <f t="shared" si="11"/>
        <v/>
      </c>
      <c r="C147" s="71"/>
      <c r="D147" s="66" t="str">
        <f t="shared" si="12"/>
        <v/>
      </c>
      <c r="E147" s="71"/>
      <c r="F147" s="66" t="str">
        <f t="shared" si="10"/>
        <v/>
      </c>
      <c r="G147" s="59"/>
      <c r="H147" s="59"/>
      <c r="I147" s="59"/>
      <c r="J147" s="77"/>
      <c r="K147" s="75"/>
      <c r="L147" s="75"/>
      <c r="M147" s="77"/>
      <c r="N147" s="77"/>
      <c r="O147" s="44"/>
      <c r="P147" s="44" t="str">
        <f t="shared" si="2"/>
        <v/>
      </c>
      <c r="Q147" s="44" t="str">
        <f t="shared" si="3"/>
        <v/>
      </c>
      <c r="R147" s="44"/>
      <c r="S147" s="44"/>
      <c r="T147" s="44"/>
      <c r="U147" s="44"/>
      <c r="V147" s="44"/>
      <c r="W147" s="44"/>
      <c r="X147" s="44"/>
      <c r="Y147" s="44"/>
      <c r="Z147" s="44"/>
      <c r="AA147" s="44" t="s">
        <v>1631</v>
      </c>
      <c r="AB147" s="44" t="s">
        <v>1632</v>
      </c>
    </row>
    <row r="148" spans="1:28" ht="15.75" customHeight="1">
      <c r="A148" s="71"/>
      <c r="B148" s="66" t="str">
        <f t="shared" si="11"/>
        <v/>
      </c>
      <c r="C148" s="71"/>
      <c r="D148" s="66" t="str">
        <f t="shared" si="12"/>
        <v/>
      </c>
      <c r="E148" s="71"/>
      <c r="F148" s="66" t="str">
        <f t="shared" si="10"/>
        <v/>
      </c>
      <c r="G148" s="59"/>
      <c r="H148" s="59"/>
      <c r="I148" s="59"/>
      <c r="J148" s="77"/>
      <c r="K148" s="75"/>
      <c r="L148" s="75"/>
      <c r="M148" s="77"/>
      <c r="N148" s="77"/>
      <c r="O148" s="44"/>
      <c r="P148" s="44" t="str">
        <f t="shared" si="2"/>
        <v/>
      </c>
      <c r="Q148" s="44" t="str">
        <f t="shared" si="3"/>
        <v/>
      </c>
      <c r="R148" s="44"/>
      <c r="S148" s="44"/>
      <c r="T148" s="44"/>
      <c r="U148" s="44"/>
      <c r="V148" s="44"/>
      <c r="W148" s="44"/>
      <c r="X148" s="44"/>
      <c r="Y148" s="44"/>
      <c r="Z148" s="44"/>
      <c r="AA148" s="44" t="s">
        <v>1633</v>
      </c>
      <c r="AB148" s="44" t="s">
        <v>1464</v>
      </c>
    </row>
    <row r="149" spans="1:28" ht="15.75" customHeight="1">
      <c r="A149" s="71"/>
      <c r="B149" s="66" t="str">
        <f t="shared" si="11"/>
        <v/>
      </c>
      <c r="C149" s="71"/>
      <c r="D149" s="66" t="str">
        <f t="shared" si="12"/>
        <v/>
      </c>
      <c r="E149" s="71"/>
      <c r="F149" s="66" t="str">
        <f t="shared" si="10"/>
        <v/>
      </c>
      <c r="G149" s="59"/>
      <c r="H149" s="59"/>
      <c r="I149" s="59"/>
      <c r="J149" s="77"/>
      <c r="K149" s="75"/>
      <c r="L149" s="75"/>
      <c r="M149" s="77"/>
      <c r="N149" s="77"/>
      <c r="O149" s="44"/>
      <c r="P149" s="44" t="str">
        <f t="shared" si="2"/>
        <v/>
      </c>
      <c r="Q149" s="44" t="str">
        <f t="shared" si="3"/>
        <v/>
      </c>
      <c r="R149" s="44"/>
      <c r="S149" s="44"/>
      <c r="T149" s="44"/>
      <c r="U149" s="44"/>
      <c r="V149" s="44"/>
      <c r="W149" s="44"/>
      <c r="X149" s="44"/>
      <c r="Y149" s="44"/>
      <c r="Z149" s="44"/>
      <c r="AA149" s="44" t="s">
        <v>1634</v>
      </c>
      <c r="AB149" s="44" t="s">
        <v>1635</v>
      </c>
    </row>
    <row r="150" spans="1:28" ht="15.75" customHeight="1">
      <c r="A150" s="71"/>
      <c r="B150" s="66" t="str">
        <f t="shared" si="11"/>
        <v/>
      </c>
      <c r="C150" s="71"/>
      <c r="D150" s="66" t="str">
        <f t="shared" si="12"/>
        <v/>
      </c>
      <c r="E150" s="71"/>
      <c r="F150" s="66" t="str">
        <f t="shared" si="10"/>
        <v/>
      </c>
      <c r="G150" s="59"/>
      <c r="H150" s="59"/>
      <c r="I150" s="59"/>
      <c r="J150" s="77"/>
      <c r="K150" s="75"/>
      <c r="L150" s="75"/>
      <c r="M150" s="77"/>
      <c r="N150" s="77"/>
      <c r="O150" s="44"/>
      <c r="P150" s="44" t="str">
        <f t="shared" si="2"/>
        <v/>
      </c>
      <c r="Q150" s="44" t="str">
        <f t="shared" si="3"/>
        <v/>
      </c>
      <c r="R150" s="44"/>
      <c r="S150" s="44"/>
      <c r="T150" s="44"/>
      <c r="U150" s="44"/>
      <c r="V150" s="44"/>
      <c r="W150" s="44"/>
      <c r="X150" s="44"/>
      <c r="Y150" s="44"/>
      <c r="Z150" s="44"/>
      <c r="AA150" s="44" t="s">
        <v>1636</v>
      </c>
      <c r="AB150" s="44" t="s">
        <v>1637</v>
      </c>
    </row>
    <row r="151" spans="1:28" ht="15.75" customHeight="1">
      <c r="A151" s="71"/>
      <c r="B151" s="66" t="str">
        <f t="shared" si="11"/>
        <v/>
      </c>
      <c r="C151" s="71"/>
      <c r="D151" s="66" t="str">
        <f t="shared" si="12"/>
        <v/>
      </c>
      <c r="E151" s="71"/>
      <c r="F151" s="66" t="str">
        <f t="shared" si="10"/>
        <v/>
      </c>
      <c r="G151" s="59"/>
      <c r="H151" s="59"/>
      <c r="I151" s="59"/>
      <c r="J151" s="77"/>
      <c r="K151" s="75"/>
      <c r="L151" s="75"/>
      <c r="M151" s="77"/>
      <c r="N151" s="77"/>
      <c r="O151" s="44"/>
      <c r="P151" s="44" t="str">
        <f t="shared" si="2"/>
        <v/>
      </c>
      <c r="Q151" s="44" t="str">
        <f t="shared" si="3"/>
        <v/>
      </c>
      <c r="R151" s="44"/>
      <c r="S151" s="44"/>
      <c r="T151" s="44"/>
      <c r="U151" s="44"/>
      <c r="V151" s="44"/>
      <c r="W151" s="44"/>
      <c r="X151" s="44"/>
      <c r="Y151" s="44"/>
      <c r="Z151" s="44"/>
      <c r="AA151" s="44" t="s">
        <v>1638</v>
      </c>
      <c r="AB151" s="44" t="s">
        <v>1639</v>
      </c>
    </row>
    <row r="152" spans="1:28" ht="15.75" customHeight="1">
      <c r="A152" s="71"/>
      <c r="B152" s="66" t="str">
        <f t="shared" si="11"/>
        <v/>
      </c>
      <c r="C152" s="71"/>
      <c r="D152" s="66" t="str">
        <f t="shared" si="12"/>
        <v/>
      </c>
      <c r="E152" s="71"/>
      <c r="F152" s="66" t="str">
        <f t="shared" si="10"/>
        <v/>
      </c>
      <c r="G152" s="59"/>
      <c r="H152" s="59"/>
      <c r="I152" s="59"/>
      <c r="J152" s="77"/>
      <c r="K152" s="75"/>
      <c r="L152" s="75"/>
      <c r="M152" s="77"/>
      <c r="N152" s="77"/>
      <c r="O152" s="44"/>
      <c r="P152" s="44" t="str">
        <f t="shared" si="2"/>
        <v/>
      </c>
      <c r="Q152" s="44" t="str">
        <f t="shared" si="3"/>
        <v/>
      </c>
      <c r="R152" s="44"/>
      <c r="S152" s="44"/>
      <c r="T152" s="44"/>
      <c r="U152" s="44"/>
      <c r="V152" s="44"/>
      <c r="W152" s="44"/>
      <c r="X152" s="44"/>
      <c r="Y152" s="44"/>
      <c r="Z152" s="44"/>
      <c r="AA152" s="44" t="s">
        <v>1640</v>
      </c>
      <c r="AB152" s="44" t="s">
        <v>1641</v>
      </c>
    </row>
    <row r="153" spans="1:28" ht="15.75" customHeight="1">
      <c r="A153" s="71"/>
      <c r="B153" s="66" t="str">
        <f t="shared" si="11"/>
        <v/>
      </c>
      <c r="C153" s="71"/>
      <c r="D153" s="66" t="str">
        <f t="shared" si="12"/>
        <v/>
      </c>
      <c r="E153" s="71"/>
      <c r="F153" s="66" t="str">
        <f t="shared" si="10"/>
        <v/>
      </c>
      <c r="G153" s="59"/>
      <c r="H153" s="59"/>
      <c r="I153" s="59"/>
      <c r="J153" s="77"/>
      <c r="K153" s="75"/>
      <c r="L153" s="75"/>
      <c r="M153" s="77"/>
      <c r="N153" s="77"/>
      <c r="O153" s="44"/>
      <c r="P153" s="44" t="str">
        <f t="shared" si="2"/>
        <v/>
      </c>
      <c r="Q153" s="44" t="str">
        <f t="shared" si="3"/>
        <v/>
      </c>
      <c r="R153" s="44"/>
      <c r="S153" s="44"/>
      <c r="T153" s="44"/>
      <c r="U153" s="44"/>
      <c r="V153" s="44"/>
      <c r="W153" s="44"/>
      <c r="X153" s="44"/>
      <c r="Y153" s="44"/>
      <c r="Z153" s="44"/>
      <c r="AA153" s="44" t="s">
        <v>1642</v>
      </c>
      <c r="AB153" s="44" t="s">
        <v>1643</v>
      </c>
    </row>
    <row r="154" spans="1:28" ht="15.75" customHeight="1">
      <c r="A154" s="71"/>
      <c r="B154" s="66" t="str">
        <f t="shared" si="11"/>
        <v/>
      </c>
      <c r="C154" s="71"/>
      <c r="D154" s="66" t="str">
        <f t="shared" si="12"/>
        <v/>
      </c>
      <c r="E154" s="71"/>
      <c r="F154" s="66" t="str">
        <f t="shared" si="10"/>
        <v/>
      </c>
      <c r="G154" s="59"/>
      <c r="H154" s="59"/>
      <c r="I154" s="59"/>
      <c r="J154" s="77"/>
      <c r="K154" s="75"/>
      <c r="L154" s="75"/>
      <c r="M154" s="77"/>
      <c r="N154" s="77"/>
      <c r="O154" s="44"/>
      <c r="P154" s="44" t="str">
        <f t="shared" si="2"/>
        <v/>
      </c>
      <c r="Q154" s="44" t="str">
        <f t="shared" si="3"/>
        <v/>
      </c>
      <c r="R154" s="44"/>
      <c r="S154" s="44"/>
      <c r="T154" s="44"/>
      <c r="U154" s="44"/>
      <c r="V154" s="44"/>
      <c r="W154" s="44"/>
      <c r="X154" s="44"/>
      <c r="Y154" s="44"/>
      <c r="Z154" s="44"/>
      <c r="AA154" s="44" t="s">
        <v>1644</v>
      </c>
      <c r="AB154" s="44" t="s">
        <v>1645</v>
      </c>
    </row>
    <row r="155" spans="1:28" ht="15.75" customHeight="1">
      <c r="A155" s="71"/>
      <c r="B155" s="66" t="str">
        <f t="shared" si="11"/>
        <v/>
      </c>
      <c r="C155" s="71"/>
      <c r="D155" s="66" t="str">
        <f t="shared" si="12"/>
        <v/>
      </c>
      <c r="E155" s="71"/>
      <c r="F155" s="66" t="str">
        <f t="shared" si="10"/>
        <v/>
      </c>
      <c r="G155" s="59"/>
      <c r="H155" s="59"/>
      <c r="I155" s="59"/>
      <c r="J155" s="77"/>
      <c r="K155" s="75"/>
      <c r="L155" s="75"/>
      <c r="M155" s="77"/>
      <c r="N155" s="77"/>
      <c r="O155" s="44"/>
      <c r="P155" s="44" t="str">
        <f t="shared" si="2"/>
        <v/>
      </c>
      <c r="Q155" s="44" t="str">
        <f t="shared" si="3"/>
        <v/>
      </c>
      <c r="R155" s="44"/>
      <c r="S155" s="44"/>
      <c r="T155" s="44"/>
      <c r="U155" s="44"/>
      <c r="V155" s="44"/>
      <c r="W155" s="44"/>
      <c r="X155" s="44"/>
      <c r="Y155" s="44"/>
      <c r="Z155" s="44"/>
      <c r="AA155" s="44" t="s">
        <v>1646</v>
      </c>
      <c r="AB155" s="44" t="s">
        <v>1647</v>
      </c>
    </row>
    <row r="156" spans="1:28" ht="15.75" customHeight="1">
      <c r="A156" s="71"/>
      <c r="B156" s="66" t="str">
        <f t="shared" si="11"/>
        <v/>
      </c>
      <c r="C156" s="71"/>
      <c r="D156" s="66" t="str">
        <f t="shared" si="12"/>
        <v/>
      </c>
      <c r="E156" s="71"/>
      <c r="F156" s="66" t="str">
        <f t="shared" si="10"/>
        <v/>
      </c>
      <c r="G156" s="59"/>
      <c r="H156" s="59"/>
      <c r="I156" s="59"/>
      <c r="J156" s="77"/>
      <c r="K156" s="75"/>
      <c r="L156" s="75"/>
      <c r="M156" s="77"/>
      <c r="N156" s="77"/>
      <c r="O156" s="44"/>
      <c r="P156" s="44" t="str">
        <f t="shared" si="2"/>
        <v/>
      </c>
      <c r="Q156" s="44" t="str">
        <f t="shared" si="3"/>
        <v/>
      </c>
      <c r="R156" s="44"/>
      <c r="S156" s="44"/>
      <c r="T156" s="44"/>
      <c r="U156" s="44"/>
      <c r="V156" s="44"/>
      <c r="W156" s="44"/>
      <c r="X156" s="44"/>
      <c r="Y156" s="44"/>
      <c r="Z156" s="44"/>
      <c r="AA156" s="44" t="s">
        <v>1648</v>
      </c>
      <c r="AB156" s="44" t="s">
        <v>1649</v>
      </c>
    </row>
    <row r="157" spans="1:28" ht="15.75" customHeight="1">
      <c r="A157" s="71"/>
      <c r="B157" s="66" t="str">
        <f t="shared" si="11"/>
        <v/>
      </c>
      <c r="C157" s="71"/>
      <c r="D157" s="66" t="str">
        <f t="shared" si="12"/>
        <v/>
      </c>
      <c r="E157" s="71"/>
      <c r="F157" s="66" t="str">
        <f t="shared" si="10"/>
        <v/>
      </c>
      <c r="G157" s="59"/>
      <c r="H157" s="59"/>
      <c r="I157" s="59"/>
      <c r="J157" s="77"/>
      <c r="K157" s="75"/>
      <c r="L157" s="75"/>
      <c r="M157" s="77"/>
      <c r="N157" s="77"/>
      <c r="O157" s="44"/>
      <c r="P157" s="44" t="str">
        <f t="shared" si="2"/>
        <v/>
      </c>
      <c r="Q157" s="44" t="str">
        <f t="shared" si="3"/>
        <v/>
      </c>
      <c r="R157" s="44"/>
      <c r="S157" s="44"/>
      <c r="T157" s="44"/>
      <c r="U157" s="44"/>
      <c r="V157" s="44"/>
      <c r="W157" s="44"/>
      <c r="X157" s="44"/>
      <c r="Y157" s="44"/>
      <c r="Z157" s="44"/>
      <c r="AA157" s="44" t="s">
        <v>1650</v>
      </c>
      <c r="AB157" s="44" t="s">
        <v>1651</v>
      </c>
    </row>
    <row r="158" spans="1:28" ht="15.75" customHeight="1">
      <c r="A158" s="71"/>
      <c r="B158" s="66" t="str">
        <f t="shared" si="11"/>
        <v/>
      </c>
      <c r="C158" s="71"/>
      <c r="D158" s="66" t="str">
        <f t="shared" si="12"/>
        <v/>
      </c>
      <c r="E158" s="71"/>
      <c r="F158" s="66" t="str">
        <f t="shared" si="10"/>
        <v/>
      </c>
      <c r="G158" s="59"/>
      <c r="H158" s="59"/>
      <c r="I158" s="59"/>
      <c r="J158" s="77"/>
      <c r="K158" s="75"/>
      <c r="L158" s="75"/>
      <c r="M158" s="77"/>
      <c r="N158" s="77"/>
      <c r="O158" s="44"/>
      <c r="P158" s="44" t="str">
        <f t="shared" si="2"/>
        <v/>
      </c>
      <c r="Q158" s="44" t="str">
        <f t="shared" si="3"/>
        <v/>
      </c>
      <c r="R158" s="44"/>
      <c r="S158" s="44"/>
      <c r="T158" s="44"/>
      <c r="U158" s="44"/>
      <c r="V158" s="44"/>
      <c r="W158" s="44"/>
      <c r="X158" s="44"/>
      <c r="Y158" s="44"/>
      <c r="Z158" s="44"/>
      <c r="AA158" s="44" t="s">
        <v>1652</v>
      </c>
      <c r="AB158" s="44" t="s">
        <v>1653</v>
      </c>
    </row>
    <row r="159" spans="1:28" ht="15.75" customHeight="1">
      <c r="A159" s="71"/>
      <c r="B159" s="66" t="str">
        <f t="shared" si="11"/>
        <v/>
      </c>
      <c r="C159" s="71"/>
      <c r="D159" s="66" t="str">
        <f t="shared" si="12"/>
        <v/>
      </c>
      <c r="E159" s="71"/>
      <c r="F159" s="66" t="str">
        <f t="shared" si="10"/>
        <v/>
      </c>
      <c r="G159" s="59"/>
      <c r="H159" s="59"/>
      <c r="I159" s="59"/>
      <c r="J159" s="77"/>
      <c r="K159" s="75"/>
      <c r="L159" s="75"/>
      <c r="M159" s="77"/>
      <c r="N159" s="77"/>
      <c r="O159" s="44"/>
      <c r="P159" s="44" t="str">
        <f t="shared" si="2"/>
        <v/>
      </c>
      <c r="Q159" s="44" t="str">
        <f t="shared" si="3"/>
        <v/>
      </c>
      <c r="R159" s="44"/>
      <c r="S159" s="44"/>
      <c r="T159" s="44"/>
      <c r="U159" s="44"/>
      <c r="V159" s="44"/>
      <c r="W159" s="44"/>
      <c r="X159" s="44"/>
      <c r="Y159" s="44"/>
      <c r="Z159" s="44"/>
      <c r="AA159" s="44" t="s">
        <v>1654</v>
      </c>
      <c r="AB159" s="44" t="s">
        <v>1655</v>
      </c>
    </row>
    <row r="160" spans="1:28" ht="15.75" customHeight="1">
      <c r="A160" s="71"/>
      <c r="B160" s="66" t="str">
        <f t="shared" si="11"/>
        <v/>
      </c>
      <c r="C160" s="71"/>
      <c r="D160" s="66" t="str">
        <f t="shared" si="12"/>
        <v/>
      </c>
      <c r="E160" s="71"/>
      <c r="F160" s="66" t="str">
        <f t="shared" si="10"/>
        <v/>
      </c>
      <c r="G160" s="59"/>
      <c r="H160" s="59"/>
      <c r="I160" s="59"/>
      <c r="J160" s="77"/>
      <c r="K160" s="75"/>
      <c r="L160" s="75"/>
      <c r="M160" s="77"/>
      <c r="N160" s="77"/>
      <c r="O160" s="44"/>
      <c r="P160" s="44" t="str">
        <f t="shared" si="2"/>
        <v/>
      </c>
      <c r="Q160" s="44" t="str">
        <f t="shared" si="3"/>
        <v/>
      </c>
      <c r="R160" s="44"/>
      <c r="S160" s="44"/>
      <c r="T160" s="44"/>
      <c r="U160" s="44"/>
      <c r="V160" s="44"/>
      <c r="W160" s="44"/>
      <c r="X160" s="44"/>
      <c r="Y160" s="44"/>
      <c r="Z160" s="44"/>
      <c r="AA160" s="44" t="s">
        <v>1656</v>
      </c>
      <c r="AB160" s="44" t="s">
        <v>1657</v>
      </c>
    </row>
    <row r="161" spans="1:28" ht="15.75" customHeight="1">
      <c r="A161" s="71"/>
      <c r="B161" s="66" t="str">
        <f t="shared" si="11"/>
        <v/>
      </c>
      <c r="C161" s="71"/>
      <c r="D161" s="66" t="str">
        <f t="shared" si="12"/>
        <v/>
      </c>
      <c r="E161" s="71"/>
      <c r="F161" s="66" t="str">
        <f t="shared" si="10"/>
        <v/>
      </c>
      <c r="G161" s="59"/>
      <c r="H161" s="59"/>
      <c r="I161" s="59"/>
      <c r="J161" s="77"/>
      <c r="K161" s="75"/>
      <c r="L161" s="75"/>
      <c r="M161" s="77"/>
      <c r="N161" s="77"/>
      <c r="O161" s="44"/>
      <c r="P161" s="44" t="str">
        <f t="shared" si="2"/>
        <v/>
      </c>
      <c r="Q161" s="44" t="str">
        <f t="shared" si="3"/>
        <v/>
      </c>
      <c r="R161" s="44"/>
      <c r="S161" s="44"/>
      <c r="T161" s="44"/>
      <c r="U161" s="44"/>
      <c r="V161" s="44"/>
      <c r="W161" s="44"/>
      <c r="X161" s="44"/>
      <c r="Y161" s="44"/>
      <c r="Z161" s="44"/>
      <c r="AA161" s="44" t="s">
        <v>1658</v>
      </c>
      <c r="AB161" s="44" t="s">
        <v>1659</v>
      </c>
    </row>
    <row r="162" spans="1:28" ht="15.75" customHeight="1">
      <c r="A162" s="71"/>
      <c r="B162" s="66" t="str">
        <f t="shared" si="11"/>
        <v/>
      </c>
      <c r="C162" s="71"/>
      <c r="D162" s="66" t="str">
        <f t="shared" si="12"/>
        <v/>
      </c>
      <c r="E162" s="71"/>
      <c r="F162" s="66" t="str">
        <f t="shared" si="10"/>
        <v/>
      </c>
      <c r="G162" s="59"/>
      <c r="H162" s="59"/>
      <c r="I162" s="59"/>
      <c r="J162" s="77"/>
      <c r="K162" s="75"/>
      <c r="L162" s="75"/>
      <c r="M162" s="77"/>
      <c r="N162" s="77"/>
      <c r="O162" s="44"/>
      <c r="P162" s="44" t="str">
        <f t="shared" si="2"/>
        <v/>
      </c>
      <c r="Q162" s="44" t="str">
        <f t="shared" si="3"/>
        <v/>
      </c>
      <c r="R162" s="44"/>
      <c r="S162" s="44"/>
      <c r="T162" s="44"/>
      <c r="U162" s="44"/>
      <c r="V162" s="44"/>
      <c r="W162" s="44"/>
      <c r="X162" s="44"/>
      <c r="Y162" s="44"/>
      <c r="Z162" s="44"/>
      <c r="AA162" s="44" t="s">
        <v>1660</v>
      </c>
      <c r="AB162" s="44" t="s">
        <v>1661</v>
      </c>
    </row>
    <row r="163" spans="1:28" ht="15.75" customHeight="1">
      <c r="A163" s="71"/>
      <c r="B163" s="66" t="str">
        <f t="shared" si="11"/>
        <v/>
      </c>
      <c r="C163" s="71"/>
      <c r="D163" s="66" t="str">
        <f t="shared" si="12"/>
        <v/>
      </c>
      <c r="E163" s="71"/>
      <c r="F163" s="66" t="str">
        <f t="shared" si="10"/>
        <v/>
      </c>
      <c r="G163" s="59"/>
      <c r="H163" s="59"/>
      <c r="I163" s="59"/>
      <c r="J163" s="77"/>
      <c r="K163" s="75"/>
      <c r="L163" s="75"/>
      <c r="M163" s="77"/>
      <c r="N163" s="77"/>
      <c r="O163" s="44"/>
      <c r="P163" s="44" t="str">
        <f t="shared" si="2"/>
        <v/>
      </c>
      <c r="Q163" s="44" t="str">
        <f t="shared" si="3"/>
        <v/>
      </c>
      <c r="R163" s="44"/>
      <c r="S163" s="44"/>
      <c r="T163" s="44"/>
      <c r="U163" s="44"/>
      <c r="V163" s="44"/>
      <c r="W163" s="44"/>
      <c r="X163" s="44"/>
      <c r="Y163" s="44"/>
      <c r="Z163" s="44"/>
      <c r="AA163" s="44" t="s">
        <v>1662</v>
      </c>
      <c r="AB163" s="44" t="s">
        <v>1663</v>
      </c>
    </row>
    <row r="164" spans="1:28" ht="15.75" customHeight="1">
      <c r="A164" s="71"/>
      <c r="B164" s="66" t="str">
        <f t="shared" si="11"/>
        <v/>
      </c>
      <c r="C164" s="71"/>
      <c r="D164" s="66" t="str">
        <f t="shared" si="12"/>
        <v/>
      </c>
      <c r="E164" s="71"/>
      <c r="F164" s="66" t="str">
        <f t="shared" si="10"/>
        <v/>
      </c>
      <c r="G164" s="59"/>
      <c r="H164" s="59"/>
      <c r="I164" s="59"/>
      <c r="J164" s="77"/>
      <c r="K164" s="75"/>
      <c r="L164" s="75"/>
      <c r="M164" s="77"/>
      <c r="N164" s="77"/>
      <c r="O164" s="44"/>
      <c r="P164" s="44" t="str">
        <f t="shared" si="2"/>
        <v/>
      </c>
      <c r="Q164" s="44" t="str">
        <f t="shared" si="3"/>
        <v/>
      </c>
      <c r="R164" s="44"/>
      <c r="S164" s="44"/>
      <c r="T164" s="44"/>
      <c r="U164" s="44"/>
      <c r="V164" s="44"/>
      <c r="W164" s="44"/>
      <c r="X164" s="44"/>
      <c r="Y164" s="44"/>
      <c r="Z164" s="44"/>
      <c r="AA164" s="44" t="s">
        <v>1664</v>
      </c>
      <c r="AB164" s="44" t="s">
        <v>1665</v>
      </c>
    </row>
    <row r="165" spans="1:28" ht="15.75" customHeight="1">
      <c r="A165" s="71"/>
      <c r="B165" s="66" t="str">
        <f t="shared" si="11"/>
        <v/>
      </c>
      <c r="C165" s="71"/>
      <c r="D165" s="66" t="str">
        <f t="shared" si="12"/>
        <v/>
      </c>
      <c r="E165" s="71"/>
      <c r="F165" s="66" t="str">
        <f t="shared" si="10"/>
        <v/>
      </c>
      <c r="G165" s="59"/>
      <c r="H165" s="59"/>
      <c r="I165" s="59"/>
      <c r="J165" s="77"/>
      <c r="K165" s="75"/>
      <c r="L165" s="75"/>
      <c r="M165" s="77"/>
      <c r="N165" s="77"/>
      <c r="O165" s="44"/>
      <c r="P165" s="44" t="str">
        <f t="shared" si="2"/>
        <v/>
      </c>
      <c r="Q165" s="44" t="str">
        <f t="shared" si="3"/>
        <v/>
      </c>
      <c r="R165" s="44"/>
      <c r="S165" s="44"/>
      <c r="T165" s="44"/>
      <c r="U165" s="44"/>
      <c r="V165" s="44"/>
      <c r="W165" s="44"/>
      <c r="X165" s="44"/>
      <c r="Y165" s="44"/>
      <c r="Z165" s="44"/>
      <c r="AA165" s="44" t="s">
        <v>1666</v>
      </c>
      <c r="AB165" s="44" t="s">
        <v>1667</v>
      </c>
    </row>
    <row r="166" spans="1:28" ht="15.75" customHeight="1">
      <c r="A166" s="71"/>
      <c r="B166" s="66" t="str">
        <f t="shared" si="11"/>
        <v/>
      </c>
      <c r="C166" s="71"/>
      <c r="D166" s="66" t="str">
        <f t="shared" si="12"/>
        <v/>
      </c>
      <c r="E166" s="71"/>
      <c r="F166" s="66" t="str">
        <f t="shared" si="10"/>
        <v/>
      </c>
      <c r="G166" s="59"/>
      <c r="H166" s="59"/>
      <c r="I166" s="59"/>
      <c r="J166" s="77"/>
      <c r="K166" s="75"/>
      <c r="L166" s="75"/>
      <c r="M166" s="77"/>
      <c r="N166" s="77"/>
      <c r="O166" s="44"/>
      <c r="P166" s="44" t="str">
        <f t="shared" si="2"/>
        <v/>
      </c>
      <c r="Q166" s="44" t="str">
        <f t="shared" si="3"/>
        <v/>
      </c>
      <c r="R166" s="44"/>
      <c r="S166" s="44"/>
      <c r="T166" s="44"/>
      <c r="U166" s="44"/>
      <c r="V166" s="44"/>
      <c r="W166" s="44"/>
      <c r="X166" s="44"/>
      <c r="Y166" s="44"/>
      <c r="Z166" s="44"/>
      <c r="AA166" s="44" t="s">
        <v>1668</v>
      </c>
      <c r="AB166" s="44" t="s">
        <v>1669</v>
      </c>
    </row>
    <row r="167" spans="1:28" ht="15.75" customHeight="1">
      <c r="A167" s="71"/>
      <c r="B167" s="66" t="str">
        <f t="shared" si="11"/>
        <v/>
      </c>
      <c r="C167" s="71"/>
      <c r="D167" s="66" t="str">
        <f t="shared" si="12"/>
        <v/>
      </c>
      <c r="E167" s="71"/>
      <c r="F167" s="66" t="str">
        <f t="shared" si="10"/>
        <v/>
      </c>
      <c r="G167" s="59"/>
      <c r="H167" s="59"/>
      <c r="I167" s="59"/>
      <c r="J167" s="77"/>
      <c r="K167" s="75"/>
      <c r="L167" s="75"/>
      <c r="M167" s="77"/>
      <c r="N167" s="77"/>
      <c r="O167" s="44"/>
      <c r="P167" s="44" t="str">
        <f t="shared" si="2"/>
        <v/>
      </c>
      <c r="Q167" s="44" t="str">
        <f t="shared" si="3"/>
        <v/>
      </c>
      <c r="R167" s="44"/>
      <c r="S167" s="44"/>
      <c r="T167" s="44"/>
      <c r="U167" s="44"/>
      <c r="V167" s="44"/>
      <c r="W167" s="44"/>
      <c r="X167" s="44"/>
      <c r="Y167" s="44"/>
      <c r="Z167" s="44"/>
      <c r="AA167" s="44" t="s">
        <v>1670</v>
      </c>
      <c r="AB167" s="44" t="s">
        <v>1671</v>
      </c>
    </row>
    <row r="168" spans="1:28" ht="15.75" customHeight="1">
      <c r="A168" s="71"/>
      <c r="B168" s="66" t="str">
        <f t="shared" si="11"/>
        <v/>
      </c>
      <c r="C168" s="71"/>
      <c r="D168" s="66" t="str">
        <f t="shared" si="12"/>
        <v/>
      </c>
      <c r="E168" s="71"/>
      <c r="F168" s="66" t="str">
        <f t="shared" si="10"/>
        <v/>
      </c>
      <c r="G168" s="59"/>
      <c r="H168" s="59"/>
      <c r="I168" s="59"/>
      <c r="J168" s="77"/>
      <c r="K168" s="75"/>
      <c r="L168" s="75"/>
      <c r="M168" s="77"/>
      <c r="N168" s="77"/>
      <c r="O168" s="44"/>
      <c r="P168" s="44" t="str">
        <f t="shared" si="2"/>
        <v/>
      </c>
      <c r="Q168" s="44" t="str">
        <f t="shared" si="3"/>
        <v/>
      </c>
      <c r="R168" s="44"/>
      <c r="S168" s="44"/>
      <c r="T168" s="44"/>
      <c r="U168" s="44"/>
      <c r="V168" s="44"/>
      <c r="W168" s="44"/>
      <c r="X168" s="44"/>
      <c r="Y168" s="44"/>
      <c r="Z168" s="44"/>
      <c r="AA168" s="44" t="s">
        <v>1672</v>
      </c>
      <c r="AB168" s="44" t="s">
        <v>1673</v>
      </c>
    </row>
    <row r="169" spans="1:28" ht="15.75" customHeight="1">
      <c r="A169" s="71"/>
      <c r="B169" s="66" t="str">
        <f t="shared" si="11"/>
        <v/>
      </c>
      <c r="C169" s="71"/>
      <c r="D169" s="66" t="str">
        <f t="shared" si="12"/>
        <v/>
      </c>
      <c r="E169" s="71"/>
      <c r="F169" s="66" t="str">
        <f t="shared" si="10"/>
        <v/>
      </c>
      <c r="G169" s="59"/>
      <c r="H169" s="59"/>
      <c r="I169" s="59"/>
      <c r="J169" s="77"/>
      <c r="K169" s="75"/>
      <c r="L169" s="75"/>
      <c r="M169" s="77"/>
      <c r="N169" s="77"/>
      <c r="O169" s="44"/>
      <c r="P169" s="44" t="str">
        <f t="shared" si="2"/>
        <v/>
      </c>
      <c r="Q169" s="44" t="str">
        <f t="shared" si="3"/>
        <v/>
      </c>
      <c r="R169" s="44"/>
      <c r="S169" s="44"/>
      <c r="T169" s="44"/>
      <c r="U169" s="44"/>
      <c r="V169" s="44"/>
      <c r="W169" s="44"/>
      <c r="X169" s="44"/>
      <c r="Y169" s="44"/>
      <c r="Z169" s="44"/>
      <c r="AA169" s="44" t="s">
        <v>1674</v>
      </c>
      <c r="AB169" s="44" t="s">
        <v>1675</v>
      </c>
    </row>
    <row r="170" spans="1:28" ht="15.75" customHeight="1">
      <c r="A170" s="71"/>
      <c r="B170" s="66" t="str">
        <f t="shared" si="11"/>
        <v/>
      </c>
      <c r="C170" s="71"/>
      <c r="D170" s="66" t="str">
        <f t="shared" si="12"/>
        <v/>
      </c>
      <c r="E170" s="71"/>
      <c r="F170" s="66" t="str">
        <f t="shared" si="10"/>
        <v/>
      </c>
      <c r="G170" s="59"/>
      <c r="H170" s="59"/>
      <c r="I170" s="59"/>
      <c r="J170" s="77"/>
      <c r="K170" s="75"/>
      <c r="L170" s="75"/>
      <c r="M170" s="77"/>
      <c r="N170" s="77"/>
      <c r="O170" s="44"/>
      <c r="P170" s="44" t="str">
        <f t="shared" si="2"/>
        <v/>
      </c>
      <c r="Q170" s="44" t="str">
        <f t="shared" si="3"/>
        <v/>
      </c>
      <c r="R170" s="44"/>
      <c r="S170" s="44"/>
      <c r="T170" s="44"/>
      <c r="U170" s="44"/>
      <c r="V170" s="44"/>
      <c r="W170" s="44"/>
      <c r="X170" s="44"/>
      <c r="Y170" s="44"/>
      <c r="Z170" s="44"/>
      <c r="AA170" s="44" t="s">
        <v>1676</v>
      </c>
      <c r="AB170" s="44" t="s">
        <v>1677</v>
      </c>
    </row>
    <row r="171" spans="1:28" ht="15.75" customHeight="1">
      <c r="A171" s="71"/>
      <c r="B171" s="66" t="str">
        <f t="shared" si="11"/>
        <v/>
      </c>
      <c r="C171" s="71"/>
      <c r="D171" s="66" t="str">
        <f t="shared" si="12"/>
        <v/>
      </c>
      <c r="E171" s="71"/>
      <c r="F171" s="66" t="str">
        <f t="shared" si="10"/>
        <v/>
      </c>
      <c r="G171" s="59"/>
      <c r="H171" s="59"/>
      <c r="I171" s="59"/>
      <c r="J171" s="77"/>
      <c r="K171" s="75"/>
      <c r="L171" s="75"/>
      <c r="M171" s="77"/>
      <c r="N171" s="77"/>
      <c r="O171" s="44"/>
      <c r="P171" s="44" t="str">
        <f t="shared" si="2"/>
        <v/>
      </c>
      <c r="Q171" s="44" t="str">
        <f t="shared" si="3"/>
        <v/>
      </c>
      <c r="R171" s="44"/>
      <c r="S171" s="44"/>
      <c r="T171" s="44"/>
      <c r="U171" s="44"/>
      <c r="V171" s="44"/>
      <c r="W171" s="44"/>
      <c r="X171" s="44"/>
      <c r="Y171" s="44"/>
      <c r="Z171" s="44"/>
      <c r="AA171" s="44" t="s">
        <v>1678</v>
      </c>
      <c r="AB171" s="44" t="s">
        <v>1679</v>
      </c>
    </row>
    <row r="172" spans="1:28" ht="15.75" customHeight="1">
      <c r="A172" s="71"/>
      <c r="B172" s="66" t="str">
        <f t="shared" si="11"/>
        <v/>
      </c>
      <c r="C172" s="71"/>
      <c r="D172" s="66" t="str">
        <f t="shared" si="12"/>
        <v/>
      </c>
      <c r="E172" s="71"/>
      <c r="F172" s="66" t="str">
        <f t="shared" si="10"/>
        <v/>
      </c>
      <c r="G172" s="59"/>
      <c r="H172" s="59"/>
      <c r="I172" s="59"/>
      <c r="J172" s="77"/>
      <c r="K172" s="75"/>
      <c r="L172" s="75"/>
      <c r="M172" s="77"/>
      <c r="N172" s="77"/>
      <c r="O172" s="44"/>
      <c r="P172" s="44" t="str">
        <f t="shared" si="2"/>
        <v/>
      </c>
      <c r="Q172" s="44" t="str">
        <f t="shared" si="3"/>
        <v/>
      </c>
      <c r="R172" s="44"/>
      <c r="S172" s="44"/>
      <c r="T172" s="44"/>
      <c r="U172" s="44"/>
      <c r="V172" s="44"/>
      <c r="W172" s="44"/>
      <c r="X172" s="44"/>
      <c r="Y172" s="44"/>
      <c r="Z172" s="44"/>
      <c r="AA172" s="44" t="s">
        <v>1680</v>
      </c>
      <c r="AB172" s="44" t="s">
        <v>1681</v>
      </c>
    </row>
    <row r="173" spans="1:28" ht="15.75" customHeight="1">
      <c r="A173" s="71"/>
      <c r="B173" s="66" t="str">
        <f t="shared" si="11"/>
        <v/>
      </c>
      <c r="C173" s="71"/>
      <c r="D173" s="66" t="str">
        <f t="shared" si="12"/>
        <v/>
      </c>
      <c r="E173" s="71"/>
      <c r="F173" s="66" t="str">
        <f t="shared" si="10"/>
        <v/>
      </c>
      <c r="G173" s="59"/>
      <c r="H173" s="59"/>
      <c r="I173" s="59"/>
      <c r="J173" s="77"/>
      <c r="K173" s="75"/>
      <c r="L173" s="75"/>
      <c r="M173" s="77"/>
      <c r="N173" s="77"/>
      <c r="O173" s="44"/>
      <c r="P173" s="44" t="str">
        <f t="shared" si="2"/>
        <v/>
      </c>
      <c r="Q173" s="44" t="str">
        <f t="shared" si="3"/>
        <v/>
      </c>
      <c r="R173" s="44"/>
      <c r="S173" s="44"/>
      <c r="T173" s="44"/>
      <c r="U173" s="44"/>
      <c r="V173" s="44"/>
      <c r="W173" s="44"/>
      <c r="X173" s="44"/>
      <c r="Y173" s="44"/>
      <c r="Z173" s="44"/>
      <c r="AA173" s="44" t="s">
        <v>1682</v>
      </c>
      <c r="AB173" s="44" t="s">
        <v>1683</v>
      </c>
    </row>
    <row r="174" spans="1:28" ht="15.75" customHeight="1">
      <c r="A174" s="71"/>
      <c r="B174" s="66" t="str">
        <f t="shared" si="11"/>
        <v/>
      </c>
      <c r="C174" s="71"/>
      <c r="D174" s="66" t="str">
        <f t="shared" si="12"/>
        <v/>
      </c>
      <c r="E174" s="71"/>
      <c r="F174" s="66" t="str">
        <f t="shared" si="10"/>
        <v/>
      </c>
      <c r="G174" s="59"/>
      <c r="H174" s="59"/>
      <c r="I174" s="59"/>
      <c r="J174" s="77"/>
      <c r="K174" s="75"/>
      <c r="L174" s="75"/>
      <c r="M174" s="77"/>
      <c r="N174" s="77"/>
      <c r="O174" s="44"/>
      <c r="P174" s="44" t="str">
        <f t="shared" si="2"/>
        <v/>
      </c>
      <c r="Q174" s="44" t="str">
        <f t="shared" si="3"/>
        <v/>
      </c>
      <c r="R174" s="44"/>
      <c r="S174" s="44"/>
      <c r="T174" s="44"/>
      <c r="U174" s="44"/>
      <c r="V174" s="44"/>
      <c r="W174" s="44"/>
      <c r="X174" s="44"/>
      <c r="Y174" s="44"/>
      <c r="Z174" s="44"/>
      <c r="AA174" s="44" t="s">
        <v>1684</v>
      </c>
      <c r="AB174" s="44" t="s">
        <v>1685</v>
      </c>
    </row>
    <row r="175" spans="1:28" ht="15.75" customHeight="1">
      <c r="A175" s="71"/>
      <c r="B175" s="66" t="str">
        <f t="shared" si="11"/>
        <v/>
      </c>
      <c r="C175" s="71"/>
      <c r="D175" s="66" t="str">
        <f t="shared" si="12"/>
        <v/>
      </c>
      <c r="E175" s="71"/>
      <c r="F175" s="66" t="str">
        <f t="shared" si="10"/>
        <v/>
      </c>
      <c r="G175" s="59"/>
      <c r="H175" s="59"/>
      <c r="I175" s="59"/>
      <c r="J175" s="77"/>
      <c r="K175" s="75"/>
      <c r="L175" s="75"/>
      <c r="M175" s="77"/>
      <c r="N175" s="77"/>
      <c r="O175" s="44"/>
      <c r="P175" s="44" t="str">
        <f t="shared" si="2"/>
        <v/>
      </c>
      <c r="Q175" s="44" t="str">
        <f t="shared" si="3"/>
        <v/>
      </c>
      <c r="R175" s="44"/>
      <c r="S175" s="44"/>
      <c r="T175" s="44"/>
      <c r="U175" s="44"/>
      <c r="V175" s="44"/>
      <c r="W175" s="44"/>
      <c r="X175" s="44"/>
      <c r="Y175" s="44"/>
      <c r="Z175" s="44"/>
      <c r="AA175" s="44" t="s">
        <v>1686</v>
      </c>
      <c r="AB175" s="44" t="s">
        <v>1687</v>
      </c>
    </row>
    <row r="176" spans="1:28" ht="15.75" customHeight="1">
      <c r="A176" s="71"/>
      <c r="B176" s="66" t="str">
        <f t="shared" si="11"/>
        <v/>
      </c>
      <c r="C176" s="71"/>
      <c r="D176" s="66" t="str">
        <f t="shared" si="12"/>
        <v/>
      </c>
      <c r="E176" s="71"/>
      <c r="F176" s="66" t="str">
        <f t="shared" si="10"/>
        <v/>
      </c>
      <c r="G176" s="59"/>
      <c r="H176" s="59"/>
      <c r="I176" s="59"/>
      <c r="J176" s="77"/>
      <c r="K176" s="75"/>
      <c r="L176" s="75"/>
      <c r="M176" s="77"/>
      <c r="N176" s="77"/>
      <c r="O176" s="44"/>
      <c r="P176" s="44" t="str">
        <f t="shared" si="2"/>
        <v/>
      </c>
      <c r="Q176" s="44" t="str">
        <f t="shared" si="3"/>
        <v/>
      </c>
      <c r="R176" s="44"/>
      <c r="S176" s="44"/>
      <c r="T176" s="44"/>
      <c r="U176" s="44"/>
      <c r="V176" s="44"/>
      <c r="W176" s="44"/>
      <c r="X176" s="44"/>
      <c r="Y176" s="44"/>
      <c r="Z176" s="44"/>
      <c r="AA176" s="44" t="s">
        <v>1688</v>
      </c>
      <c r="AB176" s="44" t="s">
        <v>1689</v>
      </c>
    </row>
    <row r="177" spans="1:28" ht="15.75" customHeight="1">
      <c r="A177" s="71"/>
      <c r="B177" s="66" t="str">
        <f t="shared" si="11"/>
        <v/>
      </c>
      <c r="C177" s="71"/>
      <c r="D177" s="66" t="str">
        <f t="shared" si="12"/>
        <v/>
      </c>
      <c r="E177" s="71"/>
      <c r="F177" s="66" t="str">
        <f t="shared" si="10"/>
        <v/>
      </c>
      <c r="G177" s="59"/>
      <c r="H177" s="59"/>
      <c r="I177" s="59"/>
      <c r="J177" s="77"/>
      <c r="K177" s="75"/>
      <c r="L177" s="75"/>
      <c r="M177" s="77"/>
      <c r="N177" s="77"/>
      <c r="O177" s="44"/>
      <c r="P177" s="44" t="str">
        <f t="shared" si="2"/>
        <v/>
      </c>
      <c r="Q177" s="44" t="str">
        <f t="shared" si="3"/>
        <v/>
      </c>
      <c r="R177" s="44"/>
      <c r="S177" s="44"/>
      <c r="T177" s="44"/>
      <c r="U177" s="44"/>
      <c r="V177" s="44"/>
      <c r="W177" s="44"/>
      <c r="X177" s="44"/>
      <c r="Y177" s="44"/>
      <c r="Z177" s="44"/>
      <c r="AA177" s="44" t="s">
        <v>1690</v>
      </c>
      <c r="AB177" s="44" t="s">
        <v>1691</v>
      </c>
    </row>
    <row r="178" spans="1:28" ht="15.75" customHeight="1">
      <c r="A178" s="71"/>
      <c r="B178" s="66" t="str">
        <f t="shared" si="11"/>
        <v/>
      </c>
      <c r="C178" s="71"/>
      <c r="D178" s="66" t="str">
        <f t="shared" si="12"/>
        <v/>
      </c>
      <c r="E178" s="71"/>
      <c r="F178" s="66" t="str">
        <f t="shared" si="10"/>
        <v/>
      </c>
      <c r="G178" s="59"/>
      <c r="H178" s="59"/>
      <c r="I178" s="59"/>
      <c r="J178" s="77"/>
      <c r="K178" s="75"/>
      <c r="L178" s="75"/>
      <c r="M178" s="77"/>
      <c r="N178" s="77"/>
      <c r="O178" s="44"/>
      <c r="P178" s="44" t="str">
        <f t="shared" si="2"/>
        <v/>
      </c>
      <c r="Q178" s="44" t="str">
        <f t="shared" si="3"/>
        <v/>
      </c>
      <c r="R178" s="44"/>
      <c r="S178" s="44"/>
      <c r="T178" s="44"/>
      <c r="U178" s="44"/>
      <c r="V178" s="44"/>
      <c r="W178" s="44"/>
      <c r="X178" s="44"/>
      <c r="Y178" s="44"/>
      <c r="Z178" s="44"/>
      <c r="AA178" s="44" t="s">
        <v>1692</v>
      </c>
      <c r="AB178" s="44" t="s">
        <v>1693</v>
      </c>
    </row>
    <row r="179" spans="1:28" ht="15.75" customHeight="1">
      <c r="A179" s="71"/>
      <c r="B179" s="66" t="str">
        <f t="shared" si="11"/>
        <v/>
      </c>
      <c r="C179" s="71"/>
      <c r="D179" s="66" t="str">
        <f t="shared" si="12"/>
        <v/>
      </c>
      <c r="E179" s="71"/>
      <c r="F179" s="66" t="str">
        <f t="shared" si="10"/>
        <v/>
      </c>
      <c r="G179" s="59"/>
      <c r="H179" s="59"/>
      <c r="I179" s="59"/>
      <c r="J179" s="77"/>
      <c r="K179" s="75"/>
      <c r="L179" s="75"/>
      <c r="M179" s="77"/>
      <c r="N179" s="77"/>
      <c r="O179" s="44"/>
      <c r="P179" s="44" t="str">
        <f t="shared" si="2"/>
        <v/>
      </c>
      <c r="Q179" s="44" t="str">
        <f t="shared" si="3"/>
        <v/>
      </c>
      <c r="R179" s="44"/>
      <c r="S179" s="44"/>
      <c r="T179" s="44"/>
      <c r="U179" s="44"/>
      <c r="V179" s="44"/>
      <c r="W179" s="44"/>
      <c r="X179" s="44"/>
      <c r="Y179" s="44"/>
      <c r="Z179" s="44"/>
      <c r="AA179" s="44" t="s">
        <v>1694</v>
      </c>
      <c r="AB179" s="44" t="s">
        <v>1695</v>
      </c>
    </row>
    <row r="180" spans="1:28" ht="15.75" customHeight="1">
      <c r="A180" s="71"/>
      <c r="B180" s="66" t="str">
        <f t="shared" si="11"/>
        <v/>
      </c>
      <c r="C180" s="71"/>
      <c r="D180" s="66" t="str">
        <f t="shared" si="12"/>
        <v/>
      </c>
      <c r="E180" s="71"/>
      <c r="F180" s="66" t="str">
        <f t="shared" si="10"/>
        <v/>
      </c>
      <c r="G180" s="59"/>
      <c r="H180" s="59"/>
      <c r="I180" s="59"/>
      <c r="J180" s="77"/>
      <c r="K180" s="75"/>
      <c r="L180" s="75"/>
      <c r="M180" s="77"/>
      <c r="N180" s="77"/>
      <c r="O180" s="44"/>
      <c r="P180" s="44" t="str">
        <f t="shared" si="2"/>
        <v/>
      </c>
      <c r="Q180" s="44" t="str">
        <f t="shared" si="3"/>
        <v/>
      </c>
      <c r="R180" s="44"/>
      <c r="S180" s="44"/>
      <c r="T180" s="44"/>
      <c r="U180" s="44"/>
      <c r="V180" s="44"/>
      <c r="W180" s="44"/>
      <c r="X180" s="44"/>
      <c r="Y180" s="44"/>
      <c r="Z180" s="44"/>
      <c r="AA180" s="44" t="s">
        <v>1696</v>
      </c>
      <c r="AB180" s="44" t="s">
        <v>1697</v>
      </c>
    </row>
    <row r="181" spans="1:28" ht="15.75" customHeight="1">
      <c r="A181" s="71"/>
      <c r="B181" s="66" t="str">
        <f t="shared" si="11"/>
        <v/>
      </c>
      <c r="C181" s="71"/>
      <c r="D181" s="66" t="str">
        <f t="shared" si="12"/>
        <v/>
      </c>
      <c r="E181" s="71"/>
      <c r="F181" s="66" t="str">
        <f t="shared" ref="F181:F244" si="13">IFERROR(VLOOKUP(E181,$AA$6:$AB$1016,2,FALSE),"")</f>
        <v/>
      </c>
      <c r="G181" s="59"/>
      <c r="H181" s="59"/>
      <c r="I181" s="59"/>
      <c r="J181" s="77"/>
      <c r="K181" s="75"/>
      <c r="L181" s="75"/>
      <c r="M181" s="77"/>
      <c r="N181" s="77"/>
      <c r="O181" s="44"/>
      <c r="P181" s="44" t="str">
        <f t="shared" si="2"/>
        <v/>
      </c>
      <c r="Q181" s="44" t="str">
        <f t="shared" si="3"/>
        <v/>
      </c>
      <c r="R181" s="44"/>
      <c r="S181" s="44"/>
      <c r="T181" s="44"/>
      <c r="U181" s="44"/>
      <c r="V181" s="44"/>
      <c r="W181" s="44"/>
      <c r="X181" s="44"/>
      <c r="Y181" s="44"/>
      <c r="Z181" s="44"/>
      <c r="AA181" s="44" t="s">
        <v>1698</v>
      </c>
      <c r="AB181" s="44" t="s">
        <v>1699</v>
      </c>
    </row>
    <row r="182" spans="1:28" ht="15.75" customHeight="1">
      <c r="A182" s="71"/>
      <c r="B182" s="66" t="str">
        <f t="shared" si="11"/>
        <v/>
      </c>
      <c r="C182" s="71"/>
      <c r="D182" s="66" t="str">
        <f t="shared" si="12"/>
        <v/>
      </c>
      <c r="E182" s="71"/>
      <c r="F182" s="66" t="str">
        <f t="shared" si="13"/>
        <v/>
      </c>
      <c r="G182" s="59"/>
      <c r="H182" s="59"/>
      <c r="I182" s="59"/>
      <c r="J182" s="77"/>
      <c r="K182" s="75"/>
      <c r="L182" s="75"/>
      <c r="M182" s="77"/>
      <c r="N182" s="77"/>
      <c r="O182" s="44"/>
      <c r="P182" s="44" t="str">
        <f t="shared" si="2"/>
        <v/>
      </c>
      <c r="Q182" s="44" t="str">
        <f t="shared" si="3"/>
        <v/>
      </c>
      <c r="R182" s="44"/>
      <c r="S182" s="44"/>
      <c r="T182" s="44"/>
      <c r="U182" s="44"/>
      <c r="V182" s="44"/>
      <c r="W182" s="44"/>
      <c r="X182" s="44"/>
      <c r="Y182" s="44"/>
      <c r="Z182" s="44"/>
      <c r="AA182" s="44" t="s">
        <v>1700</v>
      </c>
      <c r="AB182" s="44" t="s">
        <v>1701</v>
      </c>
    </row>
    <row r="183" spans="1:28" ht="15.75" customHeight="1">
      <c r="A183" s="71"/>
      <c r="B183" s="66" t="str">
        <f t="shared" si="11"/>
        <v/>
      </c>
      <c r="C183" s="71"/>
      <c r="D183" s="66" t="str">
        <f t="shared" si="12"/>
        <v/>
      </c>
      <c r="E183" s="71"/>
      <c r="F183" s="66" t="str">
        <f t="shared" si="13"/>
        <v/>
      </c>
      <c r="G183" s="59"/>
      <c r="H183" s="59"/>
      <c r="I183" s="59"/>
      <c r="J183" s="77"/>
      <c r="K183" s="75"/>
      <c r="L183" s="75"/>
      <c r="M183" s="77"/>
      <c r="N183" s="77"/>
      <c r="O183" s="44"/>
      <c r="P183" s="44" t="str">
        <f t="shared" si="2"/>
        <v/>
      </c>
      <c r="Q183" s="44" t="str">
        <f t="shared" si="3"/>
        <v/>
      </c>
      <c r="R183" s="44"/>
      <c r="S183" s="44"/>
      <c r="T183" s="44"/>
      <c r="U183" s="44"/>
      <c r="V183" s="44"/>
      <c r="W183" s="44"/>
      <c r="X183" s="44"/>
      <c r="Y183" s="44"/>
      <c r="Z183" s="44"/>
      <c r="AA183" s="44" t="s">
        <v>1702</v>
      </c>
      <c r="AB183" s="44" t="s">
        <v>1703</v>
      </c>
    </row>
    <row r="184" spans="1:28" ht="15.75" customHeight="1">
      <c r="A184" s="71"/>
      <c r="B184" s="66" t="str">
        <f t="shared" si="11"/>
        <v/>
      </c>
      <c r="C184" s="71"/>
      <c r="D184" s="66" t="str">
        <f t="shared" si="12"/>
        <v/>
      </c>
      <c r="E184" s="71"/>
      <c r="F184" s="66" t="str">
        <f t="shared" si="13"/>
        <v/>
      </c>
      <c r="G184" s="59"/>
      <c r="H184" s="59"/>
      <c r="I184" s="59"/>
      <c r="J184" s="77"/>
      <c r="K184" s="75"/>
      <c r="L184" s="75"/>
      <c r="M184" s="77"/>
      <c r="N184" s="77"/>
      <c r="O184" s="44"/>
      <c r="P184" s="44" t="str">
        <f t="shared" si="2"/>
        <v/>
      </c>
      <c r="Q184" s="44" t="str">
        <f t="shared" si="3"/>
        <v/>
      </c>
      <c r="R184" s="44"/>
      <c r="S184" s="44"/>
      <c r="T184" s="44"/>
      <c r="U184" s="44"/>
      <c r="V184" s="44"/>
      <c r="W184" s="44"/>
      <c r="X184" s="44"/>
      <c r="Y184" s="44"/>
      <c r="Z184" s="44"/>
      <c r="AA184" s="44" t="s">
        <v>1704</v>
      </c>
      <c r="AB184" s="44" t="s">
        <v>1705</v>
      </c>
    </row>
    <row r="185" spans="1:28" ht="15.75" customHeight="1">
      <c r="A185" s="71"/>
      <c r="B185" s="66" t="str">
        <f t="shared" si="11"/>
        <v/>
      </c>
      <c r="C185" s="71"/>
      <c r="D185" s="66" t="str">
        <f t="shared" si="12"/>
        <v/>
      </c>
      <c r="E185" s="71"/>
      <c r="F185" s="66" t="str">
        <f t="shared" si="13"/>
        <v/>
      </c>
      <c r="G185" s="59"/>
      <c r="H185" s="59"/>
      <c r="I185" s="59"/>
      <c r="J185" s="77"/>
      <c r="K185" s="75"/>
      <c r="L185" s="75"/>
      <c r="M185" s="77"/>
      <c r="N185" s="77"/>
      <c r="O185" s="44"/>
      <c r="P185" s="44" t="str">
        <f t="shared" si="2"/>
        <v/>
      </c>
      <c r="Q185" s="44" t="str">
        <f t="shared" si="3"/>
        <v/>
      </c>
      <c r="R185" s="44"/>
      <c r="S185" s="44"/>
      <c r="T185" s="44"/>
      <c r="U185" s="44"/>
      <c r="V185" s="44"/>
      <c r="W185" s="44"/>
      <c r="X185" s="44"/>
      <c r="Y185" s="44"/>
      <c r="Z185" s="44"/>
      <c r="AA185" s="44" t="s">
        <v>1706</v>
      </c>
      <c r="AB185" s="44" t="s">
        <v>1707</v>
      </c>
    </row>
    <row r="186" spans="1:28" ht="15.75" customHeight="1">
      <c r="A186" s="71"/>
      <c r="B186" s="66" t="str">
        <f t="shared" si="11"/>
        <v/>
      </c>
      <c r="C186" s="71"/>
      <c r="D186" s="66" t="str">
        <f t="shared" si="12"/>
        <v/>
      </c>
      <c r="E186" s="71"/>
      <c r="F186" s="66" t="str">
        <f t="shared" si="13"/>
        <v/>
      </c>
      <c r="G186" s="59"/>
      <c r="H186" s="59"/>
      <c r="I186" s="59"/>
      <c r="J186" s="77"/>
      <c r="K186" s="75"/>
      <c r="L186" s="75"/>
      <c r="M186" s="77"/>
      <c r="N186" s="77"/>
      <c r="O186" s="44"/>
      <c r="P186" s="44" t="str">
        <f t="shared" si="2"/>
        <v/>
      </c>
      <c r="Q186" s="44" t="str">
        <f t="shared" si="3"/>
        <v/>
      </c>
      <c r="R186" s="44"/>
      <c r="S186" s="44"/>
      <c r="T186" s="44"/>
      <c r="U186" s="44"/>
      <c r="V186" s="44"/>
      <c r="W186" s="44"/>
      <c r="X186" s="44"/>
      <c r="Y186" s="44"/>
      <c r="Z186" s="44"/>
      <c r="AA186" s="44" t="s">
        <v>1708</v>
      </c>
      <c r="AB186" s="44" t="s">
        <v>1709</v>
      </c>
    </row>
    <row r="187" spans="1:28" ht="15.75" customHeight="1">
      <c r="A187" s="71"/>
      <c r="B187" s="66" t="str">
        <f t="shared" si="11"/>
        <v/>
      </c>
      <c r="C187" s="71"/>
      <c r="D187" s="66" t="str">
        <f t="shared" si="12"/>
        <v/>
      </c>
      <c r="E187" s="71"/>
      <c r="F187" s="66" t="str">
        <f t="shared" si="13"/>
        <v/>
      </c>
      <c r="G187" s="59"/>
      <c r="H187" s="59"/>
      <c r="I187" s="59"/>
      <c r="J187" s="77"/>
      <c r="K187" s="75"/>
      <c r="L187" s="75"/>
      <c r="M187" s="77"/>
      <c r="N187" s="77"/>
      <c r="O187" s="44"/>
      <c r="P187" s="44" t="str">
        <f t="shared" si="2"/>
        <v/>
      </c>
      <c r="Q187" s="44" t="str">
        <f t="shared" si="3"/>
        <v/>
      </c>
      <c r="R187" s="44"/>
      <c r="S187" s="44"/>
      <c r="T187" s="44"/>
      <c r="U187" s="44"/>
      <c r="V187" s="44"/>
      <c r="W187" s="44"/>
      <c r="X187" s="44"/>
      <c r="Y187" s="44"/>
      <c r="Z187" s="44"/>
      <c r="AA187" s="44" t="s">
        <v>1710</v>
      </c>
      <c r="AB187" s="44" t="s">
        <v>1711</v>
      </c>
    </row>
    <row r="188" spans="1:28" ht="15.75" customHeight="1">
      <c r="A188" s="71"/>
      <c r="B188" s="66" t="str">
        <f t="shared" si="11"/>
        <v/>
      </c>
      <c r="C188" s="71"/>
      <c r="D188" s="66" t="str">
        <f t="shared" si="12"/>
        <v/>
      </c>
      <c r="E188" s="71"/>
      <c r="F188" s="66" t="str">
        <f t="shared" si="13"/>
        <v/>
      </c>
      <c r="G188" s="59"/>
      <c r="H188" s="59"/>
      <c r="I188" s="59"/>
      <c r="J188" s="77"/>
      <c r="K188" s="75"/>
      <c r="L188" s="75"/>
      <c r="M188" s="77"/>
      <c r="N188" s="77"/>
      <c r="O188" s="44"/>
      <c r="P188" s="44" t="str">
        <f t="shared" si="2"/>
        <v/>
      </c>
      <c r="Q188" s="44" t="str">
        <f t="shared" si="3"/>
        <v/>
      </c>
      <c r="R188" s="44"/>
      <c r="S188" s="44"/>
      <c r="T188" s="44"/>
      <c r="U188" s="44"/>
      <c r="V188" s="44"/>
      <c r="W188" s="44"/>
      <c r="X188" s="44"/>
      <c r="Y188" s="44"/>
      <c r="Z188" s="44"/>
      <c r="AA188" s="44" t="s">
        <v>1712</v>
      </c>
      <c r="AB188" s="44" t="s">
        <v>1713</v>
      </c>
    </row>
    <row r="189" spans="1:28" ht="15.75" customHeight="1">
      <c r="A189" s="71"/>
      <c r="B189" s="66" t="str">
        <f t="shared" si="11"/>
        <v/>
      </c>
      <c r="C189" s="71"/>
      <c r="D189" s="66" t="str">
        <f t="shared" si="12"/>
        <v/>
      </c>
      <c r="E189" s="71"/>
      <c r="F189" s="66" t="str">
        <f t="shared" si="13"/>
        <v/>
      </c>
      <c r="G189" s="59"/>
      <c r="H189" s="59"/>
      <c r="I189" s="59"/>
      <c r="J189" s="77"/>
      <c r="K189" s="75"/>
      <c r="L189" s="75"/>
      <c r="M189" s="77"/>
      <c r="N189" s="77"/>
      <c r="O189" s="44"/>
      <c r="P189" s="44" t="str">
        <f t="shared" si="2"/>
        <v/>
      </c>
      <c r="Q189" s="44" t="str">
        <f t="shared" si="3"/>
        <v/>
      </c>
      <c r="R189" s="44"/>
      <c r="S189" s="44"/>
      <c r="T189" s="44"/>
      <c r="U189" s="44"/>
      <c r="V189" s="44"/>
      <c r="W189" s="44"/>
      <c r="X189" s="44"/>
      <c r="Y189" s="44"/>
      <c r="Z189" s="44"/>
      <c r="AA189" s="44" t="s">
        <v>1714</v>
      </c>
      <c r="AB189" s="44" t="s">
        <v>1715</v>
      </c>
    </row>
    <row r="190" spans="1:28" ht="15.75" customHeight="1">
      <c r="A190" s="71"/>
      <c r="B190" s="66" t="str">
        <f t="shared" si="11"/>
        <v/>
      </c>
      <c r="C190" s="71"/>
      <c r="D190" s="66" t="str">
        <f t="shared" si="12"/>
        <v/>
      </c>
      <c r="E190" s="71"/>
      <c r="F190" s="66" t="str">
        <f t="shared" si="13"/>
        <v/>
      </c>
      <c r="G190" s="59"/>
      <c r="H190" s="59"/>
      <c r="I190" s="59"/>
      <c r="J190" s="77"/>
      <c r="K190" s="75"/>
      <c r="L190" s="75"/>
      <c r="M190" s="77"/>
      <c r="N190" s="77"/>
      <c r="O190" s="44"/>
      <c r="P190" s="44" t="str">
        <f t="shared" si="2"/>
        <v/>
      </c>
      <c r="Q190" s="44" t="str">
        <f t="shared" si="3"/>
        <v/>
      </c>
      <c r="R190" s="44"/>
      <c r="S190" s="44"/>
      <c r="T190" s="44"/>
      <c r="U190" s="44"/>
      <c r="V190" s="44"/>
      <c r="W190" s="44"/>
      <c r="X190" s="44"/>
      <c r="Y190" s="44"/>
      <c r="Z190" s="44"/>
      <c r="AA190" s="44" t="s">
        <v>1716</v>
      </c>
      <c r="AB190" s="44" t="s">
        <v>1717</v>
      </c>
    </row>
    <row r="191" spans="1:28" ht="15.75" customHeight="1">
      <c r="A191" s="71"/>
      <c r="B191" s="66" t="str">
        <f t="shared" si="11"/>
        <v/>
      </c>
      <c r="C191" s="71"/>
      <c r="D191" s="66" t="str">
        <f t="shared" si="12"/>
        <v/>
      </c>
      <c r="E191" s="71"/>
      <c r="F191" s="66" t="str">
        <f t="shared" si="13"/>
        <v/>
      </c>
      <c r="G191" s="59"/>
      <c r="H191" s="59"/>
      <c r="I191" s="59"/>
      <c r="J191" s="77"/>
      <c r="K191" s="75"/>
      <c r="L191" s="75"/>
      <c r="M191" s="77"/>
      <c r="N191" s="77"/>
      <c r="O191" s="44"/>
      <c r="P191" s="44" t="str">
        <f t="shared" si="2"/>
        <v/>
      </c>
      <c r="Q191" s="44" t="str">
        <f t="shared" si="3"/>
        <v/>
      </c>
      <c r="R191" s="44"/>
      <c r="S191" s="44"/>
      <c r="T191" s="44"/>
      <c r="U191" s="44"/>
      <c r="V191" s="44"/>
      <c r="W191" s="44"/>
      <c r="X191" s="44"/>
      <c r="Y191" s="44"/>
      <c r="Z191" s="44"/>
      <c r="AA191" s="44" t="s">
        <v>1718</v>
      </c>
      <c r="AB191" s="44" t="s">
        <v>1719</v>
      </c>
    </row>
    <row r="192" spans="1:28" ht="15.75" customHeight="1">
      <c r="A192" s="71"/>
      <c r="B192" s="66" t="str">
        <f t="shared" si="11"/>
        <v/>
      </c>
      <c r="C192" s="71"/>
      <c r="D192" s="66" t="str">
        <f t="shared" si="12"/>
        <v/>
      </c>
      <c r="E192" s="71"/>
      <c r="F192" s="66" t="str">
        <f t="shared" si="13"/>
        <v/>
      </c>
      <c r="G192" s="59"/>
      <c r="H192" s="59"/>
      <c r="I192" s="59"/>
      <c r="J192" s="77"/>
      <c r="K192" s="75"/>
      <c r="L192" s="75"/>
      <c r="M192" s="77"/>
      <c r="N192" s="77"/>
      <c r="O192" s="44"/>
      <c r="P192" s="44" t="str">
        <f t="shared" si="2"/>
        <v/>
      </c>
      <c r="Q192" s="44" t="str">
        <f t="shared" si="3"/>
        <v/>
      </c>
      <c r="R192" s="44"/>
      <c r="S192" s="44"/>
      <c r="T192" s="44"/>
      <c r="U192" s="44"/>
      <c r="V192" s="44"/>
      <c r="W192" s="44"/>
      <c r="X192" s="44"/>
      <c r="Y192" s="44"/>
      <c r="Z192" s="44"/>
      <c r="AA192" s="44" t="s">
        <v>1720</v>
      </c>
      <c r="AB192" s="44" t="s">
        <v>1721</v>
      </c>
    </row>
    <row r="193" spans="1:28" ht="15.75" customHeight="1">
      <c r="A193" s="71"/>
      <c r="B193" s="66" t="str">
        <f t="shared" si="11"/>
        <v/>
      </c>
      <c r="C193" s="71"/>
      <c r="D193" s="66" t="str">
        <f t="shared" si="12"/>
        <v/>
      </c>
      <c r="E193" s="71"/>
      <c r="F193" s="66" t="str">
        <f t="shared" si="13"/>
        <v/>
      </c>
      <c r="G193" s="59"/>
      <c r="H193" s="59"/>
      <c r="I193" s="59"/>
      <c r="J193" s="77"/>
      <c r="K193" s="75"/>
      <c r="L193" s="75"/>
      <c r="M193" s="77"/>
      <c r="N193" s="77"/>
      <c r="O193" s="44"/>
      <c r="P193" s="44" t="str">
        <f t="shared" si="2"/>
        <v/>
      </c>
      <c r="Q193" s="44" t="str">
        <f t="shared" si="3"/>
        <v/>
      </c>
      <c r="R193" s="44"/>
      <c r="S193" s="44"/>
      <c r="T193" s="44"/>
      <c r="U193" s="44"/>
      <c r="V193" s="44"/>
      <c r="W193" s="44"/>
      <c r="X193" s="44"/>
      <c r="Y193" s="44"/>
      <c r="Z193" s="44"/>
      <c r="AA193" s="44" t="s">
        <v>1722</v>
      </c>
      <c r="AB193" s="44" t="s">
        <v>1723</v>
      </c>
    </row>
    <row r="194" spans="1:28" ht="15.75" customHeight="1">
      <c r="A194" s="71"/>
      <c r="B194" s="66" t="str">
        <f t="shared" si="11"/>
        <v/>
      </c>
      <c r="C194" s="71"/>
      <c r="D194" s="66" t="str">
        <f t="shared" si="12"/>
        <v/>
      </c>
      <c r="E194" s="71"/>
      <c r="F194" s="66" t="str">
        <f t="shared" si="13"/>
        <v/>
      </c>
      <c r="G194" s="59"/>
      <c r="H194" s="59"/>
      <c r="I194" s="59"/>
      <c r="J194" s="77"/>
      <c r="K194" s="75"/>
      <c r="L194" s="75"/>
      <c r="M194" s="77"/>
      <c r="N194" s="77"/>
      <c r="O194" s="44"/>
      <c r="P194" s="44" t="str">
        <f t="shared" si="2"/>
        <v/>
      </c>
      <c r="Q194" s="44" t="str">
        <f t="shared" si="3"/>
        <v/>
      </c>
      <c r="R194" s="44"/>
      <c r="S194" s="44"/>
      <c r="T194" s="44"/>
      <c r="U194" s="44"/>
      <c r="V194" s="44"/>
      <c r="W194" s="44"/>
      <c r="X194" s="44"/>
      <c r="Y194" s="44"/>
      <c r="Z194" s="44"/>
      <c r="AA194" s="44" t="s">
        <v>1724</v>
      </c>
      <c r="AB194" s="44" t="s">
        <v>1725</v>
      </c>
    </row>
    <row r="195" spans="1:28" ht="15.75" customHeight="1">
      <c r="A195" s="71"/>
      <c r="B195" s="66" t="str">
        <f t="shared" ref="B195:B258" si="14">IFERROR(VLOOKUP(A195,$R$6:$S$23,2,FALSE),"")</f>
        <v/>
      </c>
      <c r="C195" s="71"/>
      <c r="D195" s="66" t="str">
        <f t="shared" ref="D195:D258" si="15">IFERROR(VLOOKUP(C195,$U$5:$W$127,2,FALSE),"")</f>
        <v/>
      </c>
      <c r="E195" s="71"/>
      <c r="F195" s="66" t="str">
        <f t="shared" si="13"/>
        <v/>
      </c>
      <c r="G195" s="59"/>
      <c r="H195" s="59"/>
      <c r="I195" s="59"/>
      <c r="J195" s="77"/>
      <c r="K195" s="75"/>
      <c r="L195" s="75"/>
      <c r="M195" s="77"/>
      <c r="N195" s="77"/>
      <c r="O195" s="44"/>
      <c r="P195" s="44" t="str">
        <f t="shared" si="2"/>
        <v/>
      </c>
      <c r="Q195" s="44" t="str">
        <f t="shared" si="3"/>
        <v/>
      </c>
      <c r="R195" s="44"/>
      <c r="S195" s="44"/>
      <c r="T195" s="44"/>
      <c r="U195" s="44"/>
      <c r="V195" s="44"/>
      <c r="W195" s="44"/>
      <c r="X195" s="44"/>
      <c r="Y195" s="44"/>
      <c r="Z195" s="44"/>
      <c r="AA195" s="44" t="s">
        <v>1726</v>
      </c>
      <c r="AB195" s="44" t="s">
        <v>1727</v>
      </c>
    </row>
    <row r="196" spans="1:28" ht="15.75" customHeight="1">
      <c r="A196" s="71"/>
      <c r="B196" s="66" t="str">
        <f t="shared" si="14"/>
        <v/>
      </c>
      <c r="C196" s="71"/>
      <c r="D196" s="66" t="str">
        <f t="shared" si="15"/>
        <v/>
      </c>
      <c r="E196" s="71"/>
      <c r="F196" s="66" t="str">
        <f t="shared" si="13"/>
        <v/>
      </c>
      <c r="G196" s="59"/>
      <c r="H196" s="59"/>
      <c r="I196" s="59"/>
      <c r="J196" s="77"/>
      <c r="K196" s="75"/>
      <c r="L196" s="75"/>
      <c r="M196" s="77"/>
      <c r="N196" s="77"/>
      <c r="O196" s="44"/>
      <c r="P196" s="44" t="str">
        <f t="shared" si="2"/>
        <v/>
      </c>
      <c r="Q196" s="44" t="str">
        <f t="shared" si="3"/>
        <v/>
      </c>
      <c r="R196" s="44"/>
      <c r="S196" s="44"/>
      <c r="T196" s="44"/>
      <c r="U196" s="44"/>
      <c r="V196" s="44"/>
      <c r="W196" s="44"/>
      <c r="X196" s="44"/>
      <c r="Y196" s="44"/>
      <c r="Z196" s="44"/>
      <c r="AA196" s="44" t="s">
        <v>1728</v>
      </c>
      <c r="AB196" s="44" t="s">
        <v>1729</v>
      </c>
    </row>
    <row r="197" spans="1:28" ht="15.75" customHeight="1">
      <c r="A197" s="71"/>
      <c r="B197" s="66" t="str">
        <f t="shared" si="14"/>
        <v/>
      </c>
      <c r="C197" s="71"/>
      <c r="D197" s="66" t="str">
        <f t="shared" si="15"/>
        <v/>
      </c>
      <c r="E197" s="71"/>
      <c r="F197" s="66" t="str">
        <f t="shared" si="13"/>
        <v/>
      </c>
      <c r="G197" s="59"/>
      <c r="H197" s="59"/>
      <c r="I197" s="59"/>
      <c r="J197" s="77"/>
      <c r="K197" s="75"/>
      <c r="L197" s="75"/>
      <c r="M197" s="77"/>
      <c r="N197" s="77"/>
      <c r="O197" s="44"/>
      <c r="P197" s="44" t="str">
        <f t="shared" si="2"/>
        <v/>
      </c>
      <c r="Q197" s="44" t="str">
        <f t="shared" si="3"/>
        <v/>
      </c>
      <c r="R197" s="44"/>
      <c r="S197" s="44"/>
      <c r="T197" s="44"/>
      <c r="U197" s="44"/>
      <c r="V197" s="44"/>
      <c r="W197" s="44"/>
      <c r="X197" s="44"/>
      <c r="Y197" s="44"/>
      <c r="Z197" s="44"/>
      <c r="AA197" s="44" t="s">
        <v>1730</v>
      </c>
      <c r="AB197" s="44" t="s">
        <v>1731</v>
      </c>
    </row>
    <row r="198" spans="1:28" ht="15.75" customHeight="1">
      <c r="A198" s="71"/>
      <c r="B198" s="66" t="str">
        <f t="shared" si="14"/>
        <v/>
      </c>
      <c r="C198" s="71"/>
      <c r="D198" s="66" t="str">
        <f t="shared" si="15"/>
        <v/>
      </c>
      <c r="E198" s="71"/>
      <c r="F198" s="66" t="str">
        <f t="shared" si="13"/>
        <v/>
      </c>
      <c r="G198" s="59"/>
      <c r="H198" s="59"/>
      <c r="I198" s="59"/>
      <c r="J198" s="77"/>
      <c r="K198" s="75"/>
      <c r="L198" s="75"/>
      <c r="M198" s="77"/>
      <c r="N198" s="77"/>
      <c r="O198" s="44"/>
      <c r="P198" s="44" t="str">
        <f t="shared" si="2"/>
        <v/>
      </c>
      <c r="Q198" s="44" t="str">
        <f t="shared" si="3"/>
        <v/>
      </c>
      <c r="R198" s="44"/>
      <c r="S198" s="44"/>
      <c r="T198" s="44"/>
      <c r="U198" s="44"/>
      <c r="V198" s="44"/>
      <c r="W198" s="44"/>
      <c r="X198" s="44"/>
      <c r="Y198" s="44"/>
      <c r="Z198" s="44"/>
      <c r="AA198" s="44" t="s">
        <v>1732</v>
      </c>
      <c r="AB198" s="44" t="s">
        <v>1733</v>
      </c>
    </row>
    <row r="199" spans="1:28" ht="15.75" customHeight="1">
      <c r="A199" s="71"/>
      <c r="B199" s="66" t="str">
        <f t="shared" si="14"/>
        <v/>
      </c>
      <c r="C199" s="71"/>
      <c r="D199" s="66" t="str">
        <f t="shared" si="15"/>
        <v/>
      </c>
      <c r="E199" s="71"/>
      <c r="F199" s="66" t="str">
        <f t="shared" si="13"/>
        <v/>
      </c>
      <c r="G199" s="59"/>
      <c r="H199" s="59"/>
      <c r="I199" s="59"/>
      <c r="J199" s="77"/>
      <c r="K199" s="75"/>
      <c r="L199" s="75"/>
      <c r="M199" s="77"/>
      <c r="N199" s="77"/>
      <c r="O199" s="44"/>
      <c r="P199" s="44" t="str">
        <f t="shared" si="2"/>
        <v/>
      </c>
      <c r="Q199" s="44" t="str">
        <f t="shared" si="3"/>
        <v/>
      </c>
      <c r="R199" s="44"/>
      <c r="S199" s="44"/>
      <c r="T199" s="44"/>
      <c r="U199" s="44"/>
      <c r="V199" s="44"/>
      <c r="W199" s="44"/>
      <c r="X199" s="44"/>
      <c r="Y199" s="44"/>
      <c r="Z199" s="44"/>
      <c r="AA199" s="44" t="s">
        <v>1734</v>
      </c>
      <c r="AB199" s="44" t="s">
        <v>1735</v>
      </c>
    </row>
    <row r="200" spans="1:28" ht="15.75" customHeight="1">
      <c r="A200" s="71"/>
      <c r="B200" s="66" t="str">
        <f t="shared" si="14"/>
        <v/>
      </c>
      <c r="C200" s="71"/>
      <c r="D200" s="66" t="str">
        <f t="shared" si="15"/>
        <v/>
      </c>
      <c r="E200" s="71"/>
      <c r="F200" s="66" t="str">
        <f t="shared" si="13"/>
        <v/>
      </c>
      <c r="G200" s="59"/>
      <c r="H200" s="59"/>
      <c r="I200" s="59"/>
      <c r="J200" s="77"/>
      <c r="K200" s="75"/>
      <c r="L200" s="75"/>
      <c r="M200" s="77"/>
      <c r="N200" s="77"/>
      <c r="O200" s="44"/>
      <c r="P200" s="44" t="str">
        <f t="shared" si="2"/>
        <v/>
      </c>
      <c r="Q200" s="44" t="str">
        <f t="shared" si="3"/>
        <v/>
      </c>
      <c r="R200" s="44"/>
      <c r="S200" s="44"/>
      <c r="T200" s="44"/>
      <c r="U200" s="44"/>
      <c r="V200" s="44"/>
      <c r="W200" s="44"/>
      <c r="X200" s="44"/>
      <c r="Y200" s="44"/>
      <c r="Z200" s="44"/>
      <c r="AA200" s="44" t="s">
        <v>1736</v>
      </c>
      <c r="AB200" s="44" t="s">
        <v>1737</v>
      </c>
    </row>
    <row r="201" spans="1:28" ht="15.75" customHeight="1">
      <c r="A201" s="71"/>
      <c r="B201" s="66" t="str">
        <f t="shared" si="14"/>
        <v/>
      </c>
      <c r="C201" s="71"/>
      <c r="D201" s="66" t="str">
        <f t="shared" si="15"/>
        <v/>
      </c>
      <c r="E201" s="71"/>
      <c r="F201" s="66" t="str">
        <f t="shared" si="13"/>
        <v/>
      </c>
      <c r="G201" s="59"/>
      <c r="H201" s="59"/>
      <c r="I201" s="59"/>
      <c r="J201" s="77"/>
      <c r="K201" s="75"/>
      <c r="L201" s="75"/>
      <c r="M201" s="77"/>
      <c r="N201" s="77"/>
      <c r="O201" s="44"/>
      <c r="P201" s="44" t="str">
        <f t="shared" si="2"/>
        <v/>
      </c>
      <c r="Q201" s="44" t="str">
        <f t="shared" si="3"/>
        <v/>
      </c>
      <c r="R201" s="44"/>
      <c r="S201" s="44"/>
      <c r="T201" s="44"/>
      <c r="U201" s="44"/>
      <c r="V201" s="44"/>
      <c r="W201" s="44"/>
      <c r="X201" s="44"/>
      <c r="Y201" s="44"/>
      <c r="Z201" s="44"/>
      <c r="AA201" s="44" t="s">
        <v>1738</v>
      </c>
      <c r="AB201" s="44" t="s">
        <v>1739</v>
      </c>
    </row>
    <row r="202" spans="1:28" ht="15.75" customHeight="1">
      <c r="A202" s="71"/>
      <c r="B202" s="66" t="str">
        <f t="shared" si="14"/>
        <v/>
      </c>
      <c r="C202" s="71"/>
      <c r="D202" s="66" t="str">
        <f t="shared" si="15"/>
        <v/>
      </c>
      <c r="E202" s="71"/>
      <c r="F202" s="66" t="str">
        <f t="shared" si="13"/>
        <v/>
      </c>
      <c r="G202" s="59"/>
      <c r="H202" s="59"/>
      <c r="I202" s="59"/>
      <c r="J202" s="77"/>
      <c r="K202" s="75"/>
      <c r="L202" s="75"/>
      <c r="M202" s="77"/>
      <c r="N202" s="77"/>
      <c r="O202" s="44"/>
      <c r="P202" s="44" t="str">
        <f t="shared" si="2"/>
        <v/>
      </c>
      <c r="Q202" s="44" t="str">
        <f t="shared" si="3"/>
        <v/>
      </c>
      <c r="R202" s="44"/>
      <c r="S202" s="44"/>
      <c r="T202" s="44"/>
      <c r="U202" s="44"/>
      <c r="V202" s="44"/>
      <c r="W202" s="44"/>
      <c r="X202" s="44"/>
      <c r="Y202" s="44"/>
      <c r="Z202" s="44"/>
      <c r="AA202" s="44" t="s">
        <v>1740</v>
      </c>
      <c r="AB202" s="44" t="s">
        <v>1741</v>
      </c>
    </row>
    <row r="203" spans="1:28" ht="15.75" customHeight="1">
      <c r="A203" s="71"/>
      <c r="B203" s="66" t="str">
        <f t="shared" si="14"/>
        <v/>
      </c>
      <c r="C203" s="71"/>
      <c r="D203" s="66" t="str">
        <f t="shared" si="15"/>
        <v/>
      </c>
      <c r="E203" s="71"/>
      <c r="F203" s="66" t="str">
        <f t="shared" si="13"/>
        <v/>
      </c>
      <c r="G203" s="59"/>
      <c r="H203" s="59"/>
      <c r="I203" s="59"/>
      <c r="J203" s="77"/>
      <c r="K203" s="75"/>
      <c r="L203" s="75"/>
      <c r="M203" s="77"/>
      <c r="N203" s="77"/>
      <c r="O203" s="44"/>
      <c r="P203" s="44" t="str">
        <f t="shared" si="2"/>
        <v/>
      </c>
      <c r="Q203" s="44" t="str">
        <f t="shared" si="3"/>
        <v/>
      </c>
      <c r="R203" s="44"/>
      <c r="S203" s="44"/>
      <c r="T203" s="44"/>
      <c r="U203" s="44"/>
      <c r="V203" s="44"/>
      <c r="W203" s="44"/>
      <c r="X203" s="44"/>
      <c r="Y203" s="44"/>
      <c r="Z203" s="44"/>
      <c r="AA203" s="44" t="s">
        <v>1742</v>
      </c>
      <c r="AB203" s="44" t="s">
        <v>1743</v>
      </c>
    </row>
    <row r="204" spans="1:28" ht="15.75" customHeight="1">
      <c r="A204" s="71"/>
      <c r="B204" s="66" t="str">
        <f t="shared" si="14"/>
        <v/>
      </c>
      <c r="C204" s="71"/>
      <c r="D204" s="66" t="str">
        <f t="shared" si="15"/>
        <v/>
      </c>
      <c r="E204" s="71"/>
      <c r="F204" s="66" t="str">
        <f t="shared" si="13"/>
        <v/>
      </c>
      <c r="G204" s="59"/>
      <c r="H204" s="59"/>
      <c r="I204" s="59"/>
      <c r="J204" s="77"/>
      <c r="K204" s="75"/>
      <c r="L204" s="75"/>
      <c r="M204" s="77"/>
      <c r="N204" s="77"/>
      <c r="O204" s="44"/>
      <c r="P204" s="44" t="str">
        <f t="shared" si="2"/>
        <v/>
      </c>
      <c r="Q204" s="44" t="str">
        <f t="shared" si="3"/>
        <v/>
      </c>
      <c r="R204" s="44"/>
      <c r="S204" s="44"/>
      <c r="T204" s="44"/>
      <c r="U204" s="44"/>
      <c r="V204" s="44"/>
      <c r="W204" s="44"/>
      <c r="X204" s="44"/>
      <c r="Y204" s="44"/>
      <c r="Z204" s="44"/>
      <c r="AA204" s="44" t="s">
        <v>1744</v>
      </c>
      <c r="AB204" s="44" t="s">
        <v>1745</v>
      </c>
    </row>
    <row r="205" spans="1:28" ht="15.75" customHeight="1">
      <c r="A205" s="71"/>
      <c r="B205" s="66" t="str">
        <f t="shared" si="14"/>
        <v/>
      </c>
      <c r="C205" s="71"/>
      <c r="D205" s="66" t="str">
        <f t="shared" si="15"/>
        <v/>
      </c>
      <c r="E205" s="71"/>
      <c r="F205" s="66" t="str">
        <f t="shared" si="13"/>
        <v/>
      </c>
      <c r="G205" s="59"/>
      <c r="H205" s="59"/>
      <c r="I205" s="59"/>
      <c r="J205" s="77"/>
      <c r="K205" s="75"/>
      <c r="L205" s="75"/>
      <c r="M205" s="77"/>
      <c r="N205" s="77"/>
      <c r="O205" s="44"/>
      <c r="P205" s="44" t="str">
        <f t="shared" si="2"/>
        <v/>
      </c>
      <c r="Q205" s="44" t="str">
        <f t="shared" si="3"/>
        <v/>
      </c>
      <c r="R205" s="44"/>
      <c r="S205" s="44"/>
      <c r="T205" s="44"/>
      <c r="U205" s="44"/>
      <c r="V205" s="44"/>
      <c r="W205" s="44"/>
      <c r="X205" s="44"/>
      <c r="Y205" s="44"/>
      <c r="Z205" s="44"/>
      <c r="AA205" s="44" t="s">
        <v>1746</v>
      </c>
      <c r="AB205" s="44" t="s">
        <v>1747</v>
      </c>
    </row>
    <row r="206" spans="1:28" ht="15.75" customHeight="1">
      <c r="A206" s="71"/>
      <c r="B206" s="66" t="str">
        <f t="shared" si="14"/>
        <v/>
      </c>
      <c r="C206" s="71"/>
      <c r="D206" s="66" t="str">
        <f t="shared" si="15"/>
        <v/>
      </c>
      <c r="E206" s="71"/>
      <c r="F206" s="66" t="str">
        <f t="shared" si="13"/>
        <v/>
      </c>
      <c r="G206" s="59"/>
      <c r="H206" s="59"/>
      <c r="I206" s="59"/>
      <c r="J206" s="77"/>
      <c r="K206" s="75"/>
      <c r="L206" s="75"/>
      <c r="M206" s="77"/>
      <c r="N206" s="77"/>
      <c r="O206" s="44"/>
      <c r="P206" s="44" t="str">
        <f t="shared" si="2"/>
        <v/>
      </c>
      <c r="Q206" s="44" t="str">
        <f t="shared" si="3"/>
        <v/>
      </c>
      <c r="R206" s="44"/>
      <c r="S206" s="44"/>
      <c r="T206" s="44"/>
      <c r="U206" s="44"/>
      <c r="V206" s="44"/>
      <c r="W206" s="44"/>
      <c r="X206" s="44"/>
      <c r="Y206" s="44"/>
      <c r="Z206" s="44"/>
      <c r="AA206" s="44" t="s">
        <v>1748</v>
      </c>
      <c r="AB206" s="44" t="s">
        <v>1749</v>
      </c>
    </row>
    <row r="207" spans="1:28" ht="15.75" customHeight="1">
      <c r="A207" s="71"/>
      <c r="B207" s="66" t="str">
        <f t="shared" si="14"/>
        <v/>
      </c>
      <c r="C207" s="71"/>
      <c r="D207" s="66" t="str">
        <f t="shared" si="15"/>
        <v/>
      </c>
      <c r="E207" s="71"/>
      <c r="F207" s="66" t="str">
        <f t="shared" si="13"/>
        <v/>
      </c>
      <c r="G207" s="59"/>
      <c r="H207" s="59"/>
      <c r="I207" s="59"/>
      <c r="J207" s="77"/>
      <c r="K207" s="75"/>
      <c r="L207" s="75"/>
      <c r="M207" s="77"/>
      <c r="N207" s="77"/>
      <c r="O207" s="44"/>
      <c r="P207" s="44" t="str">
        <f t="shared" si="2"/>
        <v/>
      </c>
      <c r="Q207" s="44" t="str">
        <f t="shared" si="3"/>
        <v/>
      </c>
      <c r="R207" s="44"/>
      <c r="S207" s="44"/>
      <c r="T207" s="44"/>
      <c r="U207" s="44"/>
      <c r="V207" s="44"/>
      <c r="W207" s="44"/>
      <c r="X207" s="44"/>
      <c r="Y207" s="44"/>
      <c r="Z207" s="44"/>
      <c r="AA207" s="44" t="s">
        <v>1750</v>
      </c>
      <c r="AB207" s="44" t="s">
        <v>1751</v>
      </c>
    </row>
    <row r="208" spans="1:28" ht="15.75" customHeight="1">
      <c r="A208" s="71"/>
      <c r="B208" s="66" t="str">
        <f t="shared" si="14"/>
        <v/>
      </c>
      <c r="C208" s="71"/>
      <c r="D208" s="66" t="str">
        <f t="shared" si="15"/>
        <v/>
      </c>
      <c r="E208" s="71"/>
      <c r="F208" s="66" t="str">
        <f t="shared" si="13"/>
        <v/>
      </c>
      <c r="G208" s="59"/>
      <c r="H208" s="59"/>
      <c r="I208" s="59"/>
      <c r="J208" s="77"/>
      <c r="K208" s="75"/>
      <c r="L208" s="75"/>
      <c r="M208" s="77"/>
      <c r="N208" s="77"/>
      <c r="O208" s="44"/>
      <c r="P208" s="44" t="str">
        <f t="shared" si="2"/>
        <v/>
      </c>
      <c r="Q208" s="44" t="str">
        <f t="shared" si="3"/>
        <v/>
      </c>
      <c r="R208" s="44"/>
      <c r="S208" s="44"/>
      <c r="T208" s="44"/>
      <c r="U208" s="44"/>
      <c r="V208" s="44"/>
      <c r="W208" s="44"/>
      <c r="X208" s="44"/>
      <c r="Y208" s="44"/>
      <c r="Z208" s="44"/>
      <c r="AA208" s="44" t="s">
        <v>1752</v>
      </c>
      <c r="AB208" s="44" t="s">
        <v>1753</v>
      </c>
    </row>
    <row r="209" spans="1:28" ht="15.75" customHeight="1">
      <c r="A209" s="71"/>
      <c r="B209" s="66" t="str">
        <f t="shared" si="14"/>
        <v/>
      </c>
      <c r="C209" s="71"/>
      <c r="D209" s="66" t="str">
        <f t="shared" si="15"/>
        <v/>
      </c>
      <c r="E209" s="71"/>
      <c r="F209" s="66" t="str">
        <f t="shared" si="13"/>
        <v/>
      </c>
      <c r="G209" s="59"/>
      <c r="H209" s="59"/>
      <c r="I209" s="59"/>
      <c r="J209" s="77"/>
      <c r="K209" s="75"/>
      <c r="L209" s="75"/>
      <c r="M209" s="77"/>
      <c r="N209" s="77"/>
      <c r="O209" s="44"/>
      <c r="P209" s="44" t="str">
        <f t="shared" si="2"/>
        <v/>
      </c>
      <c r="Q209" s="44" t="str">
        <f t="shared" si="3"/>
        <v/>
      </c>
      <c r="R209" s="44"/>
      <c r="S209" s="44"/>
      <c r="T209" s="44"/>
      <c r="U209" s="44"/>
      <c r="V209" s="44"/>
      <c r="W209" s="44"/>
      <c r="X209" s="44"/>
      <c r="Y209" s="44"/>
      <c r="Z209" s="44"/>
      <c r="AA209" s="44" t="s">
        <v>1754</v>
      </c>
      <c r="AB209" s="44" t="s">
        <v>1755</v>
      </c>
    </row>
    <row r="210" spans="1:28" ht="15.75" customHeight="1">
      <c r="A210" s="71"/>
      <c r="B210" s="66" t="str">
        <f t="shared" si="14"/>
        <v/>
      </c>
      <c r="C210" s="71"/>
      <c r="D210" s="66" t="str">
        <f t="shared" si="15"/>
        <v/>
      </c>
      <c r="E210" s="71"/>
      <c r="F210" s="66" t="str">
        <f t="shared" si="13"/>
        <v/>
      </c>
      <c r="G210" s="59"/>
      <c r="H210" s="59"/>
      <c r="I210" s="59"/>
      <c r="J210" s="77"/>
      <c r="K210" s="75"/>
      <c r="L210" s="75"/>
      <c r="M210" s="77"/>
      <c r="N210" s="77"/>
      <c r="O210" s="44"/>
      <c r="P210" s="44" t="str">
        <f t="shared" si="2"/>
        <v/>
      </c>
      <c r="Q210" s="44" t="str">
        <f t="shared" si="3"/>
        <v/>
      </c>
      <c r="R210" s="44"/>
      <c r="S210" s="44"/>
      <c r="T210" s="44"/>
      <c r="U210" s="44"/>
      <c r="V210" s="44"/>
      <c r="W210" s="44"/>
      <c r="X210" s="44"/>
      <c r="Y210" s="44"/>
      <c r="Z210" s="44"/>
      <c r="AA210" s="44" t="s">
        <v>1756</v>
      </c>
      <c r="AB210" s="44" t="s">
        <v>1757</v>
      </c>
    </row>
    <row r="211" spans="1:28" ht="15.75" customHeight="1">
      <c r="A211" s="71"/>
      <c r="B211" s="66" t="str">
        <f t="shared" si="14"/>
        <v/>
      </c>
      <c r="C211" s="71"/>
      <c r="D211" s="66" t="str">
        <f t="shared" si="15"/>
        <v/>
      </c>
      <c r="E211" s="71"/>
      <c r="F211" s="66" t="str">
        <f t="shared" si="13"/>
        <v/>
      </c>
      <c r="G211" s="59"/>
      <c r="H211" s="59"/>
      <c r="I211" s="59"/>
      <c r="J211" s="77"/>
      <c r="K211" s="75"/>
      <c r="L211" s="75"/>
      <c r="M211" s="77"/>
      <c r="N211" s="77"/>
      <c r="O211" s="44"/>
      <c r="P211" s="44" t="str">
        <f t="shared" si="2"/>
        <v/>
      </c>
      <c r="Q211" s="44" t="str">
        <f t="shared" si="3"/>
        <v/>
      </c>
      <c r="R211" s="44"/>
      <c r="S211" s="44"/>
      <c r="T211" s="44"/>
      <c r="U211" s="44"/>
      <c r="V211" s="44"/>
      <c r="W211" s="44"/>
      <c r="X211" s="44"/>
      <c r="Y211" s="44"/>
      <c r="Z211" s="44"/>
      <c r="AA211" s="44" t="s">
        <v>1758</v>
      </c>
      <c r="AB211" s="44" t="s">
        <v>1759</v>
      </c>
    </row>
    <row r="212" spans="1:28" ht="15.75" customHeight="1">
      <c r="A212" s="71"/>
      <c r="B212" s="66" t="str">
        <f t="shared" si="14"/>
        <v/>
      </c>
      <c r="C212" s="71"/>
      <c r="D212" s="66" t="str">
        <f t="shared" si="15"/>
        <v/>
      </c>
      <c r="E212" s="71"/>
      <c r="F212" s="66" t="str">
        <f t="shared" si="13"/>
        <v/>
      </c>
      <c r="G212" s="59"/>
      <c r="H212" s="59"/>
      <c r="I212" s="59"/>
      <c r="J212" s="77"/>
      <c r="K212" s="75"/>
      <c r="L212" s="75"/>
      <c r="M212" s="77"/>
      <c r="N212" s="77"/>
      <c r="O212" s="44"/>
      <c r="P212" s="44" t="str">
        <f t="shared" si="2"/>
        <v/>
      </c>
      <c r="Q212" s="44" t="str">
        <f t="shared" si="3"/>
        <v/>
      </c>
      <c r="R212" s="44"/>
      <c r="S212" s="44"/>
      <c r="T212" s="44"/>
      <c r="U212" s="44"/>
      <c r="V212" s="44"/>
      <c r="W212" s="44"/>
      <c r="X212" s="44"/>
      <c r="Y212" s="44"/>
      <c r="Z212" s="44"/>
      <c r="AA212" s="44" t="s">
        <v>1760</v>
      </c>
      <c r="AB212" s="44" t="s">
        <v>1761</v>
      </c>
    </row>
    <row r="213" spans="1:28" ht="15.75" customHeight="1">
      <c r="A213" s="71"/>
      <c r="B213" s="66" t="str">
        <f t="shared" si="14"/>
        <v/>
      </c>
      <c r="C213" s="71"/>
      <c r="D213" s="66" t="str">
        <f t="shared" si="15"/>
        <v/>
      </c>
      <c r="E213" s="71"/>
      <c r="F213" s="66" t="str">
        <f t="shared" si="13"/>
        <v/>
      </c>
      <c r="G213" s="59"/>
      <c r="H213" s="59"/>
      <c r="I213" s="59"/>
      <c r="J213" s="77"/>
      <c r="K213" s="75"/>
      <c r="L213" s="75"/>
      <c r="M213" s="77"/>
      <c r="N213" s="77"/>
      <c r="O213" s="44"/>
      <c r="P213" s="44" t="str">
        <f t="shared" si="2"/>
        <v/>
      </c>
      <c r="Q213" s="44" t="str">
        <f t="shared" si="3"/>
        <v/>
      </c>
      <c r="R213" s="44"/>
      <c r="S213" s="44"/>
      <c r="T213" s="44"/>
      <c r="U213" s="44"/>
      <c r="V213" s="44"/>
      <c r="W213" s="44"/>
      <c r="X213" s="44"/>
      <c r="Y213" s="44"/>
      <c r="Z213" s="44"/>
      <c r="AA213" s="44" t="s">
        <v>1762</v>
      </c>
      <c r="AB213" s="44" t="s">
        <v>1763</v>
      </c>
    </row>
    <row r="214" spans="1:28" ht="15.75" customHeight="1">
      <c r="A214" s="71"/>
      <c r="B214" s="66" t="str">
        <f t="shared" si="14"/>
        <v/>
      </c>
      <c r="C214" s="71"/>
      <c r="D214" s="66" t="str">
        <f t="shared" si="15"/>
        <v/>
      </c>
      <c r="E214" s="71"/>
      <c r="F214" s="66" t="str">
        <f t="shared" si="13"/>
        <v/>
      </c>
      <c r="G214" s="59"/>
      <c r="H214" s="59"/>
      <c r="I214" s="59"/>
      <c r="J214" s="77"/>
      <c r="K214" s="75"/>
      <c r="L214" s="75"/>
      <c r="M214" s="77"/>
      <c r="N214" s="77"/>
      <c r="O214" s="44"/>
      <c r="P214" s="44" t="str">
        <f t="shared" si="2"/>
        <v/>
      </c>
      <c r="Q214" s="44" t="str">
        <f t="shared" si="3"/>
        <v/>
      </c>
      <c r="R214" s="44"/>
      <c r="S214" s="44"/>
      <c r="T214" s="44"/>
      <c r="U214" s="44"/>
      <c r="V214" s="44"/>
      <c r="W214" s="44"/>
      <c r="X214" s="44"/>
      <c r="Y214" s="44"/>
      <c r="Z214" s="44"/>
      <c r="AA214" s="44" t="s">
        <v>1764</v>
      </c>
      <c r="AB214" s="44" t="s">
        <v>1765</v>
      </c>
    </row>
    <row r="215" spans="1:28" ht="15.75" customHeight="1">
      <c r="A215" s="71"/>
      <c r="B215" s="66" t="str">
        <f t="shared" si="14"/>
        <v/>
      </c>
      <c r="C215" s="71"/>
      <c r="D215" s="66" t="str">
        <f t="shared" si="15"/>
        <v/>
      </c>
      <c r="E215" s="71"/>
      <c r="F215" s="66" t="str">
        <f t="shared" si="13"/>
        <v/>
      </c>
      <c r="G215" s="59"/>
      <c r="H215" s="59"/>
      <c r="I215" s="59"/>
      <c r="J215" s="77"/>
      <c r="K215" s="75"/>
      <c r="L215" s="75"/>
      <c r="M215" s="77"/>
      <c r="N215" s="77"/>
      <c r="O215" s="44"/>
      <c r="P215" s="44" t="str">
        <f t="shared" si="2"/>
        <v/>
      </c>
      <c r="Q215" s="44" t="str">
        <f t="shared" si="3"/>
        <v/>
      </c>
      <c r="R215" s="44"/>
      <c r="S215" s="44"/>
      <c r="T215" s="44"/>
      <c r="U215" s="44"/>
      <c r="V215" s="44"/>
      <c r="W215" s="44"/>
      <c r="X215" s="44"/>
      <c r="Y215" s="44"/>
      <c r="Z215" s="44"/>
      <c r="AA215" s="44" t="s">
        <v>1766</v>
      </c>
      <c r="AB215" s="44" t="s">
        <v>1767</v>
      </c>
    </row>
    <row r="216" spans="1:28" ht="15.75" customHeight="1">
      <c r="A216" s="71"/>
      <c r="B216" s="66" t="str">
        <f t="shared" si="14"/>
        <v/>
      </c>
      <c r="C216" s="71"/>
      <c r="D216" s="66" t="str">
        <f t="shared" si="15"/>
        <v/>
      </c>
      <c r="E216" s="71"/>
      <c r="F216" s="66" t="str">
        <f t="shared" si="13"/>
        <v/>
      </c>
      <c r="G216" s="59"/>
      <c r="H216" s="59"/>
      <c r="I216" s="59"/>
      <c r="J216" s="77"/>
      <c r="K216" s="75"/>
      <c r="L216" s="75"/>
      <c r="M216" s="77"/>
      <c r="N216" s="77"/>
      <c r="O216" s="44"/>
      <c r="P216" s="44" t="str">
        <f t="shared" si="2"/>
        <v/>
      </c>
      <c r="Q216" s="44" t="str">
        <f t="shared" si="3"/>
        <v/>
      </c>
      <c r="R216" s="44"/>
      <c r="S216" s="44"/>
      <c r="T216" s="44"/>
      <c r="U216" s="44"/>
      <c r="V216" s="44"/>
      <c r="W216" s="44"/>
      <c r="X216" s="44"/>
      <c r="Y216" s="44"/>
      <c r="Z216" s="44"/>
      <c r="AA216" s="44" t="s">
        <v>1768</v>
      </c>
      <c r="AB216" s="44" t="s">
        <v>1769</v>
      </c>
    </row>
    <row r="217" spans="1:28" ht="15.75" customHeight="1">
      <c r="A217" s="71"/>
      <c r="B217" s="66" t="str">
        <f t="shared" si="14"/>
        <v/>
      </c>
      <c r="C217" s="71"/>
      <c r="D217" s="66" t="str">
        <f t="shared" si="15"/>
        <v/>
      </c>
      <c r="E217" s="71"/>
      <c r="F217" s="66" t="str">
        <f t="shared" si="13"/>
        <v/>
      </c>
      <c r="G217" s="59"/>
      <c r="H217" s="59"/>
      <c r="I217" s="59"/>
      <c r="J217" s="77"/>
      <c r="K217" s="75"/>
      <c r="L217" s="75"/>
      <c r="M217" s="77"/>
      <c r="N217" s="77"/>
      <c r="O217" s="44"/>
      <c r="P217" s="44" t="str">
        <f t="shared" si="2"/>
        <v/>
      </c>
      <c r="Q217" s="44" t="str">
        <f t="shared" si="3"/>
        <v/>
      </c>
      <c r="R217" s="44"/>
      <c r="S217" s="44"/>
      <c r="T217" s="44"/>
      <c r="U217" s="44"/>
      <c r="V217" s="44"/>
      <c r="W217" s="44"/>
      <c r="X217" s="44"/>
      <c r="Y217" s="44"/>
      <c r="Z217" s="44"/>
      <c r="AA217" s="44" t="s">
        <v>1770</v>
      </c>
      <c r="AB217" s="44" t="s">
        <v>1771</v>
      </c>
    </row>
    <row r="218" spans="1:28" ht="15.75" customHeight="1">
      <c r="A218" s="71"/>
      <c r="B218" s="66" t="str">
        <f t="shared" si="14"/>
        <v/>
      </c>
      <c r="C218" s="71"/>
      <c r="D218" s="66" t="str">
        <f t="shared" si="15"/>
        <v/>
      </c>
      <c r="E218" s="71"/>
      <c r="F218" s="66" t="str">
        <f t="shared" si="13"/>
        <v/>
      </c>
      <c r="G218" s="59"/>
      <c r="H218" s="59"/>
      <c r="I218" s="59"/>
      <c r="J218" s="77"/>
      <c r="K218" s="75"/>
      <c r="L218" s="75"/>
      <c r="M218" s="77"/>
      <c r="N218" s="77"/>
      <c r="O218" s="44"/>
      <c r="P218" s="44" t="str">
        <f t="shared" si="2"/>
        <v/>
      </c>
      <c r="Q218" s="44" t="str">
        <f t="shared" si="3"/>
        <v/>
      </c>
      <c r="R218" s="44"/>
      <c r="S218" s="44"/>
      <c r="T218" s="44"/>
      <c r="U218" s="44"/>
      <c r="V218" s="44"/>
      <c r="W218" s="44"/>
      <c r="X218" s="44"/>
      <c r="Y218" s="44"/>
      <c r="Z218" s="44"/>
      <c r="AA218" s="44" t="s">
        <v>1772</v>
      </c>
      <c r="AB218" s="44" t="s">
        <v>1773</v>
      </c>
    </row>
    <row r="219" spans="1:28" ht="15.75" customHeight="1">
      <c r="A219" s="71"/>
      <c r="B219" s="66" t="str">
        <f t="shared" si="14"/>
        <v/>
      </c>
      <c r="C219" s="71"/>
      <c r="D219" s="66" t="str">
        <f t="shared" si="15"/>
        <v/>
      </c>
      <c r="E219" s="71"/>
      <c r="F219" s="66" t="str">
        <f t="shared" si="13"/>
        <v/>
      </c>
      <c r="G219" s="59"/>
      <c r="H219" s="59"/>
      <c r="I219" s="59"/>
      <c r="J219" s="77"/>
      <c r="K219" s="75"/>
      <c r="L219" s="75"/>
      <c r="M219" s="77"/>
      <c r="N219" s="77"/>
      <c r="O219" s="44"/>
      <c r="P219" s="44" t="str">
        <f t="shared" si="2"/>
        <v/>
      </c>
      <c r="Q219" s="44" t="str">
        <f t="shared" si="3"/>
        <v/>
      </c>
      <c r="R219" s="44"/>
      <c r="S219" s="44"/>
      <c r="T219" s="44"/>
      <c r="U219" s="44"/>
      <c r="V219" s="44"/>
      <c r="W219" s="44"/>
      <c r="X219" s="44"/>
      <c r="Y219" s="44"/>
      <c r="Z219" s="44"/>
      <c r="AA219" s="44" t="s">
        <v>1774</v>
      </c>
      <c r="AB219" s="44" t="s">
        <v>1775</v>
      </c>
    </row>
    <row r="220" spans="1:28" ht="15.75" customHeight="1">
      <c r="A220" s="71"/>
      <c r="B220" s="66" t="str">
        <f t="shared" si="14"/>
        <v/>
      </c>
      <c r="C220" s="71"/>
      <c r="D220" s="66" t="str">
        <f t="shared" si="15"/>
        <v/>
      </c>
      <c r="E220" s="71"/>
      <c r="F220" s="66" t="str">
        <f t="shared" si="13"/>
        <v/>
      </c>
      <c r="G220" s="59"/>
      <c r="H220" s="59"/>
      <c r="I220" s="59"/>
      <c r="J220" s="77"/>
      <c r="K220" s="75"/>
      <c r="L220" s="75"/>
      <c r="M220" s="77"/>
      <c r="N220" s="77"/>
      <c r="O220" s="44"/>
      <c r="P220" s="44" t="str">
        <f t="shared" si="2"/>
        <v/>
      </c>
      <c r="Q220" s="44" t="str">
        <f t="shared" si="3"/>
        <v/>
      </c>
      <c r="R220" s="44"/>
      <c r="S220" s="44"/>
      <c r="T220" s="44"/>
      <c r="U220" s="44"/>
      <c r="V220" s="44"/>
      <c r="W220" s="44"/>
      <c r="X220" s="44"/>
      <c r="Y220" s="44"/>
      <c r="Z220" s="44"/>
      <c r="AA220" s="44" t="s">
        <v>1776</v>
      </c>
      <c r="AB220" s="44" t="s">
        <v>1777</v>
      </c>
    </row>
    <row r="221" spans="1:28" ht="15.75" customHeight="1">
      <c r="A221" s="71"/>
      <c r="B221" s="66" t="str">
        <f t="shared" si="14"/>
        <v/>
      </c>
      <c r="C221" s="71"/>
      <c r="D221" s="66" t="str">
        <f t="shared" si="15"/>
        <v/>
      </c>
      <c r="E221" s="71"/>
      <c r="F221" s="66" t="str">
        <f t="shared" si="13"/>
        <v/>
      </c>
      <c r="G221" s="59"/>
      <c r="H221" s="59"/>
      <c r="I221" s="59"/>
      <c r="J221" s="77"/>
      <c r="K221" s="75"/>
      <c r="L221" s="75"/>
      <c r="M221" s="77"/>
      <c r="N221" s="77"/>
      <c r="O221" s="44"/>
      <c r="P221" s="44" t="str">
        <f t="shared" si="2"/>
        <v/>
      </c>
      <c r="Q221" s="44" t="str">
        <f t="shared" si="3"/>
        <v/>
      </c>
      <c r="R221" s="44"/>
      <c r="S221" s="44"/>
      <c r="T221" s="44"/>
      <c r="U221" s="44"/>
      <c r="V221" s="44"/>
      <c r="W221" s="44"/>
      <c r="X221" s="44"/>
      <c r="Y221" s="44"/>
      <c r="Z221" s="44"/>
      <c r="AA221" s="44" t="s">
        <v>1778</v>
      </c>
      <c r="AB221" s="44" t="s">
        <v>1779</v>
      </c>
    </row>
    <row r="222" spans="1:28" ht="15.75" customHeight="1">
      <c r="A222" s="71"/>
      <c r="B222" s="66" t="str">
        <f t="shared" si="14"/>
        <v/>
      </c>
      <c r="C222" s="71"/>
      <c r="D222" s="66" t="str">
        <f t="shared" si="15"/>
        <v/>
      </c>
      <c r="E222" s="71"/>
      <c r="F222" s="66" t="str">
        <f t="shared" si="13"/>
        <v/>
      </c>
      <c r="G222" s="59"/>
      <c r="H222" s="59"/>
      <c r="I222" s="59"/>
      <c r="J222" s="77"/>
      <c r="K222" s="75"/>
      <c r="L222" s="75"/>
      <c r="M222" s="77"/>
      <c r="N222" s="77"/>
      <c r="O222" s="44"/>
      <c r="P222" s="44" t="str">
        <f t="shared" si="2"/>
        <v/>
      </c>
      <c r="Q222" s="44" t="str">
        <f t="shared" si="3"/>
        <v/>
      </c>
      <c r="R222" s="44"/>
      <c r="S222" s="44"/>
      <c r="T222" s="44"/>
      <c r="U222" s="44"/>
      <c r="V222" s="44"/>
      <c r="W222" s="44"/>
      <c r="X222" s="44"/>
      <c r="Y222" s="44"/>
      <c r="Z222" s="44"/>
      <c r="AA222" s="44" t="s">
        <v>1780</v>
      </c>
      <c r="AB222" s="44" t="s">
        <v>1781</v>
      </c>
    </row>
    <row r="223" spans="1:28" ht="15.75" customHeight="1">
      <c r="A223" s="71"/>
      <c r="B223" s="66" t="str">
        <f t="shared" si="14"/>
        <v/>
      </c>
      <c r="C223" s="71"/>
      <c r="D223" s="66" t="str">
        <f t="shared" si="15"/>
        <v/>
      </c>
      <c r="E223" s="71"/>
      <c r="F223" s="66" t="str">
        <f t="shared" si="13"/>
        <v/>
      </c>
      <c r="G223" s="59"/>
      <c r="H223" s="59"/>
      <c r="I223" s="59"/>
      <c r="J223" s="77"/>
      <c r="K223" s="75"/>
      <c r="L223" s="75"/>
      <c r="M223" s="77"/>
      <c r="N223" s="77"/>
      <c r="O223" s="44"/>
      <c r="P223" s="44" t="str">
        <f t="shared" si="2"/>
        <v/>
      </c>
      <c r="Q223" s="44" t="str">
        <f t="shared" si="3"/>
        <v/>
      </c>
      <c r="R223" s="44"/>
      <c r="S223" s="44"/>
      <c r="T223" s="44"/>
      <c r="U223" s="44"/>
      <c r="V223" s="44"/>
      <c r="W223" s="44"/>
      <c r="X223" s="44"/>
      <c r="Y223" s="44"/>
      <c r="Z223" s="44"/>
      <c r="AA223" s="44" t="s">
        <v>1782</v>
      </c>
      <c r="AB223" s="44" t="s">
        <v>1783</v>
      </c>
    </row>
    <row r="224" spans="1:28" ht="15.75" customHeight="1">
      <c r="A224" s="71"/>
      <c r="B224" s="66" t="str">
        <f t="shared" si="14"/>
        <v/>
      </c>
      <c r="C224" s="71"/>
      <c r="D224" s="66" t="str">
        <f t="shared" si="15"/>
        <v/>
      </c>
      <c r="E224" s="71"/>
      <c r="F224" s="66" t="str">
        <f t="shared" si="13"/>
        <v/>
      </c>
      <c r="G224" s="59"/>
      <c r="H224" s="59"/>
      <c r="I224" s="59"/>
      <c r="J224" s="77"/>
      <c r="K224" s="75"/>
      <c r="L224" s="75"/>
      <c r="M224" s="77"/>
      <c r="N224" s="77"/>
      <c r="O224" s="44"/>
      <c r="P224" s="44" t="str">
        <f t="shared" si="2"/>
        <v/>
      </c>
      <c r="Q224" s="44" t="str">
        <f t="shared" si="3"/>
        <v/>
      </c>
      <c r="R224" s="44"/>
      <c r="S224" s="44"/>
      <c r="T224" s="44"/>
      <c r="U224" s="44"/>
      <c r="V224" s="44"/>
      <c r="W224" s="44"/>
      <c r="X224" s="44"/>
      <c r="Y224" s="44"/>
      <c r="Z224" s="44"/>
      <c r="AA224" s="44" t="s">
        <v>1784</v>
      </c>
      <c r="AB224" s="44" t="s">
        <v>1785</v>
      </c>
    </row>
    <row r="225" spans="1:28" ht="15.75" customHeight="1">
      <c r="A225" s="71"/>
      <c r="B225" s="66" t="str">
        <f t="shared" si="14"/>
        <v/>
      </c>
      <c r="C225" s="71"/>
      <c r="D225" s="66" t="str">
        <f t="shared" si="15"/>
        <v/>
      </c>
      <c r="E225" s="71"/>
      <c r="F225" s="66" t="str">
        <f t="shared" si="13"/>
        <v/>
      </c>
      <c r="G225" s="59"/>
      <c r="H225" s="59"/>
      <c r="I225" s="59"/>
      <c r="J225" s="77"/>
      <c r="K225" s="75"/>
      <c r="L225" s="75"/>
      <c r="M225" s="77"/>
      <c r="N225" s="77"/>
      <c r="O225" s="44"/>
      <c r="P225" s="44" t="str">
        <f t="shared" si="2"/>
        <v/>
      </c>
      <c r="Q225" s="44" t="str">
        <f t="shared" si="3"/>
        <v/>
      </c>
      <c r="R225" s="44"/>
      <c r="S225" s="44"/>
      <c r="T225" s="44"/>
      <c r="U225" s="44"/>
      <c r="V225" s="44"/>
      <c r="W225" s="44"/>
      <c r="X225" s="44"/>
      <c r="Y225" s="44"/>
      <c r="Z225" s="44"/>
      <c r="AA225" s="44" t="s">
        <v>1786</v>
      </c>
      <c r="AB225" s="44" t="s">
        <v>1787</v>
      </c>
    </row>
    <row r="226" spans="1:28" ht="15.75" customHeight="1">
      <c r="A226" s="71"/>
      <c r="B226" s="66" t="str">
        <f t="shared" si="14"/>
        <v/>
      </c>
      <c r="C226" s="71"/>
      <c r="D226" s="66" t="str">
        <f t="shared" si="15"/>
        <v/>
      </c>
      <c r="E226" s="71"/>
      <c r="F226" s="66" t="str">
        <f t="shared" si="13"/>
        <v/>
      </c>
      <c r="G226" s="59"/>
      <c r="H226" s="59"/>
      <c r="I226" s="59"/>
      <c r="J226" s="77"/>
      <c r="K226" s="75"/>
      <c r="L226" s="75"/>
      <c r="M226" s="77"/>
      <c r="N226" s="77"/>
      <c r="O226" s="44"/>
      <c r="P226" s="44" t="str">
        <f t="shared" si="2"/>
        <v/>
      </c>
      <c r="Q226" s="44" t="str">
        <f t="shared" si="3"/>
        <v/>
      </c>
      <c r="R226" s="44"/>
      <c r="S226" s="44"/>
      <c r="T226" s="44"/>
      <c r="U226" s="44"/>
      <c r="V226" s="44"/>
      <c r="W226" s="44"/>
      <c r="X226" s="44"/>
      <c r="Y226" s="44"/>
      <c r="Z226" s="44"/>
      <c r="AA226" s="44" t="s">
        <v>1788</v>
      </c>
      <c r="AB226" s="44" t="s">
        <v>1789</v>
      </c>
    </row>
    <row r="227" spans="1:28" ht="15.75" customHeight="1">
      <c r="A227" s="71"/>
      <c r="B227" s="66" t="str">
        <f t="shared" si="14"/>
        <v/>
      </c>
      <c r="C227" s="71"/>
      <c r="D227" s="66" t="str">
        <f t="shared" si="15"/>
        <v/>
      </c>
      <c r="E227" s="71"/>
      <c r="F227" s="66" t="str">
        <f t="shared" si="13"/>
        <v/>
      </c>
      <c r="G227" s="59"/>
      <c r="H227" s="59"/>
      <c r="I227" s="59"/>
      <c r="J227" s="77"/>
      <c r="K227" s="75"/>
      <c r="L227" s="75"/>
      <c r="M227" s="77"/>
      <c r="N227" s="77"/>
      <c r="O227" s="44"/>
      <c r="P227" s="44" t="str">
        <f t="shared" si="2"/>
        <v/>
      </c>
      <c r="Q227" s="44" t="str">
        <f t="shared" si="3"/>
        <v/>
      </c>
      <c r="R227" s="44"/>
      <c r="S227" s="44"/>
      <c r="T227" s="44"/>
      <c r="U227" s="44"/>
      <c r="V227" s="44"/>
      <c r="W227" s="44"/>
      <c r="X227" s="44"/>
      <c r="Y227" s="44"/>
      <c r="Z227" s="44"/>
      <c r="AA227" s="44" t="s">
        <v>1790</v>
      </c>
      <c r="AB227" s="44" t="s">
        <v>1791</v>
      </c>
    </row>
    <row r="228" spans="1:28" ht="15.75" customHeight="1">
      <c r="A228" s="71"/>
      <c r="B228" s="66" t="str">
        <f t="shared" si="14"/>
        <v/>
      </c>
      <c r="C228" s="71"/>
      <c r="D228" s="66" t="str">
        <f t="shared" si="15"/>
        <v/>
      </c>
      <c r="E228" s="71"/>
      <c r="F228" s="66" t="str">
        <f t="shared" si="13"/>
        <v/>
      </c>
      <c r="G228" s="59"/>
      <c r="H228" s="59"/>
      <c r="I228" s="59"/>
      <c r="J228" s="77"/>
      <c r="K228" s="75"/>
      <c r="L228" s="75"/>
      <c r="M228" s="77"/>
      <c r="N228" s="77"/>
      <c r="O228" s="44"/>
      <c r="P228" s="44" t="str">
        <f t="shared" si="2"/>
        <v/>
      </c>
      <c r="Q228" s="44" t="str">
        <f t="shared" si="3"/>
        <v/>
      </c>
      <c r="R228" s="44"/>
      <c r="S228" s="44"/>
      <c r="T228" s="44"/>
      <c r="U228" s="44"/>
      <c r="V228" s="44"/>
      <c r="W228" s="44"/>
      <c r="X228" s="44"/>
      <c r="Y228" s="44"/>
      <c r="Z228" s="44"/>
      <c r="AA228" s="44" t="s">
        <v>1792</v>
      </c>
      <c r="AB228" s="44" t="s">
        <v>1793</v>
      </c>
    </row>
    <row r="229" spans="1:28" ht="15.75" customHeight="1">
      <c r="A229" s="71"/>
      <c r="B229" s="66" t="str">
        <f t="shared" si="14"/>
        <v/>
      </c>
      <c r="C229" s="71"/>
      <c r="D229" s="66" t="str">
        <f t="shared" si="15"/>
        <v/>
      </c>
      <c r="E229" s="71"/>
      <c r="F229" s="66" t="str">
        <f t="shared" si="13"/>
        <v/>
      </c>
      <c r="G229" s="59"/>
      <c r="H229" s="59"/>
      <c r="I229" s="59"/>
      <c r="J229" s="77"/>
      <c r="K229" s="75"/>
      <c r="L229" s="75"/>
      <c r="M229" s="77"/>
      <c r="N229" s="77"/>
      <c r="O229" s="44"/>
      <c r="P229" s="44" t="str">
        <f t="shared" si="2"/>
        <v/>
      </c>
      <c r="Q229" s="44" t="str">
        <f t="shared" si="3"/>
        <v/>
      </c>
      <c r="R229" s="44"/>
      <c r="S229" s="44"/>
      <c r="T229" s="44"/>
      <c r="U229" s="44"/>
      <c r="V229" s="44"/>
      <c r="W229" s="44"/>
      <c r="X229" s="44"/>
      <c r="Y229" s="44"/>
      <c r="Z229" s="44"/>
      <c r="AA229" s="44" t="s">
        <v>1794</v>
      </c>
      <c r="AB229" s="44" t="s">
        <v>1795</v>
      </c>
    </row>
    <row r="230" spans="1:28" ht="15.75" customHeight="1">
      <c r="A230" s="71"/>
      <c r="B230" s="66" t="str">
        <f t="shared" si="14"/>
        <v/>
      </c>
      <c r="C230" s="71"/>
      <c r="D230" s="66" t="str">
        <f t="shared" si="15"/>
        <v/>
      </c>
      <c r="E230" s="71"/>
      <c r="F230" s="66" t="str">
        <f t="shared" si="13"/>
        <v/>
      </c>
      <c r="G230" s="59"/>
      <c r="H230" s="59"/>
      <c r="I230" s="59"/>
      <c r="J230" s="77"/>
      <c r="K230" s="75"/>
      <c r="L230" s="75"/>
      <c r="M230" s="77"/>
      <c r="N230" s="77"/>
      <c r="O230" s="44"/>
      <c r="P230" s="44" t="str">
        <f t="shared" si="2"/>
        <v/>
      </c>
      <c r="Q230" s="44" t="str">
        <f t="shared" si="3"/>
        <v/>
      </c>
      <c r="R230" s="44"/>
      <c r="S230" s="44"/>
      <c r="T230" s="44"/>
      <c r="U230" s="44"/>
      <c r="V230" s="44"/>
      <c r="W230" s="44"/>
      <c r="X230" s="44"/>
      <c r="Y230" s="44"/>
      <c r="Z230" s="44"/>
      <c r="AA230" s="44" t="s">
        <v>1796</v>
      </c>
      <c r="AB230" s="44" t="s">
        <v>1797</v>
      </c>
    </row>
    <row r="231" spans="1:28" ht="15.75" customHeight="1">
      <c r="A231" s="71"/>
      <c r="B231" s="66" t="str">
        <f t="shared" si="14"/>
        <v/>
      </c>
      <c r="C231" s="71"/>
      <c r="D231" s="66" t="str">
        <f t="shared" si="15"/>
        <v/>
      </c>
      <c r="E231" s="71"/>
      <c r="F231" s="66" t="str">
        <f t="shared" si="13"/>
        <v/>
      </c>
      <c r="G231" s="59"/>
      <c r="H231" s="59"/>
      <c r="I231" s="59"/>
      <c r="J231" s="77"/>
      <c r="K231" s="75"/>
      <c r="L231" s="75"/>
      <c r="M231" s="77"/>
      <c r="N231" s="77"/>
      <c r="O231" s="44"/>
      <c r="P231" s="44" t="str">
        <f t="shared" si="2"/>
        <v/>
      </c>
      <c r="Q231" s="44" t="str">
        <f t="shared" si="3"/>
        <v/>
      </c>
      <c r="R231" s="44"/>
      <c r="S231" s="44"/>
      <c r="T231" s="44"/>
      <c r="U231" s="44"/>
      <c r="V231" s="44"/>
      <c r="W231" s="44"/>
      <c r="X231" s="44"/>
      <c r="Y231" s="44"/>
      <c r="Z231" s="44"/>
      <c r="AA231" s="44" t="s">
        <v>1798</v>
      </c>
      <c r="AB231" s="44" t="s">
        <v>1799</v>
      </c>
    </row>
    <row r="232" spans="1:28" ht="15.75" customHeight="1">
      <c r="A232" s="71"/>
      <c r="B232" s="66" t="str">
        <f t="shared" si="14"/>
        <v/>
      </c>
      <c r="C232" s="71"/>
      <c r="D232" s="66" t="str">
        <f t="shared" si="15"/>
        <v/>
      </c>
      <c r="E232" s="71"/>
      <c r="F232" s="66" t="str">
        <f t="shared" si="13"/>
        <v/>
      </c>
      <c r="G232" s="59"/>
      <c r="H232" s="59"/>
      <c r="I232" s="59"/>
      <c r="J232" s="77"/>
      <c r="K232" s="75"/>
      <c r="L232" s="75"/>
      <c r="M232" s="77"/>
      <c r="N232" s="77"/>
      <c r="O232" s="44"/>
      <c r="P232" s="44" t="str">
        <f t="shared" si="2"/>
        <v/>
      </c>
      <c r="Q232" s="44" t="str">
        <f t="shared" si="3"/>
        <v/>
      </c>
      <c r="R232" s="44"/>
      <c r="S232" s="44"/>
      <c r="T232" s="44"/>
      <c r="U232" s="44"/>
      <c r="V232" s="44"/>
      <c r="W232" s="44"/>
      <c r="X232" s="44"/>
      <c r="Y232" s="44"/>
      <c r="Z232" s="44"/>
      <c r="AA232" s="44" t="s">
        <v>1800</v>
      </c>
      <c r="AB232" s="44" t="s">
        <v>1801</v>
      </c>
    </row>
    <row r="233" spans="1:28" ht="15.75" customHeight="1">
      <c r="A233" s="71"/>
      <c r="B233" s="66" t="str">
        <f t="shared" si="14"/>
        <v/>
      </c>
      <c r="C233" s="71"/>
      <c r="D233" s="66" t="str">
        <f t="shared" si="15"/>
        <v/>
      </c>
      <c r="E233" s="71"/>
      <c r="F233" s="66" t="str">
        <f t="shared" si="13"/>
        <v/>
      </c>
      <c r="G233" s="59"/>
      <c r="H233" s="59"/>
      <c r="I233" s="59"/>
      <c r="J233" s="77"/>
      <c r="K233" s="75"/>
      <c r="L233" s="75"/>
      <c r="M233" s="77"/>
      <c r="N233" s="77"/>
      <c r="O233" s="44"/>
      <c r="P233" s="44" t="str">
        <f t="shared" si="2"/>
        <v/>
      </c>
      <c r="Q233" s="44" t="str">
        <f t="shared" si="3"/>
        <v/>
      </c>
      <c r="R233" s="44"/>
      <c r="S233" s="44"/>
      <c r="T233" s="44"/>
      <c r="U233" s="44"/>
      <c r="V233" s="44"/>
      <c r="W233" s="44"/>
      <c r="X233" s="44"/>
      <c r="Y233" s="44"/>
      <c r="Z233" s="44"/>
      <c r="AA233" s="44" t="s">
        <v>1802</v>
      </c>
      <c r="AB233" s="44" t="s">
        <v>1803</v>
      </c>
    </row>
    <row r="234" spans="1:28" ht="15.75" customHeight="1">
      <c r="A234" s="71"/>
      <c r="B234" s="66" t="str">
        <f t="shared" si="14"/>
        <v/>
      </c>
      <c r="C234" s="71"/>
      <c r="D234" s="66" t="str">
        <f t="shared" si="15"/>
        <v/>
      </c>
      <c r="E234" s="71"/>
      <c r="F234" s="66" t="str">
        <f t="shared" si="13"/>
        <v/>
      </c>
      <c r="G234" s="59"/>
      <c r="H234" s="59"/>
      <c r="I234" s="59"/>
      <c r="J234" s="77"/>
      <c r="K234" s="75"/>
      <c r="L234" s="75"/>
      <c r="M234" s="77"/>
      <c r="N234" s="77"/>
      <c r="O234" s="44"/>
      <c r="P234" s="44" t="str">
        <f t="shared" si="2"/>
        <v/>
      </c>
      <c r="Q234" s="44" t="str">
        <f t="shared" si="3"/>
        <v/>
      </c>
      <c r="R234" s="44"/>
      <c r="S234" s="44"/>
      <c r="T234" s="44"/>
      <c r="U234" s="44"/>
      <c r="V234" s="44"/>
      <c r="W234" s="44"/>
      <c r="X234" s="44"/>
      <c r="Y234" s="44"/>
      <c r="Z234" s="44"/>
      <c r="AA234" s="44" t="s">
        <v>1804</v>
      </c>
      <c r="AB234" s="44" t="s">
        <v>1805</v>
      </c>
    </row>
    <row r="235" spans="1:28" ht="15.75" customHeight="1">
      <c r="A235" s="71"/>
      <c r="B235" s="66" t="str">
        <f t="shared" si="14"/>
        <v/>
      </c>
      <c r="C235" s="71"/>
      <c r="D235" s="66" t="str">
        <f t="shared" si="15"/>
        <v/>
      </c>
      <c r="E235" s="71"/>
      <c r="F235" s="66" t="str">
        <f t="shared" si="13"/>
        <v/>
      </c>
      <c r="G235" s="59"/>
      <c r="H235" s="59"/>
      <c r="I235" s="59"/>
      <c r="J235" s="77"/>
      <c r="K235" s="75"/>
      <c r="L235" s="75"/>
      <c r="M235" s="77"/>
      <c r="N235" s="77"/>
      <c r="O235" s="44"/>
      <c r="P235" s="44" t="str">
        <f t="shared" si="2"/>
        <v/>
      </c>
      <c r="Q235" s="44" t="str">
        <f t="shared" si="3"/>
        <v/>
      </c>
      <c r="R235" s="44"/>
      <c r="S235" s="44"/>
      <c r="T235" s="44"/>
      <c r="U235" s="44"/>
      <c r="V235" s="44"/>
      <c r="W235" s="44"/>
      <c r="X235" s="44"/>
      <c r="Y235" s="44"/>
      <c r="Z235" s="44"/>
      <c r="AA235" s="44" t="s">
        <v>1806</v>
      </c>
      <c r="AB235" s="44" t="s">
        <v>1807</v>
      </c>
    </row>
    <row r="236" spans="1:28" ht="15.75" customHeight="1">
      <c r="A236" s="71"/>
      <c r="B236" s="66" t="str">
        <f t="shared" si="14"/>
        <v/>
      </c>
      <c r="C236" s="71"/>
      <c r="D236" s="66" t="str">
        <f t="shared" si="15"/>
        <v/>
      </c>
      <c r="E236" s="71"/>
      <c r="F236" s="66" t="str">
        <f t="shared" si="13"/>
        <v/>
      </c>
      <c r="G236" s="59"/>
      <c r="H236" s="59"/>
      <c r="I236" s="59"/>
      <c r="J236" s="77"/>
      <c r="K236" s="75"/>
      <c r="L236" s="75"/>
      <c r="M236" s="77"/>
      <c r="N236" s="77"/>
      <c r="O236" s="44"/>
      <c r="P236" s="44" t="str">
        <f t="shared" si="2"/>
        <v/>
      </c>
      <c r="Q236" s="44" t="str">
        <f t="shared" si="3"/>
        <v/>
      </c>
      <c r="R236" s="44"/>
      <c r="S236" s="44"/>
      <c r="T236" s="44"/>
      <c r="U236" s="44"/>
      <c r="V236" s="44"/>
      <c r="W236" s="44"/>
      <c r="X236" s="44"/>
      <c r="Y236" s="44"/>
      <c r="Z236" s="44"/>
      <c r="AA236" s="44" t="s">
        <v>1808</v>
      </c>
      <c r="AB236" s="44" t="s">
        <v>1809</v>
      </c>
    </row>
    <row r="237" spans="1:28" ht="15.75" customHeight="1">
      <c r="A237" s="71"/>
      <c r="B237" s="66" t="str">
        <f t="shared" si="14"/>
        <v/>
      </c>
      <c r="C237" s="71"/>
      <c r="D237" s="66" t="str">
        <f t="shared" si="15"/>
        <v/>
      </c>
      <c r="E237" s="71"/>
      <c r="F237" s="66" t="str">
        <f t="shared" si="13"/>
        <v/>
      </c>
      <c r="G237" s="59"/>
      <c r="H237" s="59"/>
      <c r="I237" s="59"/>
      <c r="J237" s="77"/>
      <c r="K237" s="75"/>
      <c r="L237" s="75"/>
      <c r="M237" s="77"/>
      <c r="N237" s="77"/>
      <c r="O237" s="44"/>
      <c r="P237" s="44" t="str">
        <f t="shared" si="2"/>
        <v/>
      </c>
      <c r="Q237" s="44" t="str">
        <f t="shared" si="3"/>
        <v/>
      </c>
      <c r="R237" s="44"/>
      <c r="S237" s="44"/>
      <c r="T237" s="44"/>
      <c r="U237" s="44"/>
      <c r="V237" s="44"/>
      <c r="W237" s="44"/>
      <c r="X237" s="44"/>
      <c r="Y237" s="44"/>
      <c r="Z237" s="44"/>
      <c r="AA237" s="44" t="s">
        <v>1810</v>
      </c>
      <c r="AB237" s="44" t="s">
        <v>1811</v>
      </c>
    </row>
    <row r="238" spans="1:28" ht="15.75" customHeight="1">
      <c r="A238" s="71"/>
      <c r="B238" s="66" t="str">
        <f t="shared" si="14"/>
        <v/>
      </c>
      <c r="C238" s="71"/>
      <c r="D238" s="66" t="str">
        <f t="shared" si="15"/>
        <v/>
      </c>
      <c r="E238" s="71"/>
      <c r="F238" s="66" t="str">
        <f t="shared" si="13"/>
        <v/>
      </c>
      <c r="G238" s="59"/>
      <c r="H238" s="59"/>
      <c r="I238" s="59"/>
      <c r="J238" s="77"/>
      <c r="K238" s="75"/>
      <c r="L238" s="75"/>
      <c r="M238" s="77"/>
      <c r="N238" s="77"/>
      <c r="O238" s="44"/>
      <c r="P238" s="44" t="str">
        <f t="shared" si="2"/>
        <v/>
      </c>
      <c r="Q238" s="44" t="str">
        <f t="shared" si="3"/>
        <v/>
      </c>
      <c r="R238" s="44"/>
      <c r="S238" s="44"/>
      <c r="T238" s="44"/>
      <c r="U238" s="44"/>
      <c r="V238" s="44"/>
      <c r="W238" s="44"/>
      <c r="X238" s="44"/>
      <c r="Y238" s="44"/>
      <c r="Z238" s="44"/>
      <c r="AA238" s="44" t="s">
        <v>1812</v>
      </c>
      <c r="AB238" s="44" t="s">
        <v>1813</v>
      </c>
    </row>
    <row r="239" spans="1:28" ht="15.75" customHeight="1">
      <c r="A239" s="71"/>
      <c r="B239" s="66" t="str">
        <f t="shared" si="14"/>
        <v/>
      </c>
      <c r="C239" s="71"/>
      <c r="D239" s="66" t="str">
        <f t="shared" si="15"/>
        <v/>
      </c>
      <c r="E239" s="71"/>
      <c r="F239" s="66" t="str">
        <f t="shared" si="13"/>
        <v/>
      </c>
      <c r="G239" s="59"/>
      <c r="H239" s="59"/>
      <c r="I239" s="59"/>
      <c r="J239" s="77"/>
      <c r="K239" s="75"/>
      <c r="L239" s="75"/>
      <c r="M239" s="77"/>
      <c r="N239" s="77"/>
      <c r="O239" s="44"/>
      <c r="P239" s="44" t="str">
        <f t="shared" si="2"/>
        <v/>
      </c>
      <c r="Q239" s="44" t="str">
        <f t="shared" si="3"/>
        <v/>
      </c>
      <c r="R239" s="44"/>
      <c r="S239" s="44"/>
      <c r="T239" s="44"/>
      <c r="U239" s="44"/>
      <c r="V239" s="44"/>
      <c r="W239" s="44"/>
      <c r="X239" s="44"/>
      <c r="Y239" s="44"/>
      <c r="Z239" s="44"/>
      <c r="AA239" s="44" t="s">
        <v>1814</v>
      </c>
      <c r="AB239" s="44" t="s">
        <v>1815</v>
      </c>
    </row>
    <row r="240" spans="1:28" ht="15.75" customHeight="1">
      <c r="A240" s="71"/>
      <c r="B240" s="66" t="str">
        <f t="shared" si="14"/>
        <v/>
      </c>
      <c r="C240" s="71"/>
      <c r="D240" s="66" t="str">
        <f t="shared" si="15"/>
        <v/>
      </c>
      <c r="E240" s="71"/>
      <c r="F240" s="66" t="str">
        <f t="shared" si="13"/>
        <v/>
      </c>
      <c r="G240" s="59"/>
      <c r="H240" s="59"/>
      <c r="I240" s="59"/>
      <c r="J240" s="77"/>
      <c r="K240" s="75"/>
      <c r="L240" s="75"/>
      <c r="M240" s="77"/>
      <c r="N240" s="77"/>
      <c r="O240" s="44"/>
      <c r="P240" s="44" t="str">
        <f t="shared" si="2"/>
        <v/>
      </c>
      <c r="Q240" s="44" t="str">
        <f t="shared" si="3"/>
        <v/>
      </c>
      <c r="R240" s="44"/>
      <c r="S240" s="44"/>
      <c r="T240" s="44"/>
      <c r="U240" s="44"/>
      <c r="V240" s="44"/>
      <c r="W240" s="44"/>
      <c r="X240" s="44"/>
      <c r="Y240" s="44"/>
      <c r="Z240" s="44"/>
      <c r="AA240" s="44" t="s">
        <v>1816</v>
      </c>
      <c r="AB240" s="44" t="s">
        <v>1817</v>
      </c>
    </row>
    <row r="241" spans="1:28" ht="15.75" customHeight="1">
      <c r="A241" s="71"/>
      <c r="B241" s="66" t="str">
        <f t="shared" si="14"/>
        <v/>
      </c>
      <c r="C241" s="71"/>
      <c r="D241" s="66" t="str">
        <f t="shared" si="15"/>
        <v/>
      </c>
      <c r="E241" s="71"/>
      <c r="F241" s="66" t="str">
        <f t="shared" si="13"/>
        <v/>
      </c>
      <c r="G241" s="59"/>
      <c r="H241" s="59"/>
      <c r="I241" s="59"/>
      <c r="J241" s="77"/>
      <c r="K241" s="75"/>
      <c r="L241" s="75"/>
      <c r="M241" s="77"/>
      <c r="N241" s="77"/>
      <c r="O241" s="44"/>
      <c r="P241" s="44" t="str">
        <f t="shared" si="2"/>
        <v/>
      </c>
      <c r="Q241" s="44" t="str">
        <f t="shared" si="3"/>
        <v/>
      </c>
      <c r="R241" s="44"/>
      <c r="S241" s="44"/>
      <c r="T241" s="44"/>
      <c r="U241" s="44"/>
      <c r="V241" s="44"/>
      <c r="W241" s="44"/>
      <c r="X241" s="44"/>
      <c r="Y241" s="44"/>
      <c r="Z241" s="44"/>
      <c r="AA241" s="44" t="s">
        <v>1818</v>
      </c>
      <c r="AB241" s="44" t="s">
        <v>1819</v>
      </c>
    </row>
    <row r="242" spans="1:28" ht="15.75" customHeight="1">
      <c r="A242" s="71"/>
      <c r="B242" s="66" t="str">
        <f t="shared" si="14"/>
        <v/>
      </c>
      <c r="C242" s="71"/>
      <c r="D242" s="66" t="str">
        <f t="shared" si="15"/>
        <v/>
      </c>
      <c r="E242" s="71"/>
      <c r="F242" s="66" t="str">
        <f t="shared" si="13"/>
        <v/>
      </c>
      <c r="G242" s="59"/>
      <c r="H242" s="59"/>
      <c r="I242" s="59"/>
      <c r="J242" s="77"/>
      <c r="K242" s="75"/>
      <c r="L242" s="75"/>
      <c r="M242" s="77"/>
      <c r="N242" s="77"/>
      <c r="O242" s="44"/>
      <c r="P242" s="44" t="str">
        <f t="shared" si="2"/>
        <v/>
      </c>
      <c r="Q242" s="44" t="str">
        <f t="shared" si="3"/>
        <v/>
      </c>
      <c r="R242" s="44"/>
      <c r="S242" s="44"/>
      <c r="T242" s="44"/>
      <c r="U242" s="44"/>
      <c r="V242" s="44"/>
      <c r="W242" s="44"/>
      <c r="X242" s="44"/>
      <c r="Y242" s="44"/>
      <c r="Z242" s="44"/>
      <c r="AA242" s="44" t="s">
        <v>1820</v>
      </c>
      <c r="AB242" s="44" t="s">
        <v>1821</v>
      </c>
    </row>
    <row r="243" spans="1:28" ht="15.75" customHeight="1">
      <c r="A243" s="71"/>
      <c r="B243" s="66" t="str">
        <f t="shared" si="14"/>
        <v/>
      </c>
      <c r="C243" s="71"/>
      <c r="D243" s="66" t="str">
        <f t="shared" si="15"/>
        <v/>
      </c>
      <c r="E243" s="71"/>
      <c r="F243" s="66" t="str">
        <f t="shared" si="13"/>
        <v/>
      </c>
      <c r="G243" s="59"/>
      <c r="H243" s="59"/>
      <c r="I243" s="59"/>
      <c r="J243" s="77"/>
      <c r="K243" s="75"/>
      <c r="L243" s="75"/>
      <c r="M243" s="77"/>
      <c r="N243" s="77"/>
      <c r="O243" s="44"/>
      <c r="P243" s="44" t="str">
        <f t="shared" si="2"/>
        <v/>
      </c>
      <c r="Q243" s="44" t="str">
        <f t="shared" si="3"/>
        <v/>
      </c>
      <c r="R243" s="44"/>
      <c r="S243" s="44"/>
      <c r="T243" s="44"/>
      <c r="U243" s="44"/>
      <c r="V243" s="44"/>
      <c r="W243" s="44"/>
      <c r="X243" s="44"/>
      <c r="Y243" s="44"/>
      <c r="Z243" s="44"/>
      <c r="AA243" s="44" t="s">
        <v>1822</v>
      </c>
      <c r="AB243" s="44" t="s">
        <v>1823</v>
      </c>
    </row>
    <row r="244" spans="1:28" ht="15.75" customHeight="1">
      <c r="A244" s="71"/>
      <c r="B244" s="66" t="str">
        <f t="shared" si="14"/>
        <v/>
      </c>
      <c r="C244" s="71"/>
      <c r="D244" s="66" t="str">
        <f t="shared" si="15"/>
        <v/>
      </c>
      <c r="E244" s="71"/>
      <c r="F244" s="66" t="str">
        <f t="shared" si="13"/>
        <v/>
      </c>
      <c r="G244" s="59"/>
      <c r="H244" s="59"/>
      <c r="I244" s="59"/>
      <c r="J244" s="77"/>
      <c r="K244" s="75"/>
      <c r="L244" s="75"/>
      <c r="M244" s="77"/>
      <c r="N244" s="77"/>
      <c r="O244" s="44"/>
      <c r="P244" s="44" t="str">
        <f t="shared" si="2"/>
        <v/>
      </c>
      <c r="Q244" s="44" t="str">
        <f t="shared" si="3"/>
        <v/>
      </c>
      <c r="R244" s="44"/>
      <c r="S244" s="44"/>
      <c r="T244" s="44"/>
      <c r="U244" s="44"/>
      <c r="V244" s="44"/>
      <c r="W244" s="44"/>
      <c r="X244" s="44"/>
      <c r="Y244" s="44"/>
      <c r="Z244" s="44"/>
      <c r="AA244" s="44" t="s">
        <v>1824</v>
      </c>
      <c r="AB244" s="44" t="s">
        <v>1825</v>
      </c>
    </row>
    <row r="245" spans="1:28" ht="15.75" customHeight="1">
      <c r="A245" s="71"/>
      <c r="B245" s="66" t="str">
        <f t="shared" si="14"/>
        <v/>
      </c>
      <c r="C245" s="71"/>
      <c r="D245" s="66" t="str">
        <f t="shared" si="15"/>
        <v/>
      </c>
      <c r="E245" s="71"/>
      <c r="F245" s="66" t="str">
        <f t="shared" ref="F245:F308" si="16">IFERROR(VLOOKUP(E245,$AA$6:$AB$1016,2,FALSE),"")</f>
        <v/>
      </c>
      <c r="G245" s="59"/>
      <c r="H245" s="59"/>
      <c r="I245" s="59"/>
      <c r="J245" s="77"/>
      <c r="K245" s="75"/>
      <c r="L245" s="75"/>
      <c r="M245" s="77"/>
      <c r="N245" s="77"/>
      <c r="O245" s="44"/>
      <c r="P245" s="44" t="str">
        <f t="shared" si="2"/>
        <v/>
      </c>
      <c r="Q245" s="44" t="str">
        <f t="shared" si="3"/>
        <v/>
      </c>
      <c r="R245" s="44"/>
      <c r="S245" s="44"/>
      <c r="T245" s="44"/>
      <c r="U245" s="44"/>
      <c r="V245" s="44"/>
      <c r="W245" s="44"/>
      <c r="X245" s="44"/>
      <c r="Y245" s="44"/>
      <c r="Z245" s="44"/>
      <c r="AA245" s="44" t="s">
        <v>1826</v>
      </c>
      <c r="AB245" s="44" t="s">
        <v>1827</v>
      </c>
    </row>
    <row r="246" spans="1:28" ht="15.75" customHeight="1">
      <c r="A246" s="71"/>
      <c r="B246" s="66" t="str">
        <f t="shared" si="14"/>
        <v/>
      </c>
      <c r="C246" s="71"/>
      <c r="D246" s="66" t="str">
        <f t="shared" si="15"/>
        <v/>
      </c>
      <c r="E246" s="71"/>
      <c r="F246" s="66" t="str">
        <f t="shared" si="16"/>
        <v/>
      </c>
      <c r="G246" s="59"/>
      <c r="H246" s="59"/>
      <c r="I246" s="59"/>
      <c r="J246" s="77"/>
      <c r="K246" s="75"/>
      <c r="L246" s="75"/>
      <c r="M246" s="77"/>
      <c r="N246" s="77"/>
      <c r="O246" s="44"/>
      <c r="P246" s="44" t="str">
        <f t="shared" si="2"/>
        <v/>
      </c>
      <c r="Q246" s="44" t="str">
        <f t="shared" si="3"/>
        <v/>
      </c>
      <c r="R246" s="44"/>
      <c r="S246" s="44"/>
      <c r="T246" s="44"/>
      <c r="U246" s="44"/>
      <c r="V246" s="44"/>
      <c r="W246" s="44"/>
      <c r="X246" s="44"/>
      <c r="Y246" s="44"/>
      <c r="Z246" s="44"/>
      <c r="AA246" s="44" t="s">
        <v>1828</v>
      </c>
      <c r="AB246" s="44" t="s">
        <v>1829</v>
      </c>
    </row>
    <row r="247" spans="1:28" ht="15.75" customHeight="1">
      <c r="A247" s="71"/>
      <c r="B247" s="66" t="str">
        <f t="shared" si="14"/>
        <v/>
      </c>
      <c r="C247" s="71"/>
      <c r="D247" s="66" t="str">
        <f t="shared" si="15"/>
        <v/>
      </c>
      <c r="E247" s="71"/>
      <c r="F247" s="66" t="str">
        <f t="shared" si="16"/>
        <v/>
      </c>
      <c r="G247" s="59"/>
      <c r="H247" s="59"/>
      <c r="I247" s="59"/>
      <c r="J247" s="77"/>
      <c r="K247" s="75"/>
      <c r="L247" s="75"/>
      <c r="M247" s="77"/>
      <c r="N247" s="77"/>
      <c r="O247" s="44"/>
      <c r="P247" s="44" t="str">
        <f t="shared" si="2"/>
        <v/>
      </c>
      <c r="Q247" s="44" t="str">
        <f t="shared" si="3"/>
        <v/>
      </c>
      <c r="R247" s="44"/>
      <c r="S247" s="44"/>
      <c r="T247" s="44"/>
      <c r="U247" s="44"/>
      <c r="V247" s="44"/>
      <c r="W247" s="44"/>
      <c r="X247" s="44"/>
      <c r="Y247" s="44"/>
      <c r="Z247" s="44"/>
      <c r="AA247" s="44" t="s">
        <v>1830</v>
      </c>
      <c r="AB247" s="44" t="s">
        <v>1831</v>
      </c>
    </row>
    <row r="248" spans="1:28" ht="15.75" customHeight="1">
      <c r="A248" s="71"/>
      <c r="B248" s="66" t="str">
        <f t="shared" si="14"/>
        <v/>
      </c>
      <c r="C248" s="71"/>
      <c r="D248" s="66" t="str">
        <f t="shared" si="15"/>
        <v/>
      </c>
      <c r="E248" s="71"/>
      <c r="F248" s="66" t="str">
        <f t="shared" si="16"/>
        <v/>
      </c>
      <c r="G248" s="59"/>
      <c r="H248" s="59"/>
      <c r="I248" s="59"/>
      <c r="J248" s="77"/>
      <c r="K248" s="75"/>
      <c r="L248" s="75"/>
      <c r="M248" s="77"/>
      <c r="N248" s="77"/>
      <c r="O248" s="44"/>
      <c r="P248" s="44" t="str">
        <f t="shared" si="2"/>
        <v/>
      </c>
      <c r="Q248" s="44" t="str">
        <f t="shared" si="3"/>
        <v/>
      </c>
      <c r="R248" s="44"/>
      <c r="S248" s="44"/>
      <c r="T248" s="44"/>
      <c r="U248" s="44"/>
      <c r="V248" s="44"/>
      <c r="W248" s="44"/>
      <c r="X248" s="44"/>
      <c r="Y248" s="44"/>
      <c r="Z248" s="44"/>
      <c r="AA248" s="44" t="s">
        <v>1832</v>
      </c>
      <c r="AB248" s="44" t="s">
        <v>1833</v>
      </c>
    </row>
    <row r="249" spans="1:28" ht="15.75" customHeight="1">
      <c r="A249" s="71"/>
      <c r="B249" s="66" t="str">
        <f t="shared" si="14"/>
        <v/>
      </c>
      <c r="C249" s="71"/>
      <c r="D249" s="66" t="str">
        <f t="shared" si="15"/>
        <v/>
      </c>
      <c r="E249" s="71"/>
      <c r="F249" s="66" t="str">
        <f t="shared" si="16"/>
        <v/>
      </c>
      <c r="G249" s="59"/>
      <c r="H249" s="59"/>
      <c r="I249" s="59"/>
      <c r="J249" s="77"/>
      <c r="K249" s="75"/>
      <c r="L249" s="75"/>
      <c r="M249" s="77"/>
      <c r="N249" s="77"/>
      <c r="O249" s="44"/>
      <c r="P249" s="44" t="str">
        <f t="shared" si="2"/>
        <v/>
      </c>
      <c r="Q249" s="44" t="str">
        <f t="shared" si="3"/>
        <v/>
      </c>
      <c r="R249" s="44"/>
      <c r="S249" s="44"/>
      <c r="T249" s="44"/>
      <c r="U249" s="44"/>
      <c r="V249" s="44"/>
      <c r="W249" s="44"/>
      <c r="X249" s="44"/>
      <c r="Y249" s="44"/>
      <c r="Z249" s="44"/>
      <c r="AA249" s="44" t="s">
        <v>1834</v>
      </c>
      <c r="AB249" s="44" t="s">
        <v>1835</v>
      </c>
    </row>
    <row r="250" spans="1:28" ht="15.75" customHeight="1">
      <c r="A250" s="71"/>
      <c r="B250" s="66" t="str">
        <f t="shared" si="14"/>
        <v/>
      </c>
      <c r="C250" s="71"/>
      <c r="D250" s="66" t="str">
        <f t="shared" si="15"/>
        <v/>
      </c>
      <c r="E250" s="71"/>
      <c r="F250" s="66" t="str">
        <f t="shared" si="16"/>
        <v/>
      </c>
      <c r="G250" s="59"/>
      <c r="H250" s="59"/>
      <c r="I250" s="59"/>
      <c r="J250" s="77"/>
      <c r="K250" s="75"/>
      <c r="L250" s="75"/>
      <c r="M250" s="77"/>
      <c r="N250" s="77"/>
      <c r="O250" s="44"/>
      <c r="P250" s="44" t="str">
        <f t="shared" si="2"/>
        <v/>
      </c>
      <c r="Q250" s="44" t="str">
        <f t="shared" si="3"/>
        <v/>
      </c>
      <c r="R250" s="44"/>
      <c r="S250" s="44"/>
      <c r="T250" s="44"/>
      <c r="U250" s="44"/>
      <c r="V250" s="44"/>
      <c r="W250" s="44"/>
      <c r="X250" s="44"/>
      <c r="Y250" s="44"/>
      <c r="Z250" s="44"/>
      <c r="AA250" s="44" t="s">
        <v>1836</v>
      </c>
      <c r="AB250" s="44" t="s">
        <v>1837</v>
      </c>
    </row>
    <row r="251" spans="1:28" ht="15.75" customHeight="1">
      <c r="A251" s="71"/>
      <c r="B251" s="66" t="str">
        <f t="shared" si="14"/>
        <v/>
      </c>
      <c r="C251" s="71"/>
      <c r="D251" s="66" t="str">
        <f t="shared" si="15"/>
        <v/>
      </c>
      <c r="E251" s="71"/>
      <c r="F251" s="66" t="str">
        <f t="shared" si="16"/>
        <v/>
      </c>
      <c r="G251" s="59"/>
      <c r="H251" s="59"/>
      <c r="I251" s="59"/>
      <c r="J251" s="77"/>
      <c r="K251" s="75"/>
      <c r="L251" s="75"/>
      <c r="M251" s="77"/>
      <c r="N251" s="77"/>
      <c r="O251" s="44"/>
      <c r="P251" s="44" t="str">
        <f t="shared" si="2"/>
        <v/>
      </c>
      <c r="Q251" s="44" t="str">
        <f t="shared" si="3"/>
        <v/>
      </c>
      <c r="R251" s="44"/>
      <c r="S251" s="44"/>
      <c r="T251" s="44"/>
      <c r="U251" s="44"/>
      <c r="V251" s="44"/>
      <c r="W251" s="44"/>
      <c r="X251" s="44"/>
      <c r="Y251" s="44"/>
      <c r="Z251" s="44"/>
      <c r="AA251" s="44" t="s">
        <v>1838</v>
      </c>
      <c r="AB251" s="44" t="s">
        <v>1839</v>
      </c>
    </row>
    <row r="252" spans="1:28" ht="15.75" customHeight="1">
      <c r="A252" s="71"/>
      <c r="B252" s="66" t="str">
        <f t="shared" si="14"/>
        <v/>
      </c>
      <c r="C252" s="71"/>
      <c r="D252" s="66" t="str">
        <f t="shared" si="15"/>
        <v/>
      </c>
      <c r="E252" s="71"/>
      <c r="F252" s="66" t="str">
        <f t="shared" si="16"/>
        <v/>
      </c>
      <c r="G252" s="59"/>
      <c r="H252" s="59"/>
      <c r="I252" s="59"/>
      <c r="J252" s="77"/>
      <c r="K252" s="75"/>
      <c r="L252" s="75"/>
      <c r="M252" s="77"/>
      <c r="N252" s="77"/>
      <c r="O252" s="44"/>
      <c r="P252" s="44" t="str">
        <f t="shared" si="2"/>
        <v/>
      </c>
      <c r="Q252" s="44" t="str">
        <f t="shared" si="3"/>
        <v/>
      </c>
      <c r="R252" s="44"/>
      <c r="S252" s="44"/>
      <c r="T252" s="44"/>
      <c r="U252" s="44"/>
      <c r="V252" s="44"/>
      <c r="W252" s="44"/>
      <c r="X252" s="44"/>
      <c r="Y252" s="44"/>
      <c r="Z252" s="44"/>
      <c r="AA252" s="44" t="s">
        <v>1840</v>
      </c>
      <c r="AB252" s="44" t="s">
        <v>1841</v>
      </c>
    </row>
    <row r="253" spans="1:28" ht="15.75" customHeight="1">
      <c r="A253" s="71"/>
      <c r="B253" s="66" t="str">
        <f t="shared" si="14"/>
        <v/>
      </c>
      <c r="C253" s="71"/>
      <c r="D253" s="66" t="str">
        <f t="shared" si="15"/>
        <v/>
      </c>
      <c r="E253" s="71"/>
      <c r="F253" s="66" t="str">
        <f t="shared" si="16"/>
        <v/>
      </c>
      <c r="G253" s="59"/>
      <c r="H253" s="59"/>
      <c r="I253" s="59"/>
      <c r="J253" s="77"/>
      <c r="K253" s="75"/>
      <c r="L253" s="75"/>
      <c r="M253" s="77"/>
      <c r="N253" s="77"/>
      <c r="O253" s="44"/>
      <c r="P253" s="44" t="str">
        <f t="shared" si="2"/>
        <v/>
      </c>
      <c r="Q253" s="44" t="str">
        <f t="shared" si="3"/>
        <v/>
      </c>
      <c r="R253" s="44"/>
      <c r="S253" s="44"/>
      <c r="T253" s="44"/>
      <c r="U253" s="44"/>
      <c r="V253" s="44"/>
      <c r="W253" s="44"/>
      <c r="X253" s="44"/>
      <c r="Y253" s="44"/>
      <c r="Z253" s="44"/>
      <c r="AA253" s="44" t="s">
        <v>1842</v>
      </c>
      <c r="AB253" s="44" t="s">
        <v>1843</v>
      </c>
    </row>
    <row r="254" spans="1:28" ht="15.75" customHeight="1">
      <c r="A254" s="71"/>
      <c r="B254" s="66" t="str">
        <f t="shared" si="14"/>
        <v/>
      </c>
      <c r="C254" s="71"/>
      <c r="D254" s="66" t="str">
        <f t="shared" si="15"/>
        <v/>
      </c>
      <c r="E254" s="71"/>
      <c r="F254" s="66" t="str">
        <f t="shared" si="16"/>
        <v/>
      </c>
      <c r="G254" s="59"/>
      <c r="H254" s="59"/>
      <c r="I254" s="59"/>
      <c r="J254" s="77"/>
      <c r="K254" s="75"/>
      <c r="L254" s="75"/>
      <c r="M254" s="77"/>
      <c r="N254" s="77"/>
      <c r="O254" s="44"/>
      <c r="P254" s="44" t="str">
        <f t="shared" si="2"/>
        <v/>
      </c>
      <c r="Q254" s="44" t="str">
        <f t="shared" si="3"/>
        <v/>
      </c>
      <c r="R254" s="44"/>
      <c r="S254" s="44"/>
      <c r="T254" s="44"/>
      <c r="U254" s="44"/>
      <c r="V254" s="44"/>
      <c r="W254" s="44"/>
      <c r="X254" s="44"/>
      <c r="Y254" s="44"/>
      <c r="Z254" s="44"/>
      <c r="AA254" s="44" t="s">
        <v>1844</v>
      </c>
      <c r="AB254" s="44" t="s">
        <v>1845</v>
      </c>
    </row>
    <row r="255" spans="1:28" ht="15.75" customHeight="1">
      <c r="A255" s="71"/>
      <c r="B255" s="66" t="str">
        <f t="shared" si="14"/>
        <v/>
      </c>
      <c r="C255" s="71"/>
      <c r="D255" s="66" t="str">
        <f t="shared" si="15"/>
        <v/>
      </c>
      <c r="E255" s="71"/>
      <c r="F255" s="66" t="str">
        <f t="shared" si="16"/>
        <v/>
      </c>
      <c r="G255" s="59"/>
      <c r="H255" s="59"/>
      <c r="I255" s="59"/>
      <c r="J255" s="77"/>
      <c r="K255" s="75"/>
      <c r="L255" s="75"/>
      <c r="M255" s="77"/>
      <c r="N255" s="77"/>
      <c r="O255" s="44"/>
      <c r="P255" s="44" t="str">
        <f t="shared" si="2"/>
        <v/>
      </c>
      <c r="Q255" s="44" t="str">
        <f t="shared" si="3"/>
        <v/>
      </c>
      <c r="R255" s="44"/>
      <c r="S255" s="44"/>
      <c r="T255" s="44"/>
      <c r="U255" s="44"/>
      <c r="V255" s="44"/>
      <c r="W255" s="44"/>
      <c r="X255" s="44"/>
      <c r="Y255" s="44"/>
      <c r="Z255" s="44"/>
      <c r="AA255" s="44" t="s">
        <v>1846</v>
      </c>
      <c r="AB255" s="44" t="s">
        <v>1847</v>
      </c>
    </row>
    <row r="256" spans="1:28" ht="15.75" customHeight="1">
      <c r="A256" s="71"/>
      <c r="B256" s="66" t="str">
        <f t="shared" si="14"/>
        <v/>
      </c>
      <c r="C256" s="71"/>
      <c r="D256" s="66" t="str">
        <f t="shared" si="15"/>
        <v/>
      </c>
      <c r="E256" s="71"/>
      <c r="F256" s="66" t="str">
        <f t="shared" si="16"/>
        <v/>
      </c>
      <c r="G256" s="59"/>
      <c r="H256" s="59"/>
      <c r="I256" s="59"/>
      <c r="J256" s="77"/>
      <c r="K256" s="75"/>
      <c r="L256" s="75"/>
      <c r="M256" s="77"/>
      <c r="N256" s="77"/>
      <c r="O256" s="44"/>
      <c r="P256" s="44" t="str">
        <f t="shared" si="2"/>
        <v/>
      </c>
      <c r="Q256" s="44" t="str">
        <f t="shared" si="3"/>
        <v/>
      </c>
      <c r="R256" s="44"/>
      <c r="S256" s="44"/>
      <c r="T256" s="44"/>
      <c r="U256" s="44"/>
      <c r="V256" s="44"/>
      <c r="W256" s="44"/>
      <c r="X256" s="44"/>
      <c r="Y256" s="44"/>
      <c r="Z256" s="44"/>
      <c r="AA256" s="44" t="s">
        <v>1848</v>
      </c>
      <c r="AB256" s="44" t="s">
        <v>1849</v>
      </c>
    </row>
    <row r="257" spans="1:28" ht="15.75" customHeight="1">
      <c r="A257" s="71"/>
      <c r="B257" s="66" t="str">
        <f t="shared" si="14"/>
        <v/>
      </c>
      <c r="C257" s="71"/>
      <c r="D257" s="66" t="str">
        <f t="shared" si="15"/>
        <v/>
      </c>
      <c r="E257" s="71"/>
      <c r="F257" s="66" t="str">
        <f t="shared" si="16"/>
        <v/>
      </c>
      <c r="G257" s="59"/>
      <c r="H257" s="59"/>
      <c r="I257" s="59"/>
      <c r="J257" s="77"/>
      <c r="K257" s="75"/>
      <c r="L257" s="75"/>
      <c r="M257" s="77"/>
      <c r="N257" s="77"/>
      <c r="O257" s="44"/>
      <c r="P257" s="44" t="str">
        <f t="shared" si="2"/>
        <v/>
      </c>
      <c r="Q257" s="44" t="str">
        <f t="shared" si="3"/>
        <v/>
      </c>
      <c r="R257" s="44"/>
      <c r="S257" s="44"/>
      <c r="T257" s="44"/>
      <c r="U257" s="44"/>
      <c r="V257" s="44"/>
      <c r="W257" s="44"/>
      <c r="X257" s="44"/>
      <c r="Y257" s="44"/>
      <c r="Z257" s="44"/>
      <c r="AA257" s="44" t="s">
        <v>1850</v>
      </c>
      <c r="AB257" s="44" t="s">
        <v>1851</v>
      </c>
    </row>
    <row r="258" spans="1:28" ht="15.75" customHeight="1">
      <c r="A258" s="71"/>
      <c r="B258" s="66" t="str">
        <f t="shared" si="14"/>
        <v/>
      </c>
      <c r="C258" s="71"/>
      <c r="D258" s="66" t="str">
        <f t="shared" si="15"/>
        <v/>
      </c>
      <c r="E258" s="71"/>
      <c r="F258" s="66" t="str">
        <f t="shared" si="16"/>
        <v/>
      </c>
      <c r="G258" s="59"/>
      <c r="H258" s="59"/>
      <c r="I258" s="59"/>
      <c r="J258" s="77"/>
      <c r="K258" s="75"/>
      <c r="L258" s="75"/>
      <c r="M258" s="77"/>
      <c r="N258" s="77"/>
      <c r="O258" s="44"/>
      <c r="P258" s="44" t="str">
        <f t="shared" si="2"/>
        <v/>
      </c>
      <c r="Q258" s="44" t="str">
        <f t="shared" si="3"/>
        <v/>
      </c>
      <c r="R258" s="44"/>
      <c r="S258" s="44"/>
      <c r="T258" s="44"/>
      <c r="U258" s="44"/>
      <c r="V258" s="44"/>
      <c r="W258" s="44"/>
      <c r="X258" s="44"/>
      <c r="Y258" s="44"/>
      <c r="Z258" s="44"/>
      <c r="AA258" s="44" t="s">
        <v>1852</v>
      </c>
      <c r="AB258" s="44" t="s">
        <v>1853</v>
      </c>
    </row>
    <row r="259" spans="1:28" ht="15.75" customHeight="1">
      <c r="A259" s="71"/>
      <c r="B259" s="66" t="str">
        <f t="shared" ref="B259:B322" si="17">IFERROR(VLOOKUP(A259,$R$6:$S$23,2,FALSE),"")</f>
        <v/>
      </c>
      <c r="C259" s="71"/>
      <c r="D259" s="66" t="str">
        <f t="shared" ref="D259:D322" si="18">IFERROR(VLOOKUP(C259,$U$5:$W$127,2,FALSE),"")</f>
        <v/>
      </c>
      <c r="E259" s="71"/>
      <c r="F259" s="66" t="str">
        <f t="shared" si="16"/>
        <v/>
      </c>
      <c r="G259" s="59"/>
      <c r="H259" s="59"/>
      <c r="I259" s="59"/>
      <c r="J259" s="77"/>
      <c r="K259" s="75"/>
      <c r="L259" s="75"/>
      <c r="M259" s="77"/>
      <c r="N259" s="77"/>
      <c r="O259" s="44"/>
      <c r="P259" s="44" t="str">
        <f t="shared" si="2"/>
        <v/>
      </c>
      <c r="Q259" s="44" t="str">
        <f t="shared" si="3"/>
        <v/>
      </c>
      <c r="R259" s="44"/>
      <c r="S259" s="44"/>
      <c r="T259" s="44"/>
      <c r="U259" s="44"/>
      <c r="V259" s="44"/>
      <c r="W259" s="44"/>
      <c r="X259" s="44"/>
      <c r="Y259" s="44"/>
      <c r="Z259" s="44"/>
      <c r="AA259" s="44" t="s">
        <v>1854</v>
      </c>
      <c r="AB259" s="44" t="s">
        <v>1855</v>
      </c>
    </row>
    <row r="260" spans="1:28" ht="15.75" customHeight="1">
      <c r="A260" s="71"/>
      <c r="B260" s="66" t="str">
        <f t="shared" si="17"/>
        <v/>
      </c>
      <c r="C260" s="71"/>
      <c r="D260" s="66" t="str">
        <f t="shared" si="18"/>
        <v/>
      </c>
      <c r="E260" s="71"/>
      <c r="F260" s="66" t="str">
        <f t="shared" si="16"/>
        <v/>
      </c>
      <c r="G260" s="59"/>
      <c r="H260" s="59"/>
      <c r="I260" s="59"/>
      <c r="J260" s="77"/>
      <c r="K260" s="75"/>
      <c r="L260" s="75"/>
      <c r="M260" s="77"/>
      <c r="N260" s="77"/>
      <c r="O260" s="44"/>
      <c r="P260" s="44" t="str">
        <f t="shared" si="2"/>
        <v/>
      </c>
      <c r="Q260" s="44" t="str">
        <f t="shared" si="3"/>
        <v/>
      </c>
      <c r="R260" s="44"/>
      <c r="S260" s="44"/>
      <c r="T260" s="44"/>
      <c r="U260" s="44"/>
      <c r="V260" s="44"/>
      <c r="W260" s="44"/>
      <c r="X260" s="44"/>
      <c r="Y260" s="44"/>
      <c r="Z260" s="44"/>
      <c r="AA260" s="44" t="s">
        <v>1856</v>
      </c>
      <c r="AB260" s="44" t="s">
        <v>1857</v>
      </c>
    </row>
    <row r="261" spans="1:28" ht="15.75" customHeight="1">
      <c r="A261" s="71"/>
      <c r="B261" s="66" t="str">
        <f t="shared" si="17"/>
        <v/>
      </c>
      <c r="C261" s="71"/>
      <c r="D261" s="66" t="str">
        <f t="shared" si="18"/>
        <v/>
      </c>
      <c r="E261" s="71"/>
      <c r="F261" s="66" t="str">
        <f t="shared" si="16"/>
        <v/>
      </c>
      <c r="G261" s="59"/>
      <c r="H261" s="59"/>
      <c r="I261" s="59"/>
      <c r="J261" s="77"/>
      <c r="K261" s="75"/>
      <c r="L261" s="75"/>
      <c r="M261" s="77"/>
      <c r="N261" s="77"/>
      <c r="O261" s="44"/>
      <c r="P261" s="44" t="str">
        <f t="shared" si="2"/>
        <v/>
      </c>
      <c r="Q261" s="44" t="str">
        <f t="shared" si="3"/>
        <v/>
      </c>
      <c r="R261" s="44"/>
      <c r="S261" s="44"/>
      <c r="T261" s="44"/>
      <c r="U261" s="44"/>
      <c r="V261" s="44"/>
      <c r="W261" s="44"/>
      <c r="X261" s="44"/>
      <c r="Y261" s="44"/>
      <c r="Z261" s="44"/>
      <c r="AA261" s="44" t="s">
        <v>1858</v>
      </c>
      <c r="AB261" s="44" t="s">
        <v>1859</v>
      </c>
    </row>
    <row r="262" spans="1:28" ht="15.75" customHeight="1">
      <c r="A262" s="71"/>
      <c r="B262" s="66" t="str">
        <f t="shared" si="17"/>
        <v/>
      </c>
      <c r="C262" s="71"/>
      <c r="D262" s="66" t="str">
        <f t="shared" si="18"/>
        <v/>
      </c>
      <c r="E262" s="71"/>
      <c r="F262" s="66" t="str">
        <f t="shared" si="16"/>
        <v/>
      </c>
      <c r="G262" s="59"/>
      <c r="H262" s="59"/>
      <c r="I262" s="59"/>
      <c r="J262" s="77"/>
      <c r="K262" s="75"/>
      <c r="L262" s="75"/>
      <c r="M262" s="77"/>
      <c r="N262" s="77"/>
      <c r="O262" s="44"/>
      <c r="P262" s="44" t="str">
        <f t="shared" si="2"/>
        <v/>
      </c>
      <c r="Q262" s="44" t="str">
        <f t="shared" si="3"/>
        <v/>
      </c>
      <c r="R262" s="44"/>
      <c r="S262" s="44"/>
      <c r="T262" s="44"/>
      <c r="U262" s="44"/>
      <c r="V262" s="44"/>
      <c r="W262" s="44"/>
      <c r="X262" s="44"/>
      <c r="Y262" s="44"/>
      <c r="Z262" s="44"/>
      <c r="AA262" s="44" t="s">
        <v>1860</v>
      </c>
      <c r="AB262" s="44" t="s">
        <v>1861</v>
      </c>
    </row>
    <row r="263" spans="1:28" ht="15.75" customHeight="1">
      <c r="A263" s="71"/>
      <c r="B263" s="66" t="str">
        <f t="shared" si="17"/>
        <v/>
      </c>
      <c r="C263" s="71"/>
      <c r="D263" s="66" t="str">
        <f t="shared" si="18"/>
        <v/>
      </c>
      <c r="E263" s="71"/>
      <c r="F263" s="66" t="str">
        <f t="shared" si="16"/>
        <v/>
      </c>
      <c r="G263" s="59"/>
      <c r="H263" s="59"/>
      <c r="I263" s="59"/>
      <c r="J263" s="77"/>
      <c r="K263" s="75"/>
      <c r="L263" s="75"/>
      <c r="M263" s="77"/>
      <c r="N263" s="77"/>
      <c r="O263" s="44"/>
      <c r="P263" s="44" t="str">
        <f t="shared" si="2"/>
        <v/>
      </c>
      <c r="Q263" s="44" t="str">
        <f t="shared" si="3"/>
        <v/>
      </c>
      <c r="R263" s="44"/>
      <c r="S263" s="44"/>
      <c r="T263" s="44"/>
      <c r="U263" s="44"/>
      <c r="V263" s="44"/>
      <c r="W263" s="44"/>
      <c r="X263" s="44"/>
      <c r="Y263" s="44"/>
      <c r="Z263" s="44"/>
      <c r="AA263" s="44" t="s">
        <v>1862</v>
      </c>
      <c r="AB263" s="44" t="s">
        <v>1863</v>
      </c>
    </row>
    <row r="264" spans="1:28" ht="15.75" customHeight="1">
      <c r="A264" s="71"/>
      <c r="B264" s="66" t="str">
        <f t="shared" si="17"/>
        <v/>
      </c>
      <c r="C264" s="71"/>
      <c r="D264" s="66" t="str">
        <f t="shared" si="18"/>
        <v/>
      </c>
      <c r="E264" s="71"/>
      <c r="F264" s="66" t="str">
        <f t="shared" si="16"/>
        <v/>
      </c>
      <c r="G264" s="59"/>
      <c r="H264" s="59"/>
      <c r="I264" s="59"/>
      <c r="J264" s="77"/>
      <c r="K264" s="75"/>
      <c r="L264" s="75"/>
      <c r="M264" s="77"/>
      <c r="N264" s="77"/>
      <c r="O264" s="44"/>
      <c r="P264" s="44" t="str">
        <f t="shared" si="2"/>
        <v/>
      </c>
      <c r="Q264" s="44" t="str">
        <f t="shared" si="3"/>
        <v/>
      </c>
      <c r="R264" s="44"/>
      <c r="S264" s="44"/>
      <c r="T264" s="44"/>
      <c r="U264" s="44"/>
      <c r="V264" s="44"/>
      <c r="W264" s="44"/>
      <c r="X264" s="44"/>
      <c r="Y264" s="44"/>
      <c r="Z264" s="44"/>
      <c r="AA264" s="44" t="s">
        <v>1864</v>
      </c>
      <c r="AB264" s="44" t="s">
        <v>1865</v>
      </c>
    </row>
    <row r="265" spans="1:28" ht="15.75" customHeight="1">
      <c r="A265" s="71"/>
      <c r="B265" s="66" t="str">
        <f t="shared" si="17"/>
        <v/>
      </c>
      <c r="C265" s="71"/>
      <c r="D265" s="66" t="str">
        <f t="shared" si="18"/>
        <v/>
      </c>
      <c r="E265" s="71"/>
      <c r="F265" s="66" t="str">
        <f t="shared" si="16"/>
        <v/>
      </c>
      <c r="G265" s="59"/>
      <c r="H265" s="59"/>
      <c r="I265" s="59"/>
      <c r="J265" s="77"/>
      <c r="K265" s="75"/>
      <c r="L265" s="75"/>
      <c r="M265" s="77"/>
      <c r="N265" s="77"/>
      <c r="O265" s="44"/>
      <c r="P265" s="44" t="str">
        <f t="shared" si="2"/>
        <v/>
      </c>
      <c r="Q265" s="44" t="str">
        <f t="shared" si="3"/>
        <v/>
      </c>
      <c r="R265" s="44"/>
      <c r="S265" s="44"/>
      <c r="T265" s="44"/>
      <c r="U265" s="44"/>
      <c r="V265" s="44"/>
      <c r="W265" s="44"/>
      <c r="X265" s="44"/>
      <c r="Y265" s="44"/>
      <c r="Z265" s="44"/>
      <c r="AA265" s="44" t="s">
        <v>1866</v>
      </c>
      <c r="AB265" s="44" t="s">
        <v>1867</v>
      </c>
    </row>
    <row r="266" spans="1:28" ht="15.75" customHeight="1">
      <c r="A266" s="71"/>
      <c r="B266" s="66" t="str">
        <f t="shared" si="17"/>
        <v/>
      </c>
      <c r="C266" s="71"/>
      <c r="D266" s="66" t="str">
        <f t="shared" si="18"/>
        <v/>
      </c>
      <c r="E266" s="71"/>
      <c r="F266" s="66" t="str">
        <f t="shared" si="16"/>
        <v/>
      </c>
      <c r="G266" s="59"/>
      <c r="H266" s="59"/>
      <c r="I266" s="59"/>
      <c r="J266" s="77"/>
      <c r="K266" s="75"/>
      <c r="L266" s="75"/>
      <c r="M266" s="77"/>
      <c r="N266" s="77"/>
      <c r="O266" s="44"/>
      <c r="P266" s="44" t="str">
        <f t="shared" si="2"/>
        <v/>
      </c>
      <c r="Q266" s="44" t="str">
        <f t="shared" si="3"/>
        <v/>
      </c>
      <c r="R266" s="44"/>
      <c r="S266" s="44"/>
      <c r="T266" s="44"/>
      <c r="U266" s="44"/>
      <c r="V266" s="44"/>
      <c r="W266" s="44"/>
      <c r="X266" s="44"/>
      <c r="Y266" s="44"/>
      <c r="Z266" s="44"/>
      <c r="AA266" s="44" t="s">
        <v>1868</v>
      </c>
      <c r="AB266" s="44" t="s">
        <v>1869</v>
      </c>
    </row>
    <row r="267" spans="1:28" ht="15.75" customHeight="1">
      <c r="A267" s="71"/>
      <c r="B267" s="66" t="str">
        <f t="shared" si="17"/>
        <v/>
      </c>
      <c r="C267" s="71"/>
      <c r="D267" s="66" t="str">
        <f t="shared" si="18"/>
        <v/>
      </c>
      <c r="E267" s="71"/>
      <c r="F267" s="66" t="str">
        <f t="shared" si="16"/>
        <v/>
      </c>
      <c r="G267" s="59"/>
      <c r="H267" s="59"/>
      <c r="I267" s="59"/>
      <c r="J267" s="77"/>
      <c r="K267" s="75"/>
      <c r="L267" s="75"/>
      <c r="M267" s="77"/>
      <c r="N267" s="77"/>
      <c r="O267" s="44"/>
      <c r="P267" s="44" t="str">
        <f t="shared" si="2"/>
        <v/>
      </c>
      <c r="Q267" s="44" t="str">
        <f t="shared" si="3"/>
        <v/>
      </c>
      <c r="R267" s="44"/>
      <c r="S267" s="44"/>
      <c r="T267" s="44"/>
      <c r="U267" s="44"/>
      <c r="V267" s="44"/>
      <c r="W267" s="44"/>
      <c r="X267" s="44"/>
      <c r="Y267" s="44"/>
      <c r="Z267" s="44"/>
      <c r="AA267" s="44" t="s">
        <v>1870</v>
      </c>
      <c r="AB267" s="44" t="s">
        <v>1871</v>
      </c>
    </row>
    <row r="268" spans="1:28" ht="15.75" customHeight="1">
      <c r="A268" s="71"/>
      <c r="B268" s="66" t="str">
        <f t="shared" si="17"/>
        <v/>
      </c>
      <c r="C268" s="71"/>
      <c r="D268" s="66" t="str">
        <f t="shared" si="18"/>
        <v/>
      </c>
      <c r="E268" s="71"/>
      <c r="F268" s="66" t="str">
        <f t="shared" si="16"/>
        <v/>
      </c>
      <c r="G268" s="59"/>
      <c r="H268" s="59"/>
      <c r="I268" s="59"/>
      <c r="J268" s="77"/>
      <c r="K268" s="75"/>
      <c r="L268" s="75"/>
      <c r="M268" s="77"/>
      <c r="N268" s="77"/>
      <c r="O268" s="44"/>
      <c r="P268" s="44" t="str">
        <f t="shared" si="2"/>
        <v/>
      </c>
      <c r="Q268" s="44" t="str">
        <f t="shared" si="3"/>
        <v/>
      </c>
      <c r="R268" s="44"/>
      <c r="S268" s="44"/>
      <c r="T268" s="44"/>
      <c r="U268" s="44"/>
      <c r="V268" s="44"/>
      <c r="W268" s="44"/>
      <c r="X268" s="44"/>
      <c r="Y268" s="44"/>
      <c r="Z268" s="44"/>
      <c r="AA268" s="44" t="s">
        <v>1872</v>
      </c>
      <c r="AB268" s="44" t="s">
        <v>1873</v>
      </c>
    </row>
    <row r="269" spans="1:28" ht="15.75" customHeight="1">
      <c r="A269" s="71"/>
      <c r="B269" s="66" t="str">
        <f t="shared" si="17"/>
        <v/>
      </c>
      <c r="C269" s="71"/>
      <c r="D269" s="66" t="str">
        <f t="shared" si="18"/>
        <v/>
      </c>
      <c r="E269" s="71"/>
      <c r="F269" s="66" t="str">
        <f t="shared" si="16"/>
        <v/>
      </c>
      <c r="G269" s="59"/>
      <c r="H269" s="59"/>
      <c r="I269" s="59"/>
      <c r="J269" s="77"/>
      <c r="K269" s="75"/>
      <c r="L269" s="75"/>
      <c r="M269" s="77"/>
      <c r="N269" s="77"/>
      <c r="O269" s="44"/>
      <c r="P269" s="44" t="str">
        <f t="shared" si="2"/>
        <v/>
      </c>
      <c r="Q269" s="44" t="str">
        <f t="shared" si="3"/>
        <v/>
      </c>
      <c r="R269" s="44"/>
      <c r="S269" s="44"/>
      <c r="T269" s="44"/>
      <c r="U269" s="44"/>
      <c r="V269" s="44"/>
      <c r="W269" s="44"/>
      <c r="X269" s="44"/>
      <c r="Y269" s="44"/>
      <c r="Z269" s="44"/>
      <c r="AA269" s="44" t="s">
        <v>1874</v>
      </c>
      <c r="AB269" s="44" t="s">
        <v>1875</v>
      </c>
    </row>
    <row r="270" spans="1:28" ht="15.75" customHeight="1">
      <c r="A270" s="71"/>
      <c r="B270" s="66" t="str">
        <f t="shared" si="17"/>
        <v/>
      </c>
      <c r="C270" s="71"/>
      <c r="D270" s="66" t="str">
        <f t="shared" si="18"/>
        <v/>
      </c>
      <c r="E270" s="71"/>
      <c r="F270" s="66" t="str">
        <f t="shared" si="16"/>
        <v/>
      </c>
      <c r="G270" s="59"/>
      <c r="H270" s="59"/>
      <c r="I270" s="59"/>
      <c r="J270" s="77"/>
      <c r="K270" s="75"/>
      <c r="L270" s="75"/>
      <c r="M270" s="77"/>
      <c r="N270" s="77"/>
      <c r="O270" s="44"/>
      <c r="P270" s="44" t="str">
        <f t="shared" si="2"/>
        <v/>
      </c>
      <c r="Q270" s="44" t="str">
        <f t="shared" si="3"/>
        <v/>
      </c>
      <c r="R270" s="44"/>
      <c r="S270" s="44"/>
      <c r="T270" s="44"/>
      <c r="U270" s="44"/>
      <c r="V270" s="44"/>
      <c r="W270" s="44"/>
      <c r="X270" s="44"/>
      <c r="Y270" s="44"/>
      <c r="Z270" s="44"/>
      <c r="AA270" s="44" t="s">
        <v>1876</v>
      </c>
      <c r="AB270" s="44" t="s">
        <v>1877</v>
      </c>
    </row>
    <row r="271" spans="1:28" ht="15.75" customHeight="1">
      <c r="A271" s="71"/>
      <c r="B271" s="66" t="str">
        <f t="shared" si="17"/>
        <v/>
      </c>
      <c r="C271" s="71"/>
      <c r="D271" s="66" t="str">
        <f t="shared" si="18"/>
        <v/>
      </c>
      <c r="E271" s="71"/>
      <c r="F271" s="66" t="str">
        <f t="shared" si="16"/>
        <v/>
      </c>
      <c r="G271" s="59"/>
      <c r="H271" s="59"/>
      <c r="I271" s="59"/>
      <c r="J271" s="77"/>
      <c r="K271" s="75"/>
      <c r="L271" s="75"/>
      <c r="M271" s="77"/>
      <c r="N271" s="77"/>
      <c r="O271" s="44"/>
      <c r="P271" s="44" t="str">
        <f t="shared" si="2"/>
        <v/>
      </c>
      <c r="Q271" s="44" t="str">
        <f t="shared" si="3"/>
        <v/>
      </c>
      <c r="R271" s="44"/>
      <c r="S271" s="44"/>
      <c r="T271" s="44"/>
      <c r="U271" s="44"/>
      <c r="V271" s="44"/>
      <c r="W271" s="44"/>
      <c r="X271" s="44"/>
      <c r="Y271" s="44"/>
      <c r="Z271" s="44"/>
      <c r="AA271" s="44" t="s">
        <v>1878</v>
      </c>
      <c r="AB271" s="44" t="s">
        <v>1879</v>
      </c>
    </row>
    <row r="272" spans="1:28" ht="15.75" customHeight="1">
      <c r="A272" s="71"/>
      <c r="B272" s="66" t="str">
        <f t="shared" si="17"/>
        <v/>
      </c>
      <c r="C272" s="71"/>
      <c r="D272" s="66" t="str">
        <f t="shared" si="18"/>
        <v/>
      </c>
      <c r="E272" s="71"/>
      <c r="F272" s="66" t="str">
        <f t="shared" si="16"/>
        <v/>
      </c>
      <c r="G272" s="59"/>
      <c r="H272" s="59"/>
      <c r="I272" s="59"/>
      <c r="J272" s="77"/>
      <c r="K272" s="75"/>
      <c r="L272" s="75"/>
      <c r="M272" s="77"/>
      <c r="N272" s="77"/>
      <c r="O272" s="44"/>
      <c r="P272" s="44" t="str">
        <f t="shared" si="2"/>
        <v/>
      </c>
      <c r="Q272" s="44" t="str">
        <f t="shared" si="3"/>
        <v/>
      </c>
      <c r="R272" s="44"/>
      <c r="S272" s="44"/>
      <c r="T272" s="44"/>
      <c r="U272" s="44"/>
      <c r="V272" s="44"/>
      <c r="W272" s="44"/>
      <c r="X272" s="44"/>
      <c r="Y272" s="44"/>
      <c r="Z272" s="44"/>
      <c r="AA272" s="44" t="s">
        <v>1880</v>
      </c>
      <c r="AB272" s="44" t="s">
        <v>1881</v>
      </c>
    </row>
    <row r="273" spans="1:28" ht="15.75" customHeight="1">
      <c r="A273" s="71"/>
      <c r="B273" s="66" t="str">
        <f t="shared" si="17"/>
        <v/>
      </c>
      <c r="C273" s="71"/>
      <c r="D273" s="66" t="str">
        <f t="shared" si="18"/>
        <v/>
      </c>
      <c r="E273" s="71"/>
      <c r="F273" s="66" t="str">
        <f t="shared" si="16"/>
        <v/>
      </c>
      <c r="G273" s="59"/>
      <c r="H273" s="59"/>
      <c r="I273" s="59"/>
      <c r="J273" s="77"/>
      <c r="K273" s="75"/>
      <c r="L273" s="75"/>
      <c r="M273" s="77"/>
      <c r="N273" s="77"/>
      <c r="O273" s="44"/>
      <c r="P273" s="44" t="str">
        <f t="shared" si="2"/>
        <v/>
      </c>
      <c r="Q273" s="44" t="str">
        <f t="shared" si="3"/>
        <v/>
      </c>
      <c r="R273" s="44"/>
      <c r="S273" s="44"/>
      <c r="T273" s="44"/>
      <c r="U273" s="44"/>
      <c r="V273" s="44"/>
      <c r="W273" s="44"/>
      <c r="X273" s="44"/>
      <c r="Y273" s="44"/>
      <c r="Z273" s="44"/>
      <c r="AA273" s="44" t="s">
        <v>1882</v>
      </c>
      <c r="AB273" s="44" t="s">
        <v>1883</v>
      </c>
    </row>
    <row r="274" spans="1:28" ht="15.75" customHeight="1">
      <c r="A274" s="71"/>
      <c r="B274" s="66" t="str">
        <f t="shared" si="17"/>
        <v/>
      </c>
      <c r="C274" s="71"/>
      <c r="D274" s="66" t="str">
        <f t="shared" si="18"/>
        <v/>
      </c>
      <c r="E274" s="71"/>
      <c r="F274" s="66" t="str">
        <f t="shared" si="16"/>
        <v/>
      </c>
      <c r="G274" s="59"/>
      <c r="H274" s="59"/>
      <c r="I274" s="59"/>
      <c r="J274" s="77"/>
      <c r="K274" s="75"/>
      <c r="L274" s="75"/>
      <c r="M274" s="77"/>
      <c r="N274" s="77"/>
      <c r="O274" s="44"/>
      <c r="P274" s="44" t="str">
        <f t="shared" si="2"/>
        <v/>
      </c>
      <c r="Q274" s="44" t="str">
        <f t="shared" si="3"/>
        <v/>
      </c>
      <c r="R274" s="44"/>
      <c r="S274" s="44"/>
      <c r="T274" s="44"/>
      <c r="U274" s="44"/>
      <c r="V274" s="44"/>
      <c r="W274" s="44"/>
      <c r="X274" s="44"/>
      <c r="Y274" s="44"/>
      <c r="Z274" s="44"/>
      <c r="AA274" s="44" t="s">
        <v>1884</v>
      </c>
      <c r="AB274" s="44" t="s">
        <v>1885</v>
      </c>
    </row>
    <row r="275" spans="1:28" ht="15.75" customHeight="1">
      <c r="A275" s="71"/>
      <c r="B275" s="66" t="str">
        <f t="shared" si="17"/>
        <v/>
      </c>
      <c r="C275" s="71"/>
      <c r="D275" s="66" t="str">
        <f t="shared" si="18"/>
        <v/>
      </c>
      <c r="E275" s="71"/>
      <c r="F275" s="66" t="str">
        <f t="shared" si="16"/>
        <v/>
      </c>
      <c r="G275" s="59"/>
      <c r="H275" s="59"/>
      <c r="I275" s="59"/>
      <c r="J275" s="77"/>
      <c r="K275" s="75"/>
      <c r="L275" s="75"/>
      <c r="M275" s="77"/>
      <c r="N275" s="77"/>
      <c r="O275" s="44"/>
      <c r="P275" s="44" t="str">
        <f t="shared" si="2"/>
        <v/>
      </c>
      <c r="Q275" s="44" t="str">
        <f t="shared" si="3"/>
        <v/>
      </c>
      <c r="R275" s="44"/>
      <c r="S275" s="44"/>
      <c r="T275" s="44"/>
      <c r="U275" s="44"/>
      <c r="V275" s="44"/>
      <c r="W275" s="44"/>
      <c r="X275" s="44"/>
      <c r="Y275" s="44"/>
      <c r="Z275" s="44"/>
      <c r="AA275" s="44" t="s">
        <v>1886</v>
      </c>
      <c r="AB275" s="44" t="s">
        <v>1887</v>
      </c>
    </row>
    <row r="276" spans="1:28" ht="15.75" customHeight="1">
      <c r="A276" s="71"/>
      <c r="B276" s="66" t="str">
        <f t="shared" si="17"/>
        <v/>
      </c>
      <c r="C276" s="71"/>
      <c r="D276" s="66" t="str">
        <f t="shared" si="18"/>
        <v/>
      </c>
      <c r="E276" s="71"/>
      <c r="F276" s="66" t="str">
        <f t="shared" si="16"/>
        <v/>
      </c>
      <c r="G276" s="59"/>
      <c r="H276" s="59"/>
      <c r="I276" s="59"/>
      <c r="J276" s="77"/>
      <c r="K276" s="75"/>
      <c r="L276" s="75"/>
      <c r="M276" s="77"/>
      <c r="N276" s="77"/>
      <c r="O276" s="44"/>
      <c r="P276" s="44" t="str">
        <f t="shared" si="2"/>
        <v/>
      </c>
      <c r="Q276" s="44" t="str">
        <f t="shared" si="3"/>
        <v/>
      </c>
      <c r="R276" s="44"/>
      <c r="S276" s="44"/>
      <c r="T276" s="44"/>
      <c r="U276" s="44"/>
      <c r="V276" s="44"/>
      <c r="W276" s="44"/>
      <c r="X276" s="44"/>
      <c r="Y276" s="44"/>
      <c r="Z276" s="44"/>
      <c r="AA276" s="44" t="s">
        <v>1888</v>
      </c>
      <c r="AB276" s="44" t="s">
        <v>1889</v>
      </c>
    </row>
    <row r="277" spans="1:28" ht="15.75" customHeight="1">
      <c r="A277" s="71"/>
      <c r="B277" s="66" t="str">
        <f t="shared" si="17"/>
        <v/>
      </c>
      <c r="C277" s="71"/>
      <c r="D277" s="66" t="str">
        <f t="shared" si="18"/>
        <v/>
      </c>
      <c r="E277" s="71"/>
      <c r="F277" s="66" t="str">
        <f t="shared" si="16"/>
        <v/>
      </c>
      <c r="G277" s="59"/>
      <c r="H277" s="59"/>
      <c r="I277" s="59"/>
      <c r="J277" s="77"/>
      <c r="K277" s="75"/>
      <c r="L277" s="75"/>
      <c r="M277" s="77"/>
      <c r="N277" s="77"/>
      <c r="O277" s="44"/>
      <c r="P277" s="44" t="str">
        <f t="shared" si="2"/>
        <v/>
      </c>
      <c r="Q277" s="44" t="str">
        <f t="shared" si="3"/>
        <v/>
      </c>
      <c r="R277" s="44"/>
      <c r="S277" s="44"/>
      <c r="T277" s="44"/>
      <c r="U277" s="44"/>
      <c r="V277" s="44"/>
      <c r="W277" s="44"/>
      <c r="X277" s="44"/>
      <c r="Y277" s="44"/>
      <c r="Z277" s="44"/>
      <c r="AA277" s="44" t="s">
        <v>1890</v>
      </c>
      <c r="AB277" s="44" t="s">
        <v>1891</v>
      </c>
    </row>
    <row r="278" spans="1:28" ht="15.75" customHeight="1">
      <c r="A278" s="71"/>
      <c r="B278" s="66" t="str">
        <f t="shared" si="17"/>
        <v/>
      </c>
      <c r="C278" s="71"/>
      <c r="D278" s="66" t="str">
        <f t="shared" si="18"/>
        <v/>
      </c>
      <c r="E278" s="71"/>
      <c r="F278" s="66" t="str">
        <f t="shared" si="16"/>
        <v/>
      </c>
      <c r="G278" s="59"/>
      <c r="H278" s="59"/>
      <c r="I278" s="59"/>
      <c r="J278" s="77"/>
      <c r="K278" s="75"/>
      <c r="L278" s="75"/>
      <c r="M278" s="77"/>
      <c r="N278" s="77"/>
      <c r="O278" s="44"/>
      <c r="P278" s="44" t="str">
        <f t="shared" si="2"/>
        <v/>
      </c>
      <c r="Q278" s="44" t="str">
        <f t="shared" si="3"/>
        <v/>
      </c>
      <c r="R278" s="44"/>
      <c r="S278" s="44"/>
      <c r="T278" s="44"/>
      <c r="U278" s="44"/>
      <c r="V278" s="44"/>
      <c r="W278" s="44"/>
      <c r="X278" s="44"/>
      <c r="Y278" s="44"/>
      <c r="Z278" s="44"/>
      <c r="AA278" s="44" t="s">
        <v>1892</v>
      </c>
      <c r="AB278" s="44" t="s">
        <v>1893</v>
      </c>
    </row>
    <row r="279" spans="1:28" ht="15.75" customHeight="1">
      <c r="A279" s="71"/>
      <c r="B279" s="66" t="str">
        <f t="shared" si="17"/>
        <v/>
      </c>
      <c r="C279" s="71"/>
      <c r="D279" s="66" t="str">
        <f t="shared" si="18"/>
        <v/>
      </c>
      <c r="E279" s="71"/>
      <c r="F279" s="66" t="str">
        <f t="shared" si="16"/>
        <v/>
      </c>
      <c r="G279" s="59"/>
      <c r="H279" s="59"/>
      <c r="I279" s="59"/>
      <c r="J279" s="77"/>
      <c r="K279" s="75"/>
      <c r="L279" s="75"/>
      <c r="M279" s="77"/>
      <c r="N279" s="77"/>
      <c r="O279" s="44"/>
      <c r="P279" s="44" t="str">
        <f t="shared" si="2"/>
        <v/>
      </c>
      <c r="Q279" s="44" t="str">
        <f t="shared" si="3"/>
        <v/>
      </c>
      <c r="R279" s="44"/>
      <c r="S279" s="44"/>
      <c r="T279" s="44"/>
      <c r="U279" s="44"/>
      <c r="V279" s="44"/>
      <c r="W279" s="44"/>
      <c r="X279" s="44"/>
      <c r="Y279" s="44"/>
      <c r="Z279" s="44"/>
      <c r="AA279" s="44" t="s">
        <v>1894</v>
      </c>
      <c r="AB279" s="44" t="s">
        <v>1895</v>
      </c>
    </row>
    <row r="280" spans="1:28" ht="15.75" customHeight="1">
      <c r="A280" s="71"/>
      <c r="B280" s="66" t="str">
        <f t="shared" si="17"/>
        <v/>
      </c>
      <c r="C280" s="71"/>
      <c r="D280" s="66" t="str">
        <f t="shared" si="18"/>
        <v/>
      </c>
      <c r="E280" s="71"/>
      <c r="F280" s="66" t="str">
        <f t="shared" si="16"/>
        <v/>
      </c>
      <c r="G280" s="59"/>
      <c r="H280" s="59"/>
      <c r="I280" s="59"/>
      <c r="J280" s="77"/>
      <c r="K280" s="75"/>
      <c r="L280" s="75"/>
      <c r="M280" s="77"/>
      <c r="N280" s="77"/>
      <c r="O280" s="44"/>
      <c r="P280" s="44" t="str">
        <f t="shared" si="2"/>
        <v/>
      </c>
      <c r="Q280" s="44" t="str">
        <f t="shared" si="3"/>
        <v/>
      </c>
      <c r="R280" s="44"/>
      <c r="S280" s="44"/>
      <c r="T280" s="44"/>
      <c r="U280" s="44"/>
      <c r="V280" s="44"/>
      <c r="W280" s="44"/>
      <c r="X280" s="44"/>
      <c r="Y280" s="44"/>
      <c r="Z280" s="44"/>
      <c r="AA280" s="44" t="s">
        <v>1896</v>
      </c>
      <c r="AB280" s="44" t="s">
        <v>1897</v>
      </c>
    </row>
    <row r="281" spans="1:28" ht="15.75" customHeight="1">
      <c r="A281" s="71"/>
      <c r="B281" s="66" t="str">
        <f t="shared" si="17"/>
        <v/>
      </c>
      <c r="C281" s="71"/>
      <c r="D281" s="66" t="str">
        <f t="shared" si="18"/>
        <v/>
      </c>
      <c r="E281" s="71"/>
      <c r="F281" s="66" t="str">
        <f t="shared" si="16"/>
        <v/>
      </c>
      <c r="G281" s="59"/>
      <c r="H281" s="59"/>
      <c r="I281" s="59"/>
      <c r="J281" s="77"/>
      <c r="K281" s="75"/>
      <c r="L281" s="75"/>
      <c r="M281" s="77"/>
      <c r="N281" s="77"/>
      <c r="O281" s="44"/>
      <c r="P281" s="44" t="str">
        <f t="shared" si="2"/>
        <v/>
      </c>
      <c r="Q281" s="44" t="str">
        <f t="shared" si="3"/>
        <v/>
      </c>
      <c r="R281" s="44"/>
      <c r="S281" s="44"/>
      <c r="T281" s="44"/>
      <c r="U281" s="44"/>
      <c r="V281" s="44"/>
      <c r="W281" s="44"/>
      <c r="X281" s="44"/>
      <c r="Y281" s="44"/>
      <c r="Z281" s="44"/>
      <c r="AA281" s="44" t="s">
        <v>1898</v>
      </c>
      <c r="AB281" s="44" t="s">
        <v>1899</v>
      </c>
    </row>
    <row r="282" spans="1:28" ht="15.75" customHeight="1">
      <c r="A282" s="71"/>
      <c r="B282" s="66" t="str">
        <f t="shared" si="17"/>
        <v/>
      </c>
      <c r="C282" s="71"/>
      <c r="D282" s="66" t="str">
        <f t="shared" si="18"/>
        <v/>
      </c>
      <c r="E282" s="71"/>
      <c r="F282" s="66" t="str">
        <f t="shared" si="16"/>
        <v/>
      </c>
      <c r="G282" s="59"/>
      <c r="H282" s="59"/>
      <c r="I282" s="59"/>
      <c r="J282" s="77"/>
      <c r="K282" s="75"/>
      <c r="L282" s="75"/>
      <c r="M282" s="77"/>
      <c r="N282" s="77"/>
      <c r="O282" s="44"/>
      <c r="P282" s="44" t="str">
        <f t="shared" si="2"/>
        <v/>
      </c>
      <c r="Q282" s="44" t="str">
        <f t="shared" si="3"/>
        <v/>
      </c>
      <c r="R282" s="44"/>
      <c r="S282" s="44"/>
      <c r="T282" s="44"/>
      <c r="U282" s="44"/>
      <c r="V282" s="44"/>
      <c r="W282" s="44"/>
      <c r="X282" s="44"/>
      <c r="Y282" s="44"/>
      <c r="Z282" s="44"/>
      <c r="AA282" s="44" t="s">
        <v>1900</v>
      </c>
      <c r="AB282" s="44" t="s">
        <v>1901</v>
      </c>
    </row>
    <row r="283" spans="1:28" ht="15.75" customHeight="1">
      <c r="A283" s="71"/>
      <c r="B283" s="66" t="str">
        <f t="shared" si="17"/>
        <v/>
      </c>
      <c r="C283" s="71"/>
      <c r="D283" s="66" t="str">
        <f t="shared" si="18"/>
        <v/>
      </c>
      <c r="E283" s="71"/>
      <c r="F283" s="66" t="str">
        <f t="shared" si="16"/>
        <v/>
      </c>
      <c r="G283" s="59"/>
      <c r="H283" s="59"/>
      <c r="I283" s="59"/>
      <c r="J283" s="77"/>
      <c r="K283" s="75"/>
      <c r="L283" s="75"/>
      <c r="M283" s="77"/>
      <c r="N283" s="77"/>
      <c r="O283" s="44"/>
      <c r="P283" s="44" t="str">
        <f t="shared" si="2"/>
        <v/>
      </c>
      <c r="Q283" s="44" t="str">
        <f t="shared" si="3"/>
        <v/>
      </c>
      <c r="R283" s="44"/>
      <c r="S283" s="44"/>
      <c r="T283" s="44"/>
      <c r="U283" s="44"/>
      <c r="V283" s="44"/>
      <c r="W283" s="44"/>
      <c r="X283" s="44"/>
      <c r="Y283" s="44"/>
      <c r="Z283" s="44"/>
      <c r="AA283" s="44" t="s">
        <v>1902</v>
      </c>
      <c r="AB283" s="44" t="s">
        <v>1903</v>
      </c>
    </row>
    <row r="284" spans="1:28" ht="15.75" customHeight="1">
      <c r="A284" s="71"/>
      <c r="B284" s="66" t="str">
        <f t="shared" si="17"/>
        <v/>
      </c>
      <c r="C284" s="71"/>
      <c r="D284" s="66" t="str">
        <f t="shared" si="18"/>
        <v/>
      </c>
      <c r="E284" s="71"/>
      <c r="F284" s="66" t="str">
        <f t="shared" si="16"/>
        <v/>
      </c>
      <c r="G284" s="59"/>
      <c r="H284" s="59"/>
      <c r="I284" s="59"/>
      <c r="J284" s="77"/>
      <c r="K284" s="75"/>
      <c r="L284" s="75"/>
      <c r="M284" s="77"/>
      <c r="N284" s="77"/>
      <c r="O284" s="44"/>
      <c r="P284" s="44" t="str">
        <f t="shared" si="2"/>
        <v/>
      </c>
      <c r="Q284" s="44" t="str">
        <f t="shared" si="3"/>
        <v/>
      </c>
      <c r="R284" s="44"/>
      <c r="S284" s="44"/>
      <c r="T284" s="44"/>
      <c r="U284" s="44"/>
      <c r="V284" s="44"/>
      <c r="W284" s="44"/>
      <c r="X284" s="44"/>
      <c r="Y284" s="44"/>
      <c r="Z284" s="44"/>
      <c r="AA284" s="44" t="s">
        <v>1904</v>
      </c>
      <c r="AB284" s="44" t="s">
        <v>1905</v>
      </c>
    </row>
    <row r="285" spans="1:28" ht="15.75" customHeight="1">
      <c r="A285" s="71"/>
      <c r="B285" s="66" t="str">
        <f t="shared" si="17"/>
        <v/>
      </c>
      <c r="C285" s="71"/>
      <c r="D285" s="66" t="str">
        <f t="shared" si="18"/>
        <v/>
      </c>
      <c r="E285" s="71"/>
      <c r="F285" s="66" t="str">
        <f t="shared" si="16"/>
        <v/>
      </c>
      <c r="G285" s="59"/>
      <c r="H285" s="59"/>
      <c r="I285" s="59"/>
      <c r="J285" s="77"/>
      <c r="K285" s="75"/>
      <c r="L285" s="75"/>
      <c r="M285" s="77"/>
      <c r="N285" s="77"/>
      <c r="O285" s="44"/>
      <c r="P285" s="44" t="str">
        <f t="shared" si="2"/>
        <v/>
      </c>
      <c r="Q285" s="44" t="str">
        <f t="shared" si="3"/>
        <v/>
      </c>
      <c r="R285" s="44"/>
      <c r="S285" s="44"/>
      <c r="T285" s="44"/>
      <c r="U285" s="44"/>
      <c r="V285" s="44"/>
      <c r="W285" s="44"/>
      <c r="X285" s="44"/>
      <c r="Y285" s="44"/>
      <c r="Z285" s="44"/>
      <c r="AA285" s="44" t="s">
        <v>1906</v>
      </c>
      <c r="AB285" s="44" t="s">
        <v>1907</v>
      </c>
    </row>
    <row r="286" spans="1:28" ht="15.75" customHeight="1">
      <c r="A286" s="71"/>
      <c r="B286" s="66" t="str">
        <f t="shared" si="17"/>
        <v/>
      </c>
      <c r="C286" s="71"/>
      <c r="D286" s="66" t="str">
        <f t="shared" si="18"/>
        <v/>
      </c>
      <c r="E286" s="71"/>
      <c r="F286" s="66" t="str">
        <f t="shared" si="16"/>
        <v/>
      </c>
      <c r="G286" s="59"/>
      <c r="H286" s="59"/>
      <c r="I286" s="59"/>
      <c r="J286" s="77"/>
      <c r="K286" s="75"/>
      <c r="L286" s="75"/>
      <c r="M286" s="77"/>
      <c r="N286" s="77"/>
      <c r="O286" s="44"/>
      <c r="P286" s="44" t="str">
        <f t="shared" si="2"/>
        <v/>
      </c>
      <c r="Q286" s="44" t="str">
        <f t="shared" si="3"/>
        <v/>
      </c>
      <c r="R286" s="44"/>
      <c r="S286" s="44"/>
      <c r="T286" s="44"/>
      <c r="U286" s="44"/>
      <c r="V286" s="44"/>
      <c r="W286" s="44"/>
      <c r="X286" s="44"/>
      <c r="Y286" s="44"/>
      <c r="Z286" s="44"/>
      <c r="AA286" s="44" t="s">
        <v>1908</v>
      </c>
      <c r="AB286" s="44" t="s">
        <v>1907</v>
      </c>
    </row>
    <row r="287" spans="1:28" ht="15.75" customHeight="1">
      <c r="A287" s="71"/>
      <c r="B287" s="66" t="str">
        <f t="shared" si="17"/>
        <v/>
      </c>
      <c r="C287" s="71"/>
      <c r="D287" s="66" t="str">
        <f t="shared" si="18"/>
        <v/>
      </c>
      <c r="E287" s="71"/>
      <c r="F287" s="66" t="str">
        <f t="shared" si="16"/>
        <v/>
      </c>
      <c r="G287" s="59"/>
      <c r="H287" s="59"/>
      <c r="I287" s="59"/>
      <c r="J287" s="77"/>
      <c r="K287" s="75"/>
      <c r="L287" s="75"/>
      <c r="M287" s="77"/>
      <c r="N287" s="77"/>
      <c r="O287" s="44"/>
      <c r="P287" s="44" t="str">
        <f t="shared" si="2"/>
        <v/>
      </c>
      <c r="Q287" s="44" t="str">
        <f t="shared" si="3"/>
        <v/>
      </c>
      <c r="R287" s="44"/>
      <c r="S287" s="44"/>
      <c r="T287" s="44"/>
      <c r="U287" s="44"/>
      <c r="V287" s="44"/>
      <c r="W287" s="44"/>
      <c r="X287" s="44"/>
      <c r="Y287" s="44"/>
      <c r="Z287" s="44"/>
      <c r="AA287" s="44" t="s">
        <v>1909</v>
      </c>
      <c r="AB287" s="44" t="s">
        <v>1910</v>
      </c>
    </row>
    <row r="288" spans="1:28" ht="15.75" customHeight="1">
      <c r="A288" s="71"/>
      <c r="B288" s="66" t="str">
        <f t="shared" si="17"/>
        <v/>
      </c>
      <c r="C288" s="71"/>
      <c r="D288" s="66" t="str">
        <f t="shared" si="18"/>
        <v/>
      </c>
      <c r="E288" s="71"/>
      <c r="F288" s="66" t="str">
        <f t="shared" si="16"/>
        <v/>
      </c>
      <c r="G288" s="59"/>
      <c r="H288" s="59"/>
      <c r="I288" s="59"/>
      <c r="J288" s="77"/>
      <c r="K288" s="75"/>
      <c r="L288" s="75"/>
      <c r="M288" s="77"/>
      <c r="N288" s="77"/>
      <c r="O288" s="44"/>
      <c r="P288" s="44" t="str">
        <f t="shared" si="2"/>
        <v/>
      </c>
      <c r="Q288" s="44" t="str">
        <f t="shared" si="3"/>
        <v/>
      </c>
      <c r="R288" s="44"/>
      <c r="S288" s="44"/>
      <c r="T288" s="44"/>
      <c r="U288" s="44"/>
      <c r="V288" s="44"/>
      <c r="W288" s="44"/>
      <c r="X288" s="44"/>
      <c r="Y288" s="44"/>
      <c r="Z288" s="44"/>
      <c r="AA288" s="44" t="s">
        <v>1911</v>
      </c>
      <c r="AB288" s="44" t="s">
        <v>1910</v>
      </c>
    </row>
    <row r="289" spans="1:28" ht="15.75" customHeight="1">
      <c r="A289" s="71"/>
      <c r="B289" s="66" t="str">
        <f t="shared" si="17"/>
        <v/>
      </c>
      <c r="C289" s="71"/>
      <c r="D289" s="66" t="str">
        <f t="shared" si="18"/>
        <v/>
      </c>
      <c r="E289" s="71"/>
      <c r="F289" s="66" t="str">
        <f t="shared" si="16"/>
        <v/>
      </c>
      <c r="G289" s="59"/>
      <c r="H289" s="59"/>
      <c r="I289" s="59"/>
      <c r="J289" s="77"/>
      <c r="K289" s="75"/>
      <c r="L289" s="75"/>
      <c r="M289" s="77"/>
      <c r="N289" s="77"/>
      <c r="O289" s="44"/>
      <c r="P289" s="44" t="str">
        <f t="shared" si="2"/>
        <v/>
      </c>
      <c r="Q289" s="44" t="str">
        <f t="shared" si="3"/>
        <v/>
      </c>
      <c r="R289" s="44"/>
      <c r="S289" s="44"/>
      <c r="T289" s="44"/>
      <c r="U289" s="44"/>
      <c r="V289" s="44"/>
      <c r="W289" s="44"/>
      <c r="X289" s="44"/>
      <c r="Y289" s="44"/>
      <c r="Z289" s="44"/>
      <c r="AA289" s="44" t="s">
        <v>1912</v>
      </c>
      <c r="AB289" s="44" t="s">
        <v>1913</v>
      </c>
    </row>
    <row r="290" spans="1:28" ht="15.75" customHeight="1">
      <c r="A290" s="71"/>
      <c r="B290" s="66" t="str">
        <f t="shared" si="17"/>
        <v/>
      </c>
      <c r="C290" s="71"/>
      <c r="D290" s="66" t="str">
        <f t="shared" si="18"/>
        <v/>
      </c>
      <c r="E290" s="71"/>
      <c r="F290" s="66" t="str">
        <f t="shared" si="16"/>
        <v/>
      </c>
      <c r="G290" s="59"/>
      <c r="H290" s="59"/>
      <c r="I290" s="59"/>
      <c r="J290" s="77"/>
      <c r="K290" s="75"/>
      <c r="L290" s="75"/>
      <c r="M290" s="77"/>
      <c r="N290" s="77"/>
      <c r="O290" s="44"/>
      <c r="P290" s="44" t="str">
        <f t="shared" si="2"/>
        <v/>
      </c>
      <c r="Q290" s="44" t="str">
        <f t="shared" si="3"/>
        <v/>
      </c>
      <c r="R290" s="44"/>
      <c r="S290" s="44"/>
      <c r="T290" s="44"/>
      <c r="U290" s="44"/>
      <c r="V290" s="44"/>
      <c r="W290" s="44"/>
      <c r="X290" s="44"/>
      <c r="Y290" s="44"/>
      <c r="Z290" s="44"/>
      <c r="AA290" s="44" t="s">
        <v>1914</v>
      </c>
      <c r="AB290" s="44" t="s">
        <v>1915</v>
      </c>
    </row>
    <row r="291" spans="1:28" ht="15.75" customHeight="1">
      <c r="A291" s="71"/>
      <c r="B291" s="66" t="str">
        <f t="shared" si="17"/>
        <v/>
      </c>
      <c r="C291" s="71"/>
      <c r="D291" s="66" t="str">
        <f t="shared" si="18"/>
        <v/>
      </c>
      <c r="E291" s="71"/>
      <c r="F291" s="66" t="str">
        <f t="shared" si="16"/>
        <v/>
      </c>
      <c r="G291" s="59"/>
      <c r="H291" s="59"/>
      <c r="I291" s="59"/>
      <c r="J291" s="77"/>
      <c r="K291" s="75"/>
      <c r="L291" s="75"/>
      <c r="M291" s="77"/>
      <c r="N291" s="77"/>
      <c r="O291" s="44"/>
      <c r="P291" s="44" t="str">
        <f t="shared" si="2"/>
        <v/>
      </c>
      <c r="Q291" s="44" t="str">
        <f t="shared" si="3"/>
        <v/>
      </c>
      <c r="R291" s="44"/>
      <c r="S291" s="44"/>
      <c r="T291" s="44"/>
      <c r="U291" s="44"/>
      <c r="V291" s="44"/>
      <c r="W291" s="44"/>
      <c r="X291" s="44"/>
      <c r="Y291" s="44"/>
      <c r="Z291" s="44"/>
      <c r="AA291" s="44" t="s">
        <v>1916</v>
      </c>
      <c r="AB291" s="44" t="s">
        <v>1917</v>
      </c>
    </row>
    <row r="292" spans="1:28" ht="15.75" customHeight="1">
      <c r="A292" s="71"/>
      <c r="B292" s="66" t="str">
        <f t="shared" si="17"/>
        <v/>
      </c>
      <c r="C292" s="71"/>
      <c r="D292" s="66" t="str">
        <f t="shared" si="18"/>
        <v/>
      </c>
      <c r="E292" s="71"/>
      <c r="F292" s="66" t="str">
        <f t="shared" si="16"/>
        <v/>
      </c>
      <c r="G292" s="59"/>
      <c r="H292" s="59"/>
      <c r="I292" s="59"/>
      <c r="J292" s="77"/>
      <c r="K292" s="75"/>
      <c r="L292" s="75"/>
      <c r="M292" s="77"/>
      <c r="N292" s="77"/>
      <c r="O292" s="44"/>
      <c r="P292" s="44" t="str">
        <f t="shared" si="2"/>
        <v/>
      </c>
      <c r="Q292" s="44" t="str">
        <f t="shared" si="3"/>
        <v/>
      </c>
      <c r="R292" s="44"/>
      <c r="S292" s="44"/>
      <c r="T292" s="44"/>
      <c r="U292" s="44"/>
      <c r="V292" s="44"/>
      <c r="W292" s="44"/>
      <c r="X292" s="44"/>
      <c r="Y292" s="44"/>
      <c r="Z292" s="44"/>
      <c r="AA292" s="44" t="s">
        <v>1918</v>
      </c>
      <c r="AB292" s="44" t="s">
        <v>1919</v>
      </c>
    </row>
    <row r="293" spans="1:28" ht="15.75" customHeight="1">
      <c r="A293" s="71"/>
      <c r="B293" s="66" t="str">
        <f t="shared" si="17"/>
        <v/>
      </c>
      <c r="C293" s="71"/>
      <c r="D293" s="66" t="str">
        <f t="shared" si="18"/>
        <v/>
      </c>
      <c r="E293" s="71"/>
      <c r="F293" s="66" t="str">
        <f t="shared" si="16"/>
        <v/>
      </c>
      <c r="G293" s="59"/>
      <c r="H293" s="59"/>
      <c r="I293" s="59"/>
      <c r="J293" s="77"/>
      <c r="K293" s="75"/>
      <c r="L293" s="75"/>
      <c r="M293" s="77"/>
      <c r="N293" s="77"/>
      <c r="O293" s="44"/>
      <c r="P293" s="44" t="str">
        <f t="shared" si="2"/>
        <v/>
      </c>
      <c r="Q293" s="44" t="str">
        <f t="shared" si="3"/>
        <v/>
      </c>
      <c r="R293" s="44"/>
      <c r="S293" s="44"/>
      <c r="T293" s="44"/>
      <c r="U293" s="44"/>
      <c r="V293" s="44"/>
      <c r="W293" s="44"/>
      <c r="X293" s="44"/>
      <c r="Y293" s="44"/>
      <c r="Z293" s="44"/>
      <c r="AA293" s="44" t="s">
        <v>1920</v>
      </c>
      <c r="AB293" s="44" t="s">
        <v>1921</v>
      </c>
    </row>
    <row r="294" spans="1:28" ht="15.75" customHeight="1">
      <c r="A294" s="71"/>
      <c r="B294" s="66" t="str">
        <f t="shared" si="17"/>
        <v/>
      </c>
      <c r="C294" s="71"/>
      <c r="D294" s="66" t="str">
        <f t="shared" si="18"/>
        <v/>
      </c>
      <c r="E294" s="71"/>
      <c r="F294" s="66" t="str">
        <f t="shared" si="16"/>
        <v/>
      </c>
      <c r="G294" s="59"/>
      <c r="H294" s="59"/>
      <c r="I294" s="59"/>
      <c r="J294" s="77"/>
      <c r="K294" s="75"/>
      <c r="L294" s="75"/>
      <c r="M294" s="77"/>
      <c r="N294" s="77"/>
      <c r="O294" s="44"/>
      <c r="P294" s="44" t="str">
        <f t="shared" si="2"/>
        <v/>
      </c>
      <c r="Q294" s="44" t="str">
        <f t="shared" si="3"/>
        <v/>
      </c>
      <c r="R294" s="44"/>
      <c r="S294" s="44"/>
      <c r="T294" s="44"/>
      <c r="U294" s="44"/>
      <c r="V294" s="44"/>
      <c r="W294" s="44"/>
      <c r="X294" s="44"/>
      <c r="Y294" s="44"/>
      <c r="Z294" s="44"/>
      <c r="AA294" s="44" t="s">
        <v>1922</v>
      </c>
      <c r="AB294" s="44" t="s">
        <v>1923</v>
      </c>
    </row>
    <row r="295" spans="1:28" ht="15.75" customHeight="1">
      <c r="A295" s="71"/>
      <c r="B295" s="66" t="str">
        <f t="shared" si="17"/>
        <v/>
      </c>
      <c r="C295" s="71"/>
      <c r="D295" s="66" t="str">
        <f t="shared" si="18"/>
        <v/>
      </c>
      <c r="E295" s="71"/>
      <c r="F295" s="66" t="str">
        <f t="shared" si="16"/>
        <v/>
      </c>
      <c r="G295" s="59"/>
      <c r="H295" s="59"/>
      <c r="I295" s="59"/>
      <c r="J295" s="77"/>
      <c r="K295" s="75"/>
      <c r="L295" s="75"/>
      <c r="M295" s="77"/>
      <c r="N295" s="77"/>
      <c r="O295" s="44"/>
      <c r="P295" s="44" t="str">
        <f t="shared" si="2"/>
        <v/>
      </c>
      <c r="Q295" s="44" t="str">
        <f t="shared" si="3"/>
        <v/>
      </c>
      <c r="R295" s="44"/>
      <c r="S295" s="44"/>
      <c r="T295" s="44"/>
      <c r="U295" s="44"/>
      <c r="V295" s="44"/>
      <c r="W295" s="44"/>
      <c r="X295" s="44"/>
      <c r="Y295" s="44"/>
      <c r="Z295" s="44"/>
      <c r="AA295" s="44" t="s">
        <v>1924</v>
      </c>
      <c r="AB295" s="44" t="s">
        <v>1925</v>
      </c>
    </row>
    <row r="296" spans="1:28" ht="15.75" customHeight="1">
      <c r="A296" s="71"/>
      <c r="B296" s="66" t="str">
        <f t="shared" si="17"/>
        <v/>
      </c>
      <c r="C296" s="71"/>
      <c r="D296" s="66" t="str">
        <f t="shared" si="18"/>
        <v/>
      </c>
      <c r="E296" s="71"/>
      <c r="F296" s="66" t="str">
        <f t="shared" si="16"/>
        <v/>
      </c>
      <c r="G296" s="59"/>
      <c r="H296" s="59"/>
      <c r="I296" s="59"/>
      <c r="J296" s="77"/>
      <c r="K296" s="75"/>
      <c r="L296" s="75"/>
      <c r="M296" s="77"/>
      <c r="N296" s="77"/>
      <c r="O296" s="44"/>
      <c r="P296" s="44" t="str">
        <f t="shared" si="2"/>
        <v/>
      </c>
      <c r="Q296" s="44" t="str">
        <f t="shared" si="3"/>
        <v/>
      </c>
      <c r="R296" s="44"/>
      <c r="S296" s="44"/>
      <c r="T296" s="44"/>
      <c r="U296" s="44"/>
      <c r="V296" s="44"/>
      <c r="W296" s="44"/>
      <c r="X296" s="44"/>
      <c r="Y296" s="44"/>
      <c r="Z296" s="44"/>
      <c r="AA296" s="44" t="s">
        <v>1926</v>
      </c>
      <c r="AB296" s="44" t="s">
        <v>1927</v>
      </c>
    </row>
    <row r="297" spans="1:28" ht="15.75" customHeight="1">
      <c r="A297" s="71"/>
      <c r="B297" s="66" t="str">
        <f t="shared" si="17"/>
        <v/>
      </c>
      <c r="C297" s="71"/>
      <c r="D297" s="66" t="str">
        <f t="shared" si="18"/>
        <v/>
      </c>
      <c r="E297" s="71"/>
      <c r="F297" s="66" t="str">
        <f t="shared" si="16"/>
        <v/>
      </c>
      <c r="G297" s="59"/>
      <c r="H297" s="59"/>
      <c r="I297" s="59"/>
      <c r="J297" s="77"/>
      <c r="K297" s="75"/>
      <c r="L297" s="75"/>
      <c r="M297" s="77"/>
      <c r="N297" s="77"/>
      <c r="O297" s="44"/>
      <c r="P297" s="44" t="str">
        <f t="shared" si="2"/>
        <v/>
      </c>
      <c r="Q297" s="44" t="str">
        <f t="shared" si="3"/>
        <v/>
      </c>
      <c r="R297" s="44"/>
      <c r="S297" s="44"/>
      <c r="T297" s="44"/>
      <c r="U297" s="44"/>
      <c r="V297" s="44"/>
      <c r="W297" s="44"/>
      <c r="X297" s="44"/>
      <c r="Y297" s="44"/>
      <c r="Z297" s="44"/>
      <c r="AA297" s="44" t="s">
        <v>1928</v>
      </c>
      <c r="AB297" s="44" t="s">
        <v>1929</v>
      </c>
    </row>
    <row r="298" spans="1:28" ht="15.75" customHeight="1">
      <c r="A298" s="71"/>
      <c r="B298" s="66" t="str">
        <f t="shared" si="17"/>
        <v/>
      </c>
      <c r="C298" s="71"/>
      <c r="D298" s="66" t="str">
        <f t="shared" si="18"/>
        <v/>
      </c>
      <c r="E298" s="71"/>
      <c r="F298" s="66" t="str">
        <f t="shared" si="16"/>
        <v/>
      </c>
      <c r="G298" s="59"/>
      <c r="H298" s="59"/>
      <c r="I298" s="59"/>
      <c r="J298" s="77"/>
      <c r="K298" s="75"/>
      <c r="L298" s="75"/>
      <c r="M298" s="77"/>
      <c r="N298" s="77"/>
      <c r="O298" s="44"/>
      <c r="P298" s="44" t="str">
        <f t="shared" si="2"/>
        <v/>
      </c>
      <c r="Q298" s="44" t="str">
        <f t="shared" si="3"/>
        <v/>
      </c>
      <c r="R298" s="44"/>
      <c r="S298" s="44"/>
      <c r="T298" s="44"/>
      <c r="U298" s="44"/>
      <c r="V298" s="44"/>
      <c r="W298" s="44"/>
      <c r="X298" s="44"/>
      <c r="Y298" s="44"/>
      <c r="Z298" s="44"/>
      <c r="AA298" s="44" t="s">
        <v>1930</v>
      </c>
      <c r="AB298" s="44" t="s">
        <v>1931</v>
      </c>
    </row>
    <row r="299" spans="1:28" ht="15.75" customHeight="1">
      <c r="A299" s="71"/>
      <c r="B299" s="66" t="str">
        <f t="shared" si="17"/>
        <v/>
      </c>
      <c r="C299" s="71"/>
      <c r="D299" s="66" t="str">
        <f t="shared" si="18"/>
        <v/>
      </c>
      <c r="E299" s="71"/>
      <c r="F299" s="66" t="str">
        <f t="shared" si="16"/>
        <v/>
      </c>
      <c r="G299" s="59"/>
      <c r="H299" s="59"/>
      <c r="I299" s="59"/>
      <c r="J299" s="77"/>
      <c r="K299" s="75"/>
      <c r="L299" s="75"/>
      <c r="M299" s="77"/>
      <c r="N299" s="77"/>
      <c r="O299" s="44"/>
      <c r="P299" s="44" t="str">
        <f t="shared" si="2"/>
        <v/>
      </c>
      <c r="Q299" s="44" t="str">
        <f t="shared" si="3"/>
        <v/>
      </c>
      <c r="R299" s="44"/>
      <c r="S299" s="44"/>
      <c r="T299" s="44"/>
      <c r="U299" s="44"/>
      <c r="V299" s="44"/>
      <c r="W299" s="44"/>
      <c r="X299" s="44"/>
      <c r="Y299" s="44"/>
      <c r="Z299" s="44"/>
      <c r="AA299" s="44" t="s">
        <v>1932</v>
      </c>
      <c r="AB299" s="44" t="s">
        <v>1933</v>
      </c>
    </row>
    <row r="300" spans="1:28" ht="15.75" customHeight="1">
      <c r="A300" s="71"/>
      <c r="B300" s="66" t="str">
        <f t="shared" si="17"/>
        <v/>
      </c>
      <c r="C300" s="71"/>
      <c r="D300" s="66" t="str">
        <f t="shared" si="18"/>
        <v/>
      </c>
      <c r="E300" s="71"/>
      <c r="F300" s="66" t="str">
        <f t="shared" si="16"/>
        <v/>
      </c>
      <c r="G300" s="59"/>
      <c r="H300" s="59"/>
      <c r="I300" s="59"/>
      <c r="J300" s="77"/>
      <c r="K300" s="75"/>
      <c r="L300" s="75"/>
      <c r="M300" s="77"/>
      <c r="N300" s="77"/>
      <c r="O300" s="44"/>
      <c r="P300" s="44" t="str">
        <f t="shared" si="2"/>
        <v/>
      </c>
      <c r="Q300" s="44" t="str">
        <f t="shared" si="3"/>
        <v/>
      </c>
      <c r="R300" s="44"/>
      <c r="S300" s="44"/>
      <c r="T300" s="44"/>
      <c r="U300" s="44"/>
      <c r="V300" s="44"/>
      <c r="W300" s="44"/>
      <c r="X300" s="44"/>
      <c r="Y300" s="44"/>
      <c r="Z300" s="44"/>
      <c r="AA300" s="44" t="s">
        <v>1934</v>
      </c>
      <c r="AB300" s="44" t="s">
        <v>1935</v>
      </c>
    </row>
    <row r="301" spans="1:28" ht="15.75" customHeight="1">
      <c r="A301" s="71"/>
      <c r="B301" s="66" t="str">
        <f t="shared" si="17"/>
        <v/>
      </c>
      <c r="C301" s="71"/>
      <c r="D301" s="66" t="str">
        <f t="shared" si="18"/>
        <v/>
      </c>
      <c r="E301" s="71"/>
      <c r="F301" s="66" t="str">
        <f t="shared" si="16"/>
        <v/>
      </c>
      <c r="G301" s="59"/>
      <c r="H301" s="59"/>
      <c r="I301" s="59"/>
      <c r="J301" s="77"/>
      <c r="K301" s="75"/>
      <c r="L301" s="75"/>
      <c r="M301" s="77"/>
      <c r="N301" s="77"/>
      <c r="O301" s="44"/>
      <c r="P301" s="44" t="str">
        <f t="shared" si="2"/>
        <v/>
      </c>
      <c r="Q301" s="44" t="str">
        <f t="shared" si="3"/>
        <v/>
      </c>
      <c r="R301" s="44"/>
      <c r="S301" s="44"/>
      <c r="T301" s="44"/>
      <c r="U301" s="44"/>
      <c r="V301" s="44"/>
      <c r="W301" s="44"/>
      <c r="X301" s="44"/>
      <c r="Y301" s="44"/>
      <c r="Z301" s="44"/>
      <c r="AA301" s="44" t="s">
        <v>1936</v>
      </c>
      <c r="AB301" s="44" t="s">
        <v>1937</v>
      </c>
    </row>
    <row r="302" spans="1:28" ht="15.75" customHeight="1">
      <c r="A302" s="71"/>
      <c r="B302" s="66" t="str">
        <f t="shared" si="17"/>
        <v/>
      </c>
      <c r="C302" s="71"/>
      <c r="D302" s="66" t="str">
        <f t="shared" si="18"/>
        <v/>
      </c>
      <c r="E302" s="71"/>
      <c r="F302" s="66" t="str">
        <f t="shared" si="16"/>
        <v/>
      </c>
      <c r="G302" s="59"/>
      <c r="H302" s="59"/>
      <c r="I302" s="59"/>
      <c r="J302" s="77"/>
      <c r="K302" s="75"/>
      <c r="L302" s="75"/>
      <c r="M302" s="77"/>
      <c r="N302" s="77"/>
      <c r="O302" s="44"/>
      <c r="P302" s="44" t="str">
        <f t="shared" si="2"/>
        <v/>
      </c>
      <c r="Q302" s="44" t="str">
        <f t="shared" si="3"/>
        <v/>
      </c>
      <c r="R302" s="44"/>
      <c r="S302" s="44"/>
      <c r="T302" s="44"/>
      <c r="U302" s="44"/>
      <c r="V302" s="44"/>
      <c r="W302" s="44"/>
      <c r="X302" s="44"/>
      <c r="Y302" s="44"/>
      <c r="Z302" s="44"/>
      <c r="AA302" s="44" t="s">
        <v>1938</v>
      </c>
      <c r="AB302" s="44" t="s">
        <v>1939</v>
      </c>
    </row>
    <row r="303" spans="1:28" ht="15.75" customHeight="1">
      <c r="A303" s="71"/>
      <c r="B303" s="66" t="str">
        <f t="shared" si="17"/>
        <v/>
      </c>
      <c r="C303" s="71"/>
      <c r="D303" s="66" t="str">
        <f t="shared" si="18"/>
        <v/>
      </c>
      <c r="E303" s="71"/>
      <c r="F303" s="66" t="str">
        <f t="shared" si="16"/>
        <v/>
      </c>
      <c r="G303" s="59"/>
      <c r="H303" s="59"/>
      <c r="I303" s="59"/>
      <c r="J303" s="77"/>
      <c r="K303" s="75"/>
      <c r="L303" s="75"/>
      <c r="M303" s="77"/>
      <c r="N303" s="77"/>
      <c r="O303" s="44"/>
      <c r="P303" s="44" t="str">
        <f t="shared" si="2"/>
        <v/>
      </c>
      <c r="Q303" s="44" t="str">
        <f t="shared" si="3"/>
        <v/>
      </c>
      <c r="R303" s="44"/>
      <c r="S303" s="44"/>
      <c r="T303" s="44"/>
      <c r="U303" s="44"/>
      <c r="V303" s="44"/>
      <c r="W303" s="44"/>
      <c r="X303" s="44"/>
      <c r="Y303" s="44"/>
      <c r="Z303" s="44"/>
      <c r="AA303" s="44" t="s">
        <v>1940</v>
      </c>
      <c r="AB303" s="44" t="s">
        <v>1941</v>
      </c>
    </row>
    <row r="304" spans="1:28" ht="15.75" customHeight="1">
      <c r="A304" s="71"/>
      <c r="B304" s="66" t="str">
        <f t="shared" si="17"/>
        <v/>
      </c>
      <c r="C304" s="71"/>
      <c r="D304" s="66" t="str">
        <f t="shared" si="18"/>
        <v/>
      </c>
      <c r="E304" s="71"/>
      <c r="F304" s="66" t="str">
        <f t="shared" si="16"/>
        <v/>
      </c>
      <c r="G304" s="59"/>
      <c r="H304" s="59"/>
      <c r="I304" s="59"/>
      <c r="J304" s="77"/>
      <c r="K304" s="75"/>
      <c r="L304" s="75"/>
      <c r="M304" s="77"/>
      <c r="N304" s="77"/>
      <c r="O304" s="44"/>
      <c r="P304" s="44" t="str">
        <f t="shared" si="2"/>
        <v/>
      </c>
      <c r="Q304" s="44" t="str">
        <f t="shared" si="3"/>
        <v/>
      </c>
      <c r="R304" s="44"/>
      <c r="S304" s="44"/>
      <c r="T304" s="44"/>
      <c r="U304" s="44"/>
      <c r="V304" s="44"/>
      <c r="W304" s="44"/>
      <c r="X304" s="44"/>
      <c r="Y304" s="44"/>
      <c r="Z304" s="44"/>
      <c r="AA304" s="44" t="s">
        <v>1942</v>
      </c>
      <c r="AB304" s="44" t="s">
        <v>1943</v>
      </c>
    </row>
    <row r="305" spans="1:28" ht="15.75" customHeight="1">
      <c r="A305" s="71"/>
      <c r="B305" s="66" t="str">
        <f t="shared" si="17"/>
        <v/>
      </c>
      <c r="C305" s="71"/>
      <c r="D305" s="66" t="str">
        <f t="shared" si="18"/>
        <v/>
      </c>
      <c r="E305" s="71"/>
      <c r="F305" s="66" t="str">
        <f t="shared" si="16"/>
        <v/>
      </c>
      <c r="G305" s="59"/>
      <c r="H305" s="59"/>
      <c r="I305" s="59"/>
      <c r="J305" s="77"/>
      <c r="K305" s="75"/>
      <c r="L305" s="75"/>
      <c r="M305" s="77"/>
      <c r="N305" s="77"/>
      <c r="O305" s="44"/>
      <c r="P305" s="44" t="str">
        <f t="shared" si="2"/>
        <v/>
      </c>
      <c r="Q305" s="44" t="str">
        <f t="shared" si="3"/>
        <v/>
      </c>
      <c r="R305" s="44"/>
      <c r="S305" s="44"/>
      <c r="T305" s="44"/>
      <c r="U305" s="44"/>
      <c r="V305" s="44"/>
      <c r="W305" s="44"/>
      <c r="X305" s="44"/>
      <c r="Y305" s="44"/>
      <c r="Z305" s="44"/>
      <c r="AA305" s="44" t="s">
        <v>1944</v>
      </c>
      <c r="AB305" s="44" t="s">
        <v>1945</v>
      </c>
    </row>
    <row r="306" spans="1:28" ht="15.75" customHeight="1">
      <c r="A306" s="71"/>
      <c r="B306" s="66" t="str">
        <f t="shared" si="17"/>
        <v/>
      </c>
      <c r="C306" s="71"/>
      <c r="D306" s="66" t="str">
        <f t="shared" si="18"/>
        <v/>
      </c>
      <c r="E306" s="71"/>
      <c r="F306" s="66" t="str">
        <f t="shared" si="16"/>
        <v/>
      </c>
      <c r="G306" s="59"/>
      <c r="H306" s="59"/>
      <c r="I306" s="59"/>
      <c r="J306" s="77"/>
      <c r="K306" s="75"/>
      <c r="L306" s="75"/>
      <c r="M306" s="77"/>
      <c r="N306" s="77"/>
      <c r="O306" s="44"/>
      <c r="P306" s="44" t="str">
        <f t="shared" si="2"/>
        <v/>
      </c>
      <c r="Q306" s="44" t="str">
        <f t="shared" si="3"/>
        <v/>
      </c>
      <c r="R306" s="44"/>
      <c r="S306" s="44"/>
      <c r="T306" s="44"/>
      <c r="U306" s="44"/>
      <c r="V306" s="44"/>
      <c r="W306" s="44"/>
      <c r="X306" s="44"/>
      <c r="Y306" s="44"/>
      <c r="Z306" s="44"/>
      <c r="AA306" s="44" t="s">
        <v>1946</v>
      </c>
      <c r="AB306" s="44" t="s">
        <v>1947</v>
      </c>
    </row>
    <row r="307" spans="1:28" ht="15.75" customHeight="1">
      <c r="A307" s="71"/>
      <c r="B307" s="66" t="str">
        <f t="shared" si="17"/>
        <v/>
      </c>
      <c r="C307" s="71"/>
      <c r="D307" s="66" t="str">
        <f t="shared" si="18"/>
        <v/>
      </c>
      <c r="E307" s="71"/>
      <c r="F307" s="66" t="str">
        <f t="shared" si="16"/>
        <v/>
      </c>
      <c r="G307" s="59"/>
      <c r="H307" s="59"/>
      <c r="I307" s="59"/>
      <c r="J307" s="77"/>
      <c r="K307" s="75"/>
      <c r="L307" s="75"/>
      <c r="M307" s="77"/>
      <c r="N307" s="77"/>
      <c r="O307" s="44"/>
      <c r="P307" s="44" t="str">
        <f t="shared" si="2"/>
        <v/>
      </c>
      <c r="Q307" s="44" t="str">
        <f t="shared" si="3"/>
        <v/>
      </c>
      <c r="R307" s="44"/>
      <c r="S307" s="44"/>
      <c r="T307" s="44"/>
      <c r="U307" s="44"/>
      <c r="V307" s="44"/>
      <c r="W307" s="44"/>
      <c r="X307" s="44"/>
      <c r="Y307" s="44"/>
      <c r="Z307" s="44"/>
      <c r="AA307" s="44" t="s">
        <v>1948</v>
      </c>
      <c r="AB307" s="44" t="s">
        <v>1949</v>
      </c>
    </row>
    <row r="308" spans="1:28" ht="15.75" customHeight="1">
      <c r="A308" s="71"/>
      <c r="B308" s="66" t="str">
        <f t="shared" si="17"/>
        <v/>
      </c>
      <c r="C308" s="71"/>
      <c r="D308" s="66" t="str">
        <f t="shared" si="18"/>
        <v/>
      </c>
      <c r="E308" s="71"/>
      <c r="F308" s="66" t="str">
        <f t="shared" si="16"/>
        <v/>
      </c>
      <c r="G308" s="59"/>
      <c r="H308" s="59"/>
      <c r="I308" s="59"/>
      <c r="J308" s="77"/>
      <c r="K308" s="75"/>
      <c r="L308" s="75"/>
      <c r="M308" s="77"/>
      <c r="N308" s="77"/>
      <c r="O308" s="44"/>
      <c r="P308" s="44" t="str">
        <f t="shared" si="2"/>
        <v/>
      </c>
      <c r="Q308" s="44" t="str">
        <f t="shared" si="3"/>
        <v/>
      </c>
      <c r="R308" s="44"/>
      <c r="S308" s="44"/>
      <c r="T308" s="44"/>
      <c r="U308" s="44"/>
      <c r="V308" s="44"/>
      <c r="W308" s="44"/>
      <c r="X308" s="44"/>
      <c r="Y308" s="44"/>
      <c r="Z308" s="44"/>
      <c r="AA308" s="44" t="s">
        <v>1950</v>
      </c>
      <c r="AB308" s="44" t="s">
        <v>1951</v>
      </c>
    </row>
    <row r="309" spans="1:28" ht="15.75" customHeight="1">
      <c r="A309" s="71"/>
      <c r="B309" s="66" t="str">
        <f t="shared" si="17"/>
        <v/>
      </c>
      <c r="C309" s="71"/>
      <c r="D309" s="66" t="str">
        <f t="shared" si="18"/>
        <v/>
      </c>
      <c r="E309" s="71"/>
      <c r="F309" s="66" t="str">
        <f t="shared" ref="F309:F372" si="19">IFERROR(VLOOKUP(E309,$AA$6:$AB$1016,2,FALSE),"")</f>
        <v/>
      </c>
      <c r="G309" s="59"/>
      <c r="H309" s="59"/>
      <c r="I309" s="59"/>
      <c r="J309" s="77"/>
      <c r="K309" s="75"/>
      <c r="L309" s="75"/>
      <c r="M309" s="77"/>
      <c r="N309" s="77"/>
      <c r="O309" s="44"/>
      <c r="P309" s="44" t="str">
        <f t="shared" si="2"/>
        <v/>
      </c>
      <c r="Q309" s="44" t="str">
        <f t="shared" si="3"/>
        <v/>
      </c>
      <c r="R309" s="44"/>
      <c r="S309" s="44"/>
      <c r="T309" s="44"/>
      <c r="U309" s="44"/>
      <c r="V309" s="44"/>
      <c r="W309" s="44"/>
      <c r="X309" s="44"/>
      <c r="Y309" s="44"/>
      <c r="Z309" s="44"/>
      <c r="AA309" s="44" t="s">
        <v>1952</v>
      </c>
      <c r="AB309" s="44" t="s">
        <v>1953</v>
      </c>
    </row>
    <row r="310" spans="1:28" ht="15.75" customHeight="1">
      <c r="A310" s="71"/>
      <c r="B310" s="66" t="str">
        <f t="shared" si="17"/>
        <v/>
      </c>
      <c r="C310" s="71"/>
      <c r="D310" s="66" t="str">
        <f t="shared" si="18"/>
        <v/>
      </c>
      <c r="E310" s="71"/>
      <c r="F310" s="66" t="str">
        <f t="shared" si="19"/>
        <v/>
      </c>
      <c r="G310" s="59"/>
      <c r="H310" s="59"/>
      <c r="I310" s="59"/>
      <c r="J310" s="77"/>
      <c r="K310" s="75"/>
      <c r="L310" s="75"/>
      <c r="M310" s="77"/>
      <c r="N310" s="77"/>
      <c r="O310" s="44"/>
      <c r="P310" s="44" t="str">
        <f t="shared" si="2"/>
        <v/>
      </c>
      <c r="Q310" s="44" t="str">
        <f t="shared" si="3"/>
        <v/>
      </c>
      <c r="R310" s="44"/>
      <c r="S310" s="44"/>
      <c r="T310" s="44"/>
      <c r="U310" s="44"/>
      <c r="V310" s="44"/>
      <c r="W310" s="44"/>
      <c r="X310" s="44"/>
      <c r="Y310" s="44"/>
      <c r="Z310" s="44"/>
      <c r="AA310" s="44" t="s">
        <v>1954</v>
      </c>
      <c r="AB310" s="44" t="s">
        <v>1955</v>
      </c>
    </row>
    <row r="311" spans="1:28" ht="15.75" customHeight="1">
      <c r="A311" s="71"/>
      <c r="B311" s="66" t="str">
        <f t="shared" si="17"/>
        <v/>
      </c>
      <c r="C311" s="71"/>
      <c r="D311" s="66" t="str">
        <f t="shared" si="18"/>
        <v/>
      </c>
      <c r="E311" s="71"/>
      <c r="F311" s="66" t="str">
        <f t="shared" si="19"/>
        <v/>
      </c>
      <c r="G311" s="59"/>
      <c r="H311" s="59"/>
      <c r="I311" s="59"/>
      <c r="J311" s="77"/>
      <c r="K311" s="75"/>
      <c r="L311" s="75"/>
      <c r="M311" s="77"/>
      <c r="N311" s="77"/>
      <c r="O311" s="44"/>
      <c r="P311" s="44" t="str">
        <f t="shared" si="2"/>
        <v/>
      </c>
      <c r="Q311" s="44" t="str">
        <f t="shared" si="3"/>
        <v/>
      </c>
      <c r="R311" s="44"/>
      <c r="S311" s="44"/>
      <c r="T311" s="44"/>
      <c r="U311" s="44"/>
      <c r="V311" s="44"/>
      <c r="W311" s="44"/>
      <c r="X311" s="44"/>
      <c r="Y311" s="44"/>
      <c r="Z311" s="44"/>
      <c r="AA311" s="44" t="s">
        <v>1956</v>
      </c>
      <c r="AB311" s="44" t="s">
        <v>1957</v>
      </c>
    </row>
    <row r="312" spans="1:28" ht="15.75" customHeight="1">
      <c r="A312" s="71"/>
      <c r="B312" s="66" t="str">
        <f t="shared" si="17"/>
        <v/>
      </c>
      <c r="C312" s="71"/>
      <c r="D312" s="66" t="str">
        <f t="shared" si="18"/>
        <v/>
      </c>
      <c r="E312" s="71"/>
      <c r="F312" s="66" t="str">
        <f t="shared" si="19"/>
        <v/>
      </c>
      <c r="G312" s="59"/>
      <c r="H312" s="59"/>
      <c r="I312" s="59"/>
      <c r="J312" s="77"/>
      <c r="K312" s="75"/>
      <c r="L312" s="75"/>
      <c r="M312" s="77"/>
      <c r="N312" s="77"/>
      <c r="O312" s="44"/>
      <c r="P312" s="44" t="str">
        <f t="shared" si="2"/>
        <v/>
      </c>
      <c r="Q312" s="44" t="str">
        <f t="shared" si="3"/>
        <v/>
      </c>
      <c r="R312" s="44"/>
      <c r="S312" s="44"/>
      <c r="T312" s="44"/>
      <c r="U312" s="44"/>
      <c r="V312" s="44"/>
      <c r="W312" s="44"/>
      <c r="X312" s="44"/>
      <c r="Y312" s="44"/>
      <c r="Z312" s="44"/>
      <c r="AA312" s="44" t="s">
        <v>1958</v>
      </c>
      <c r="AB312" s="44" t="s">
        <v>1959</v>
      </c>
    </row>
    <row r="313" spans="1:28" ht="15.75" customHeight="1">
      <c r="A313" s="71"/>
      <c r="B313" s="66" t="str">
        <f t="shared" si="17"/>
        <v/>
      </c>
      <c r="C313" s="71"/>
      <c r="D313" s="66" t="str">
        <f t="shared" si="18"/>
        <v/>
      </c>
      <c r="E313" s="71"/>
      <c r="F313" s="66" t="str">
        <f t="shared" si="19"/>
        <v/>
      </c>
      <c r="G313" s="59"/>
      <c r="H313" s="59"/>
      <c r="I313" s="59"/>
      <c r="J313" s="77"/>
      <c r="K313" s="75"/>
      <c r="L313" s="75"/>
      <c r="M313" s="77"/>
      <c r="N313" s="77"/>
      <c r="O313" s="44"/>
      <c r="P313" s="44" t="str">
        <f t="shared" si="2"/>
        <v/>
      </c>
      <c r="Q313" s="44" t="str">
        <f t="shared" si="3"/>
        <v/>
      </c>
      <c r="R313" s="44"/>
      <c r="S313" s="44"/>
      <c r="T313" s="44"/>
      <c r="U313" s="44"/>
      <c r="V313" s="44"/>
      <c r="W313" s="44"/>
      <c r="X313" s="44"/>
      <c r="Y313" s="44"/>
      <c r="Z313" s="44"/>
      <c r="AA313" s="44" t="s">
        <v>1960</v>
      </c>
      <c r="AB313" s="44" t="s">
        <v>1961</v>
      </c>
    </row>
    <row r="314" spans="1:28" ht="15.75" customHeight="1">
      <c r="A314" s="71"/>
      <c r="B314" s="66" t="str">
        <f t="shared" si="17"/>
        <v/>
      </c>
      <c r="C314" s="71"/>
      <c r="D314" s="66" t="str">
        <f t="shared" si="18"/>
        <v/>
      </c>
      <c r="E314" s="71"/>
      <c r="F314" s="66" t="str">
        <f t="shared" si="19"/>
        <v/>
      </c>
      <c r="G314" s="59"/>
      <c r="H314" s="59"/>
      <c r="I314" s="59"/>
      <c r="J314" s="77"/>
      <c r="K314" s="75"/>
      <c r="L314" s="75"/>
      <c r="M314" s="77"/>
      <c r="N314" s="77"/>
      <c r="O314" s="44"/>
      <c r="P314" s="44" t="str">
        <f t="shared" si="2"/>
        <v/>
      </c>
      <c r="Q314" s="44" t="str">
        <f t="shared" si="3"/>
        <v/>
      </c>
      <c r="R314" s="44"/>
      <c r="S314" s="44"/>
      <c r="T314" s="44"/>
      <c r="U314" s="44"/>
      <c r="V314" s="44"/>
      <c r="W314" s="44"/>
      <c r="X314" s="44"/>
      <c r="Y314" s="44"/>
      <c r="Z314" s="44"/>
      <c r="AA314" s="44" t="s">
        <v>1962</v>
      </c>
      <c r="AB314" s="44" t="s">
        <v>1963</v>
      </c>
    </row>
    <row r="315" spans="1:28" ht="15.75" customHeight="1">
      <c r="A315" s="71"/>
      <c r="B315" s="66" t="str">
        <f t="shared" si="17"/>
        <v/>
      </c>
      <c r="C315" s="71"/>
      <c r="D315" s="66" t="str">
        <f t="shared" si="18"/>
        <v/>
      </c>
      <c r="E315" s="71"/>
      <c r="F315" s="66" t="str">
        <f t="shared" si="19"/>
        <v/>
      </c>
      <c r="G315" s="59"/>
      <c r="H315" s="59"/>
      <c r="I315" s="59"/>
      <c r="J315" s="77"/>
      <c r="K315" s="75"/>
      <c r="L315" s="75"/>
      <c r="M315" s="77"/>
      <c r="N315" s="77"/>
      <c r="O315" s="44"/>
      <c r="P315" s="44" t="str">
        <f t="shared" si="2"/>
        <v/>
      </c>
      <c r="Q315" s="44" t="str">
        <f t="shared" si="3"/>
        <v/>
      </c>
      <c r="R315" s="44"/>
      <c r="S315" s="44"/>
      <c r="T315" s="44"/>
      <c r="U315" s="44"/>
      <c r="V315" s="44"/>
      <c r="W315" s="44"/>
      <c r="X315" s="44"/>
      <c r="Y315" s="44"/>
      <c r="Z315" s="44"/>
      <c r="AA315" s="44" t="s">
        <v>1964</v>
      </c>
      <c r="AB315" s="44" t="s">
        <v>1965</v>
      </c>
    </row>
    <row r="316" spans="1:28" ht="15.75" customHeight="1">
      <c r="A316" s="71"/>
      <c r="B316" s="66" t="str">
        <f t="shared" si="17"/>
        <v/>
      </c>
      <c r="C316" s="71"/>
      <c r="D316" s="66" t="str">
        <f t="shared" si="18"/>
        <v/>
      </c>
      <c r="E316" s="71"/>
      <c r="F316" s="66" t="str">
        <f t="shared" si="19"/>
        <v/>
      </c>
      <c r="G316" s="59"/>
      <c r="H316" s="59"/>
      <c r="I316" s="59"/>
      <c r="J316" s="77"/>
      <c r="K316" s="75"/>
      <c r="L316" s="75"/>
      <c r="M316" s="77"/>
      <c r="N316" s="77"/>
      <c r="O316" s="44"/>
      <c r="P316" s="44" t="str">
        <f t="shared" si="2"/>
        <v/>
      </c>
      <c r="Q316" s="44" t="str">
        <f t="shared" si="3"/>
        <v/>
      </c>
      <c r="R316" s="44"/>
      <c r="S316" s="44"/>
      <c r="T316" s="44"/>
      <c r="U316" s="44"/>
      <c r="V316" s="44"/>
      <c r="W316" s="44"/>
      <c r="X316" s="44"/>
      <c r="Y316" s="44"/>
      <c r="Z316" s="44"/>
      <c r="AA316" s="44" t="s">
        <v>1966</v>
      </c>
      <c r="AB316" s="44" t="s">
        <v>1967</v>
      </c>
    </row>
    <row r="317" spans="1:28" ht="15.75" customHeight="1">
      <c r="A317" s="71"/>
      <c r="B317" s="66" t="str">
        <f t="shared" si="17"/>
        <v/>
      </c>
      <c r="C317" s="71"/>
      <c r="D317" s="66" t="str">
        <f t="shared" si="18"/>
        <v/>
      </c>
      <c r="E317" s="71"/>
      <c r="F317" s="66" t="str">
        <f t="shared" si="19"/>
        <v/>
      </c>
      <c r="G317" s="59"/>
      <c r="H317" s="59"/>
      <c r="I317" s="59"/>
      <c r="J317" s="77"/>
      <c r="K317" s="75"/>
      <c r="L317" s="75"/>
      <c r="M317" s="77"/>
      <c r="N317" s="77"/>
      <c r="O317" s="44"/>
      <c r="P317" s="44" t="str">
        <f t="shared" si="2"/>
        <v/>
      </c>
      <c r="Q317" s="44" t="str">
        <f t="shared" si="3"/>
        <v/>
      </c>
      <c r="R317" s="44"/>
      <c r="S317" s="44"/>
      <c r="T317" s="44"/>
      <c r="U317" s="44"/>
      <c r="V317" s="44"/>
      <c r="W317" s="44"/>
      <c r="X317" s="44"/>
      <c r="Y317" s="44"/>
      <c r="Z317" s="44"/>
      <c r="AA317" s="44" t="s">
        <v>1968</v>
      </c>
      <c r="AB317" s="44" t="s">
        <v>1969</v>
      </c>
    </row>
    <row r="318" spans="1:28" ht="15.75" customHeight="1">
      <c r="A318" s="71"/>
      <c r="B318" s="66" t="str">
        <f t="shared" si="17"/>
        <v/>
      </c>
      <c r="C318" s="71"/>
      <c r="D318" s="66" t="str">
        <f t="shared" si="18"/>
        <v/>
      </c>
      <c r="E318" s="71"/>
      <c r="F318" s="66" t="str">
        <f t="shared" si="19"/>
        <v/>
      </c>
      <c r="G318" s="59"/>
      <c r="H318" s="59"/>
      <c r="I318" s="59"/>
      <c r="J318" s="77"/>
      <c r="K318" s="75"/>
      <c r="L318" s="75"/>
      <c r="M318" s="77"/>
      <c r="N318" s="77"/>
      <c r="O318" s="44"/>
      <c r="P318" s="44" t="str">
        <f t="shared" si="2"/>
        <v/>
      </c>
      <c r="Q318" s="44" t="str">
        <f t="shared" si="3"/>
        <v/>
      </c>
      <c r="R318" s="44"/>
      <c r="S318" s="44"/>
      <c r="T318" s="44"/>
      <c r="U318" s="44"/>
      <c r="V318" s="44"/>
      <c r="W318" s="44"/>
      <c r="X318" s="44"/>
      <c r="Y318" s="44"/>
      <c r="Z318" s="44"/>
      <c r="AA318" s="44" t="s">
        <v>1970</v>
      </c>
      <c r="AB318" s="44" t="s">
        <v>1971</v>
      </c>
    </row>
    <row r="319" spans="1:28" ht="15.75" customHeight="1">
      <c r="A319" s="71"/>
      <c r="B319" s="66" t="str">
        <f t="shared" si="17"/>
        <v/>
      </c>
      <c r="C319" s="71"/>
      <c r="D319" s="66" t="str">
        <f t="shared" si="18"/>
        <v/>
      </c>
      <c r="E319" s="71"/>
      <c r="F319" s="66" t="str">
        <f t="shared" si="19"/>
        <v/>
      </c>
      <c r="G319" s="59"/>
      <c r="H319" s="59"/>
      <c r="I319" s="59"/>
      <c r="J319" s="77"/>
      <c r="K319" s="75"/>
      <c r="L319" s="75"/>
      <c r="M319" s="77"/>
      <c r="N319" s="77"/>
      <c r="O319" s="44"/>
      <c r="P319" s="44" t="str">
        <f t="shared" si="2"/>
        <v/>
      </c>
      <c r="Q319" s="44" t="str">
        <f t="shared" si="3"/>
        <v/>
      </c>
      <c r="R319" s="44"/>
      <c r="S319" s="44"/>
      <c r="T319" s="44"/>
      <c r="U319" s="44"/>
      <c r="V319" s="44"/>
      <c r="W319" s="44"/>
      <c r="X319" s="44"/>
      <c r="Y319" s="44"/>
      <c r="Z319" s="44"/>
      <c r="AA319" s="44" t="s">
        <v>1972</v>
      </c>
      <c r="AB319" s="44" t="s">
        <v>1973</v>
      </c>
    </row>
    <row r="320" spans="1:28" ht="15.75" customHeight="1">
      <c r="A320" s="71"/>
      <c r="B320" s="66" t="str">
        <f t="shared" si="17"/>
        <v/>
      </c>
      <c r="C320" s="71"/>
      <c r="D320" s="66" t="str">
        <f t="shared" si="18"/>
        <v/>
      </c>
      <c r="E320" s="71"/>
      <c r="F320" s="66" t="str">
        <f t="shared" si="19"/>
        <v/>
      </c>
      <c r="G320" s="59"/>
      <c r="H320" s="59"/>
      <c r="I320" s="59"/>
      <c r="J320" s="77"/>
      <c r="K320" s="75"/>
      <c r="L320" s="75"/>
      <c r="M320" s="77"/>
      <c r="N320" s="77"/>
      <c r="O320" s="44"/>
      <c r="P320" s="44" t="str">
        <f t="shared" si="2"/>
        <v/>
      </c>
      <c r="Q320" s="44" t="str">
        <f t="shared" si="3"/>
        <v/>
      </c>
      <c r="R320" s="44"/>
      <c r="S320" s="44"/>
      <c r="T320" s="44"/>
      <c r="U320" s="44"/>
      <c r="V320" s="44"/>
      <c r="W320" s="44"/>
      <c r="X320" s="44"/>
      <c r="Y320" s="44"/>
      <c r="Z320" s="44"/>
      <c r="AA320" s="44" t="s">
        <v>1974</v>
      </c>
      <c r="AB320" s="44" t="s">
        <v>1975</v>
      </c>
    </row>
    <row r="321" spans="1:28" ht="15.75" customHeight="1">
      <c r="A321" s="71"/>
      <c r="B321" s="66" t="str">
        <f t="shared" si="17"/>
        <v/>
      </c>
      <c r="C321" s="71"/>
      <c r="D321" s="66" t="str">
        <f t="shared" si="18"/>
        <v/>
      </c>
      <c r="E321" s="71"/>
      <c r="F321" s="66" t="str">
        <f t="shared" si="19"/>
        <v/>
      </c>
      <c r="G321" s="59"/>
      <c r="H321" s="59"/>
      <c r="I321" s="59"/>
      <c r="J321" s="77"/>
      <c r="K321" s="75"/>
      <c r="L321" s="75"/>
      <c r="M321" s="77"/>
      <c r="N321" s="77"/>
      <c r="O321" s="44"/>
      <c r="P321" s="44" t="str">
        <f t="shared" si="2"/>
        <v/>
      </c>
      <c r="Q321" s="44" t="str">
        <f t="shared" si="3"/>
        <v/>
      </c>
      <c r="R321" s="44"/>
      <c r="S321" s="44"/>
      <c r="T321" s="44"/>
      <c r="U321" s="44"/>
      <c r="V321" s="44"/>
      <c r="W321" s="44"/>
      <c r="X321" s="44"/>
      <c r="Y321" s="44"/>
      <c r="Z321" s="44"/>
      <c r="AA321" s="44" t="s">
        <v>1976</v>
      </c>
      <c r="AB321" s="44" t="s">
        <v>1977</v>
      </c>
    </row>
    <row r="322" spans="1:28" ht="15.75" customHeight="1">
      <c r="A322" s="71"/>
      <c r="B322" s="66" t="str">
        <f t="shared" si="17"/>
        <v/>
      </c>
      <c r="C322" s="71"/>
      <c r="D322" s="66" t="str">
        <f t="shared" si="18"/>
        <v/>
      </c>
      <c r="E322" s="71"/>
      <c r="F322" s="66" t="str">
        <f t="shared" si="19"/>
        <v/>
      </c>
      <c r="G322" s="59"/>
      <c r="H322" s="59"/>
      <c r="I322" s="59"/>
      <c r="J322" s="77"/>
      <c r="K322" s="75"/>
      <c r="L322" s="75"/>
      <c r="M322" s="77"/>
      <c r="N322" s="77"/>
      <c r="O322" s="44"/>
      <c r="P322" s="44" t="str">
        <f t="shared" si="2"/>
        <v/>
      </c>
      <c r="Q322" s="44" t="str">
        <f t="shared" si="3"/>
        <v/>
      </c>
      <c r="R322" s="44"/>
      <c r="S322" s="44"/>
      <c r="T322" s="44"/>
      <c r="U322" s="44"/>
      <c r="V322" s="44"/>
      <c r="W322" s="44"/>
      <c r="X322" s="44"/>
      <c r="Y322" s="44"/>
      <c r="Z322" s="44"/>
      <c r="AA322" s="44" t="s">
        <v>1978</v>
      </c>
      <c r="AB322" s="44" t="s">
        <v>1979</v>
      </c>
    </row>
    <row r="323" spans="1:28" ht="15.75" customHeight="1">
      <c r="A323" s="71"/>
      <c r="B323" s="66" t="str">
        <f t="shared" ref="B323:B386" si="20">IFERROR(VLOOKUP(A323,$R$6:$S$23,2,FALSE),"")</f>
        <v/>
      </c>
      <c r="C323" s="71"/>
      <c r="D323" s="66" t="str">
        <f t="shared" ref="D323:D386" si="21">IFERROR(VLOOKUP(C323,$U$5:$W$127,2,FALSE),"")</f>
        <v/>
      </c>
      <c r="E323" s="71"/>
      <c r="F323" s="66" t="str">
        <f t="shared" si="19"/>
        <v/>
      </c>
      <c r="G323" s="59"/>
      <c r="H323" s="59"/>
      <c r="I323" s="59"/>
      <c r="J323" s="77"/>
      <c r="K323" s="75"/>
      <c r="L323" s="75"/>
      <c r="M323" s="77"/>
      <c r="N323" s="77"/>
      <c r="O323" s="44"/>
      <c r="P323" s="44" t="str">
        <f t="shared" si="2"/>
        <v/>
      </c>
      <c r="Q323" s="44" t="str">
        <f t="shared" si="3"/>
        <v/>
      </c>
      <c r="R323" s="44"/>
      <c r="S323" s="44"/>
      <c r="T323" s="44"/>
      <c r="U323" s="44"/>
      <c r="V323" s="44"/>
      <c r="W323" s="44"/>
      <c r="X323" s="44"/>
      <c r="Y323" s="44"/>
      <c r="Z323" s="44"/>
      <c r="AA323" s="44" t="s">
        <v>1980</v>
      </c>
      <c r="AB323" s="44" t="s">
        <v>1981</v>
      </c>
    </row>
    <row r="324" spans="1:28" ht="15.75" customHeight="1">
      <c r="A324" s="71"/>
      <c r="B324" s="66" t="str">
        <f t="shared" si="20"/>
        <v/>
      </c>
      <c r="C324" s="71"/>
      <c r="D324" s="66" t="str">
        <f t="shared" si="21"/>
        <v/>
      </c>
      <c r="E324" s="71"/>
      <c r="F324" s="66" t="str">
        <f t="shared" si="19"/>
        <v/>
      </c>
      <c r="G324" s="59"/>
      <c r="H324" s="59"/>
      <c r="I324" s="59"/>
      <c r="J324" s="77"/>
      <c r="K324" s="75"/>
      <c r="L324" s="75"/>
      <c r="M324" s="77"/>
      <c r="N324" s="77"/>
      <c r="O324" s="44"/>
      <c r="P324" s="44" t="str">
        <f t="shared" si="2"/>
        <v/>
      </c>
      <c r="Q324" s="44" t="str">
        <f t="shared" si="3"/>
        <v/>
      </c>
      <c r="R324" s="44"/>
      <c r="S324" s="44"/>
      <c r="T324" s="44"/>
      <c r="U324" s="44"/>
      <c r="V324" s="44"/>
      <c r="W324" s="44"/>
      <c r="X324" s="44"/>
      <c r="Y324" s="44"/>
      <c r="Z324" s="44"/>
      <c r="AA324" s="44" t="s">
        <v>1982</v>
      </c>
      <c r="AB324" s="44" t="s">
        <v>1983</v>
      </c>
    </row>
    <row r="325" spans="1:28" ht="15.75" customHeight="1">
      <c r="A325" s="71"/>
      <c r="B325" s="66" t="str">
        <f t="shared" si="20"/>
        <v/>
      </c>
      <c r="C325" s="71"/>
      <c r="D325" s="66" t="str">
        <f t="shared" si="21"/>
        <v/>
      </c>
      <c r="E325" s="71"/>
      <c r="F325" s="66" t="str">
        <f t="shared" si="19"/>
        <v/>
      </c>
      <c r="G325" s="59"/>
      <c r="H325" s="59"/>
      <c r="I325" s="59"/>
      <c r="J325" s="77"/>
      <c r="K325" s="75"/>
      <c r="L325" s="75"/>
      <c r="M325" s="77"/>
      <c r="N325" s="77"/>
      <c r="O325" s="44"/>
      <c r="P325" s="44" t="str">
        <f t="shared" si="2"/>
        <v/>
      </c>
      <c r="Q325" s="44" t="str">
        <f t="shared" si="3"/>
        <v/>
      </c>
      <c r="R325" s="44"/>
      <c r="S325" s="44"/>
      <c r="T325" s="44"/>
      <c r="U325" s="44"/>
      <c r="V325" s="44"/>
      <c r="W325" s="44"/>
      <c r="X325" s="44"/>
      <c r="Y325" s="44"/>
      <c r="Z325" s="44"/>
      <c r="AA325" s="44" t="s">
        <v>1984</v>
      </c>
      <c r="AB325" s="44" t="s">
        <v>1985</v>
      </c>
    </row>
    <row r="326" spans="1:28" ht="15.75" customHeight="1">
      <c r="A326" s="71"/>
      <c r="B326" s="66" t="str">
        <f t="shared" si="20"/>
        <v/>
      </c>
      <c r="C326" s="71"/>
      <c r="D326" s="66" t="str">
        <f t="shared" si="21"/>
        <v/>
      </c>
      <c r="E326" s="71"/>
      <c r="F326" s="66" t="str">
        <f t="shared" si="19"/>
        <v/>
      </c>
      <c r="G326" s="59"/>
      <c r="H326" s="59"/>
      <c r="I326" s="59"/>
      <c r="J326" s="77"/>
      <c r="K326" s="75"/>
      <c r="L326" s="75"/>
      <c r="M326" s="77"/>
      <c r="N326" s="77"/>
      <c r="O326" s="44"/>
      <c r="P326" s="44" t="str">
        <f t="shared" si="2"/>
        <v/>
      </c>
      <c r="Q326" s="44" t="str">
        <f t="shared" si="3"/>
        <v/>
      </c>
      <c r="R326" s="44"/>
      <c r="S326" s="44"/>
      <c r="T326" s="44"/>
      <c r="U326" s="44"/>
      <c r="V326" s="44"/>
      <c r="W326" s="44"/>
      <c r="X326" s="44"/>
      <c r="Y326" s="44"/>
      <c r="Z326" s="44"/>
      <c r="AA326" s="44" t="s">
        <v>1986</v>
      </c>
      <c r="AB326" s="44" t="s">
        <v>1987</v>
      </c>
    </row>
    <row r="327" spans="1:28" ht="15.75" customHeight="1">
      <c r="A327" s="71"/>
      <c r="B327" s="66" t="str">
        <f t="shared" si="20"/>
        <v/>
      </c>
      <c r="C327" s="71"/>
      <c r="D327" s="66" t="str">
        <f t="shared" si="21"/>
        <v/>
      </c>
      <c r="E327" s="71"/>
      <c r="F327" s="66" t="str">
        <f t="shared" si="19"/>
        <v/>
      </c>
      <c r="G327" s="59"/>
      <c r="H327" s="59"/>
      <c r="I327" s="59"/>
      <c r="J327" s="77"/>
      <c r="K327" s="75"/>
      <c r="L327" s="75"/>
      <c r="M327" s="77"/>
      <c r="N327" s="77"/>
      <c r="O327" s="44"/>
      <c r="P327" s="44" t="str">
        <f t="shared" si="2"/>
        <v/>
      </c>
      <c r="Q327" s="44" t="str">
        <f t="shared" si="3"/>
        <v/>
      </c>
      <c r="R327" s="44"/>
      <c r="S327" s="44"/>
      <c r="T327" s="44"/>
      <c r="U327" s="44"/>
      <c r="V327" s="44"/>
      <c r="W327" s="44"/>
      <c r="X327" s="44"/>
      <c r="Y327" s="44"/>
      <c r="Z327" s="44"/>
      <c r="AA327" s="44" t="s">
        <v>1988</v>
      </c>
      <c r="AB327" s="44" t="s">
        <v>1989</v>
      </c>
    </row>
    <row r="328" spans="1:28" ht="15.75" customHeight="1">
      <c r="A328" s="71"/>
      <c r="B328" s="66" t="str">
        <f t="shared" si="20"/>
        <v/>
      </c>
      <c r="C328" s="71"/>
      <c r="D328" s="66" t="str">
        <f t="shared" si="21"/>
        <v/>
      </c>
      <c r="E328" s="71"/>
      <c r="F328" s="66" t="str">
        <f t="shared" si="19"/>
        <v/>
      </c>
      <c r="G328" s="59"/>
      <c r="H328" s="59"/>
      <c r="I328" s="59"/>
      <c r="J328" s="77"/>
      <c r="K328" s="75"/>
      <c r="L328" s="75"/>
      <c r="M328" s="77"/>
      <c r="N328" s="77"/>
      <c r="O328" s="44"/>
      <c r="P328" s="44" t="str">
        <f t="shared" si="2"/>
        <v/>
      </c>
      <c r="Q328" s="44" t="str">
        <f t="shared" si="3"/>
        <v/>
      </c>
      <c r="R328" s="44"/>
      <c r="S328" s="44"/>
      <c r="T328" s="44"/>
      <c r="U328" s="44"/>
      <c r="V328" s="44"/>
      <c r="W328" s="44"/>
      <c r="X328" s="44"/>
      <c r="Y328" s="44"/>
      <c r="Z328" s="44"/>
      <c r="AA328" s="44" t="s">
        <v>1990</v>
      </c>
      <c r="AB328" s="44" t="s">
        <v>1991</v>
      </c>
    </row>
    <row r="329" spans="1:28" ht="15.75" customHeight="1">
      <c r="A329" s="71"/>
      <c r="B329" s="66" t="str">
        <f t="shared" si="20"/>
        <v/>
      </c>
      <c r="C329" s="71"/>
      <c r="D329" s="66" t="str">
        <f t="shared" si="21"/>
        <v/>
      </c>
      <c r="E329" s="71"/>
      <c r="F329" s="66" t="str">
        <f t="shared" si="19"/>
        <v/>
      </c>
      <c r="G329" s="59"/>
      <c r="H329" s="59"/>
      <c r="I329" s="59"/>
      <c r="J329" s="77"/>
      <c r="K329" s="75"/>
      <c r="L329" s="75"/>
      <c r="M329" s="77"/>
      <c r="N329" s="77"/>
      <c r="O329" s="44"/>
      <c r="P329" s="44" t="str">
        <f t="shared" si="2"/>
        <v/>
      </c>
      <c r="Q329" s="44" t="str">
        <f t="shared" si="3"/>
        <v/>
      </c>
      <c r="R329" s="44"/>
      <c r="S329" s="44"/>
      <c r="T329" s="44"/>
      <c r="U329" s="44"/>
      <c r="V329" s="44"/>
      <c r="W329" s="44"/>
      <c r="X329" s="44"/>
      <c r="Y329" s="44"/>
      <c r="Z329" s="44"/>
      <c r="AA329" s="44" t="s">
        <v>1992</v>
      </c>
      <c r="AB329" s="44" t="s">
        <v>1993</v>
      </c>
    </row>
    <row r="330" spans="1:28" ht="15.75" customHeight="1">
      <c r="A330" s="71"/>
      <c r="B330" s="66" t="str">
        <f t="shared" si="20"/>
        <v/>
      </c>
      <c r="C330" s="71"/>
      <c r="D330" s="66" t="str">
        <f t="shared" si="21"/>
        <v/>
      </c>
      <c r="E330" s="71"/>
      <c r="F330" s="66" t="str">
        <f t="shared" si="19"/>
        <v/>
      </c>
      <c r="G330" s="59"/>
      <c r="H330" s="59"/>
      <c r="I330" s="59"/>
      <c r="J330" s="77"/>
      <c r="K330" s="75"/>
      <c r="L330" s="75"/>
      <c r="M330" s="77"/>
      <c r="N330" s="77"/>
      <c r="O330" s="44"/>
      <c r="P330" s="44" t="str">
        <f t="shared" si="2"/>
        <v/>
      </c>
      <c r="Q330" s="44" t="str">
        <f t="shared" si="3"/>
        <v/>
      </c>
      <c r="R330" s="44"/>
      <c r="S330" s="44"/>
      <c r="T330" s="44"/>
      <c r="U330" s="44"/>
      <c r="V330" s="44"/>
      <c r="W330" s="44"/>
      <c r="X330" s="44"/>
      <c r="Y330" s="44"/>
      <c r="Z330" s="44"/>
      <c r="AA330" s="44" t="s">
        <v>1994</v>
      </c>
      <c r="AB330" s="44" t="s">
        <v>1995</v>
      </c>
    </row>
    <row r="331" spans="1:28" ht="15.75" customHeight="1">
      <c r="A331" s="71"/>
      <c r="B331" s="66" t="str">
        <f t="shared" si="20"/>
        <v/>
      </c>
      <c r="C331" s="71"/>
      <c r="D331" s="66" t="str">
        <f t="shared" si="21"/>
        <v/>
      </c>
      <c r="E331" s="71"/>
      <c r="F331" s="66" t="str">
        <f t="shared" si="19"/>
        <v/>
      </c>
      <c r="G331" s="59"/>
      <c r="H331" s="59"/>
      <c r="I331" s="59"/>
      <c r="J331" s="77"/>
      <c r="K331" s="75"/>
      <c r="L331" s="75"/>
      <c r="M331" s="77"/>
      <c r="N331" s="77"/>
      <c r="O331" s="44"/>
      <c r="P331" s="44" t="str">
        <f t="shared" si="2"/>
        <v/>
      </c>
      <c r="Q331" s="44" t="str">
        <f t="shared" si="3"/>
        <v/>
      </c>
      <c r="R331" s="44"/>
      <c r="S331" s="44"/>
      <c r="T331" s="44"/>
      <c r="U331" s="44"/>
      <c r="V331" s="44"/>
      <c r="W331" s="44"/>
      <c r="X331" s="44"/>
      <c r="Y331" s="44"/>
      <c r="Z331" s="44"/>
      <c r="AA331" s="44" t="s">
        <v>1996</v>
      </c>
      <c r="AB331" s="44" t="s">
        <v>1997</v>
      </c>
    </row>
    <row r="332" spans="1:28" ht="15.75" customHeight="1">
      <c r="A332" s="71"/>
      <c r="B332" s="66" t="str">
        <f t="shared" si="20"/>
        <v/>
      </c>
      <c r="C332" s="71"/>
      <c r="D332" s="66" t="str">
        <f t="shared" si="21"/>
        <v/>
      </c>
      <c r="E332" s="71"/>
      <c r="F332" s="66" t="str">
        <f t="shared" si="19"/>
        <v/>
      </c>
      <c r="G332" s="59"/>
      <c r="H332" s="59"/>
      <c r="I332" s="59"/>
      <c r="J332" s="77"/>
      <c r="K332" s="75"/>
      <c r="L332" s="75"/>
      <c r="M332" s="77"/>
      <c r="N332" s="77"/>
      <c r="O332" s="44"/>
      <c r="P332" s="44" t="str">
        <f t="shared" si="2"/>
        <v/>
      </c>
      <c r="Q332" s="44" t="str">
        <f t="shared" si="3"/>
        <v/>
      </c>
      <c r="R332" s="44"/>
      <c r="S332" s="44"/>
      <c r="T332" s="44"/>
      <c r="U332" s="44"/>
      <c r="V332" s="44"/>
      <c r="W332" s="44"/>
      <c r="X332" s="44"/>
      <c r="Y332" s="44"/>
      <c r="Z332" s="44"/>
      <c r="AA332" s="44" t="s">
        <v>1998</v>
      </c>
      <c r="AB332" s="44" t="s">
        <v>1999</v>
      </c>
    </row>
    <row r="333" spans="1:28" ht="15.75" customHeight="1">
      <c r="A333" s="71"/>
      <c r="B333" s="66" t="str">
        <f t="shared" si="20"/>
        <v/>
      </c>
      <c r="C333" s="71"/>
      <c r="D333" s="66" t="str">
        <f t="shared" si="21"/>
        <v/>
      </c>
      <c r="E333" s="71"/>
      <c r="F333" s="66" t="str">
        <f t="shared" si="19"/>
        <v/>
      </c>
      <c r="G333" s="59"/>
      <c r="H333" s="59"/>
      <c r="I333" s="59"/>
      <c r="J333" s="77"/>
      <c r="K333" s="75"/>
      <c r="L333" s="75"/>
      <c r="M333" s="77"/>
      <c r="N333" s="77"/>
      <c r="O333" s="44"/>
      <c r="P333" s="44" t="str">
        <f t="shared" si="2"/>
        <v/>
      </c>
      <c r="Q333" s="44" t="str">
        <f t="shared" si="3"/>
        <v/>
      </c>
      <c r="R333" s="44"/>
      <c r="S333" s="44"/>
      <c r="T333" s="44"/>
      <c r="U333" s="44"/>
      <c r="V333" s="44"/>
      <c r="W333" s="44"/>
      <c r="X333" s="44"/>
      <c r="Y333" s="44"/>
      <c r="Z333" s="44"/>
      <c r="AA333" s="44" t="s">
        <v>2000</v>
      </c>
      <c r="AB333" s="44" t="s">
        <v>2001</v>
      </c>
    </row>
    <row r="334" spans="1:28" ht="15.75" customHeight="1">
      <c r="A334" s="71"/>
      <c r="B334" s="66" t="str">
        <f t="shared" si="20"/>
        <v/>
      </c>
      <c r="C334" s="71"/>
      <c r="D334" s="66" t="str">
        <f t="shared" si="21"/>
        <v/>
      </c>
      <c r="E334" s="71"/>
      <c r="F334" s="66" t="str">
        <f t="shared" si="19"/>
        <v/>
      </c>
      <c r="G334" s="59"/>
      <c r="H334" s="59"/>
      <c r="I334" s="59"/>
      <c r="J334" s="77"/>
      <c r="K334" s="75"/>
      <c r="L334" s="75"/>
      <c r="M334" s="77"/>
      <c r="N334" s="77"/>
      <c r="O334" s="44"/>
      <c r="P334" s="44" t="str">
        <f t="shared" si="2"/>
        <v/>
      </c>
      <c r="Q334" s="44" t="str">
        <f t="shared" si="3"/>
        <v/>
      </c>
      <c r="R334" s="44"/>
      <c r="S334" s="44"/>
      <c r="T334" s="44"/>
      <c r="U334" s="44"/>
      <c r="V334" s="44"/>
      <c r="W334" s="44"/>
      <c r="X334" s="44"/>
      <c r="Y334" s="44"/>
      <c r="Z334" s="44"/>
      <c r="AA334" s="44" t="s">
        <v>2002</v>
      </c>
      <c r="AB334" s="44" t="s">
        <v>2003</v>
      </c>
    </row>
    <row r="335" spans="1:28" ht="15.75" customHeight="1">
      <c r="A335" s="71"/>
      <c r="B335" s="66" t="str">
        <f t="shared" si="20"/>
        <v/>
      </c>
      <c r="C335" s="71"/>
      <c r="D335" s="66" t="str">
        <f t="shared" si="21"/>
        <v/>
      </c>
      <c r="E335" s="71"/>
      <c r="F335" s="66" t="str">
        <f t="shared" si="19"/>
        <v/>
      </c>
      <c r="G335" s="59"/>
      <c r="H335" s="59"/>
      <c r="I335" s="59"/>
      <c r="J335" s="77"/>
      <c r="K335" s="75"/>
      <c r="L335" s="75"/>
      <c r="M335" s="77"/>
      <c r="N335" s="77"/>
      <c r="O335" s="44"/>
      <c r="P335" s="44" t="str">
        <f t="shared" si="2"/>
        <v/>
      </c>
      <c r="Q335" s="44" t="str">
        <f t="shared" si="3"/>
        <v/>
      </c>
      <c r="R335" s="44"/>
      <c r="S335" s="44"/>
      <c r="T335" s="44"/>
      <c r="U335" s="44"/>
      <c r="V335" s="44"/>
      <c r="W335" s="44"/>
      <c r="X335" s="44"/>
      <c r="Y335" s="44"/>
      <c r="Z335" s="44"/>
      <c r="AA335" s="44" t="s">
        <v>2004</v>
      </c>
      <c r="AB335" s="44" t="s">
        <v>2005</v>
      </c>
    </row>
    <row r="336" spans="1:28" ht="15.75" customHeight="1">
      <c r="A336" s="71"/>
      <c r="B336" s="66" t="str">
        <f t="shared" si="20"/>
        <v/>
      </c>
      <c r="C336" s="71"/>
      <c r="D336" s="66" t="str">
        <f t="shared" si="21"/>
        <v/>
      </c>
      <c r="E336" s="71"/>
      <c r="F336" s="66" t="str">
        <f t="shared" si="19"/>
        <v/>
      </c>
      <c r="G336" s="59"/>
      <c r="H336" s="59"/>
      <c r="I336" s="59"/>
      <c r="J336" s="77"/>
      <c r="K336" s="75"/>
      <c r="L336" s="75"/>
      <c r="M336" s="77"/>
      <c r="N336" s="77"/>
      <c r="O336" s="44"/>
      <c r="P336" s="44" t="str">
        <f t="shared" si="2"/>
        <v/>
      </c>
      <c r="Q336" s="44" t="str">
        <f t="shared" si="3"/>
        <v/>
      </c>
      <c r="R336" s="44"/>
      <c r="S336" s="44"/>
      <c r="T336" s="44"/>
      <c r="U336" s="44"/>
      <c r="V336" s="44"/>
      <c r="W336" s="44"/>
      <c r="X336" s="44"/>
      <c r="Y336" s="44"/>
      <c r="Z336" s="44"/>
      <c r="AA336" s="44" t="s">
        <v>2006</v>
      </c>
      <c r="AB336" s="44" t="s">
        <v>2007</v>
      </c>
    </row>
    <row r="337" spans="1:28" ht="15.75" customHeight="1">
      <c r="A337" s="71"/>
      <c r="B337" s="66" t="str">
        <f t="shared" si="20"/>
        <v/>
      </c>
      <c r="C337" s="71"/>
      <c r="D337" s="66" t="str">
        <f t="shared" si="21"/>
        <v/>
      </c>
      <c r="E337" s="71"/>
      <c r="F337" s="66" t="str">
        <f t="shared" si="19"/>
        <v/>
      </c>
      <c r="G337" s="59"/>
      <c r="H337" s="59"/>
      <c r="I337" s="59"/>
      <c r="J337" s="77"/>
      <c r="K337" s="75"/>
      <c r="L337" s="75"/>
      <c r="M337" s="77"/>
      <c r="N337" s="77"/>
      <c r="O337" s="44"/>
      <c r="P337" s="44" t="str">
        <f t="shared" si="2"/>
        <v/>
      </c>
      <c r="Q337" s="44" t="str">
        <f t="shared" si="3"/>
        <v/>
      </c>
      <c r="R337" s="44"/>
      <c r="S337" s="44"/>
      <c r="T337" s="44"/>
      <c r="U337" s="44"/>
      <c r="V337" s="44"/>
      <c r="W337" s="44"/>
      <c r="X337" s="44"/>
      <c r="Y337" s="44"/>
      <c r="Z337" s="44"/>
      <c r="AA337" s="44" t="s">
        <v>2008</v>
      </c>
      <c r="AB337" s="44" t="s">
        <v>2009</v>
      </c>
    </row>
    <row r="338" spans="1:28" ht="15.75" customHeight="1">
      <c r="A338" s="71"/>
      <c r="B338" s="66" t="str">
        <f t="shared" si="20"/>
        <v/>
      </c>
      <c r="C338" s="71"/>
      <c r="D338" s="66" t="str">
        <f t="shared" si="21"/>
        <v/>
      </c>
      <c r="E338" s="71"/>
      <c r="F338" s="66" t="str">
        <f t="shared" si="19"/>
        <v/>
      </c>
      <c r="G338" s="59"/>
      <c r="H338" s="59"/>
      <c r="I338" s="59"/>
      <c r="J338" s="77"/>
      <c r="K338" s="75"/>
      <c r="L338" s="75"/>
      <c r="M338" s="77"/>
      <c r="N338" s="77"/>
      <c r="O338" s="44"/>
      <c r="P338" s="44" t="str">
        <f t="shared" si="2"/>
        <v/>
      </c>
      <c r="Q338" s="44" t="str">
        <f t="shared" si="3"/>
        <v/>
      </c>
      <c r="R338" s="44"/>
      <c r="S338" s="44"/>
      <c r="T338" s="44"/>
      <c r="U338" s="44"/>
      <c r="V338" s="44"/>
      <c r="W338" s="44"/>
      <c r="X338" s="44"/>
      <c r="Y338" s="44"/>
      <c r="Z338" s="44"/>
      <c r="AA338" s="44" t="s">
        <v>2010</v>
      </c>
      <c r="AB338" s="44" t="s">
        <v>2011</v>
      </c>
    </row>
    <row r="339" spans="1:28" ht="15.75" customHeight="1">
      <c r="A339" s="71"/>
      <c r="B339" s="66" t="str">
        <f t="shared" si="20"/>
        <v/>
      </c>
      <c r="C339" s="71"/>
      <c r="D339" s="66" t="str">
        <f t="shared" si="21"/>
        <v/>
      </c>
      <c r="E339" s="71"/>
      <c r="F339" s="66" t="str">
        <f t="shared" si="19"/>
        <v/>
      </c>
      <c r="G339" s="59"/>
      <c r="H339" s="59"/>
      <c r="I339" s="59"/>
      <c r="J339" s="77"/>
      <c r="K339" s="75"/>
      <c r="L339" s="75"/>
      <c r="M339" s="77"/>
      <c r="N339" s="77"/>
      <c r="O339" s="44"/>
      <c r="P339" s="44" t="str">
        <f t="shared" si="2"/>
        <v/>
      </c>
      <c r="Q339" s="44" t="str">
        <f t="shared" si="3"/>
        <v/>
      </c>
      <c r="R339" s="44"/>
      <c r="S339" s="44"/>
      <c r="T339" s="44"/>
      <c r="U339" s="44"/>
      <c r="V339" s="44"/>
      <c r="W339" s="44"/>
      <c r="X339" s="44"/>
      <c r="Y339" s="44"/>
      <c r="Z339" s="44"/>
      <c r="AA339" s="44" t="s">
        <v>2012</v>
      </c>
      <c r="AB339" s="44" t="s">
        <v>2013</v>
      </c>
    </row>
    <row r="340" spans="1:28" ht="15.75" customHeight="1">
      <c r="A340" s="71"/>
      <c r="B340" s="66" t="str">
        <f t="shared" si="20"/>
        <v/>
      </c>
      <c r="C340" s="71"/>
      <c r="D340" s="66" t="str">
        <f t="shared" si="21"/>
        <v/>
      </c>
      <c r="E340" s="71"/>
      <c r="F340" s="66" t="str">
        <f t="shared" si="19"/>
        <v/>
      </c>
      <c r="G340" s="59"/>
      <c r="H340" s="59"/>
      <c r="I340" s="59"/>
      <c r="J340" s="77"/>
      <c r="K340" s="75"/>
      <c r="L340" s="75"/>
      <c r="M340" s="77"/>
      <c r="N340" s="77"/>
      <c r="O340" s="44"/>
      <c r="P340" s="44" t="str">
        <f t="shared" si="2"/>
        <v/>
      </c>
      <c r="Q340" s="44" t="str">
        <f t="shared" si="3"/>
        <v/>
      </c>
      <c r="R340" s="44"/>
      <c r="S340" s="44"/>
      <c r="T340" s="44"/>
      <c r="U340" s="44"/>
      <c r="V340" s="44"/>
      <c r="W340" s="44"/>
      <c r="X340" s="44"/>
      <c r="Y340" s="44"/>
      <c r="Z340" s="44"/>
      <c r="AA340" s="44" t="s">
        <v>2014</v>
      </c>
      <c r="AB340" s="44" t="s">
        <v>2015</v>
      </c>
    </row>
    <row r="341" spans="1:28" ht="15.75" customHeight="1">
      <c r="A341" s="71"/>
      <c r="B341" s="66" t="str">
        <f t="shared" si="20"/>
        <v/>
      </c>
      <c r="C341" s="71"/>
      <c r="D341" s="66" t="str">
        <f t="shared" si="21"/>
        <v/>
      </c>
      <c r="E341" s="71"/>
      <c r="F341" s="66" t="str">
        <f t="shared" si="19"/>
        <v/>
      </c>
      <c r="G341" s="59"/>
      <c r="H341" s="59"/>
      <c r="I341" s="59"/>
      <c r="J341" s="77"/>
      <c r="K341" s="75"/>
      <c r="L341" s="75"/>
      <c r="M341" s="77"/>
      <c r="N341" s="77"/>
      <c r="O341" s="44"/>
      <c r="P341" s="44" t="str">
        <f t="shared" si="2"/>
        <v/>
      </c>
      <c r="Q341" s="44" t="str">
        <f t="shared" si="3"/>
        <v/>
      </c>
      <c r="R341" s="44"/>
      <c r="S341" s="44"/>
      <c r="T341" s="44"/>
      <c r="U341" s="44"/>
      <c r="V341" s="44"/>
      <c r="W341" s="44"/>
      <c r="X341" s="44"/>
      <c r="Y341" s="44"/>
      <c r="Z341" s="44"/>
      <c r="AA341" s="44" t="s">
        <v>2016</v>
      </c>
      <c r="AB341" s="44" t="s">
        <v>2017</v>
      </c>
    </row>
    <row r="342" spans="1:28" ht="15.75" customHeight="1">
      <c r="A342" s="71"/>
      <c r="B342" s="66" t="str">
        <f t="shared" si="20"/>
        <v/>
      </c>
      <c r="C342" s="71"/>
      <c r="D342" s="66" t="str">
        <f t="shared" si="21"/>
        <v/>
      </c>
      <c r="E342" s="71"/>
      <c r="F342" s="66" t="str">
        <f t="shared" si="19"/>
        <v/>
      </c>
      <c r="G342" s="59"/>
      <c r="H342" s="59"/>
      <c r="I342" s="59"/>
      <c r="J342" s="77"/>
      <c r="K342" s="75"/>
      <c r="L342" s="75"/>
      <c r="M342" s="77"/>
      <c r="N342" s="77"/>
      <c r="O342" s="44"/>
      <c r="P342" s="44" t="str">
        <f t="shared" si="2"/>
        <v/>
      </c>
      <c r="Q342" s="44" t="str">
        <f t="shared" si="3"/>
        <v/>
      </c>
      <c r="R342" s="44"/>
      <c r="S342" s="44"/>
      <c r="T342" s="44"/>
      <c r="U342" s="44"/>
      <c r="V342" s="44"/>
      <c r="W342" s="44"/>
      <c r="X342" s="44"/>
      <c r="Y342" s="44"/>
      <c r="Z342" s="44"/>
      <c r="AA342" s="44" t="s">
        <v>2018</v>
      </c>
      <c r="AB342" s="44" t="s">
        <v>2019</v>
      </c>
    </row>
    <row r="343" spans="1:28" ht="15.75" customHeight="1">
      <c r="A343" s="71"/>
      <c r="B343" s="66" t="str">
        <f t="shared" si="20"/>
        <v/>
      </c>
      <c r="C343" s="71"/>
      <c r="D343" s="66" t="str">
        <f t="shared" si="21"/>
        <v/>
      </c>
      <c r="E343" s="71"/>
      <c r="F343" s="66" t="str">
        <f t="shared" si="19"/>
        <v/>
      </c>
      <c r="G343" s="59"/>
      <c r="H343" s="59"/>
      <c r="I343" s="59"/>
      <c r="J343" s="77"/>
      <c r="K343" s="75"/>
      <c r="L343" s="75"/>
      <c r="M343" s="77"/>
      <c r="N343" s="77"/>
      <c r="O343" s="44"/>
      <c r="P343" s="44" t="str">
        <f t="shared" si="2"/>
        <v/>
      </c>
      <c r="Q343" s="44" t="str">
        <f t="shared" si="3"/>
        <v/>
      </c>
      <c r="R343" s="44"/>
      <c r="S343" s="44"/>
      <c r="T343" s="44"/>
      <c r="U343" s="44"/>
      <c r="V343" s="44"/>
      <c r="W343" s="44"/>
      <c r="X343" s="44"/>
      <c r="Y343" s="44"/>
      <c r="Z343" s="44"/>
      <c r="AA343" s="44" t="s">
        <v>2020</v>
      </c>
      <c r="AB343" s="44" t="s">
        <v>2021</v>
      </c>
    </row>
    <row r="344" spans="1:28" ht="15.75" customHeight="1">
      <c r="A344" s="71"/>
      <c r="B344" s="66" t="str">
        <f t="shared" si="20"/>
        <v/>
      </c>
      <c r="C344" s="71"/>
      <c r="D344" s="66" t="str">
        <f t="shared" si="21"/>
        <v/>
      </c>
      <c r="E344" s="71"/>
      <c r="F344" s="66" t="str">
        <f t="shared" si="19"/>
        <v/>
      </c>
      <c r="G344" s="59"/>
      <c r="H344" s="59"/>
      <c r="I344" s="59"/>
      <c r="J344" s="77"/>
      <c r="K344" s="75"/>
      <c r="L344" s="75"/>
      <c r="M344" s="77"/>
      <c r="N344" s="77"/>
      <c r="O344" s="44"/>
      <c r="P344" s="44" t="str">
        <f t="shared" si="2"/>
        <v/>
      </c>
      <c r="Q344" s="44" t="str">
        <f t="shared" si="3"/>
        <v/>
      </c>
      <c r="R344" s="44"/>
      <c r="S344" s="44"/>
      <c r="T344" s="44"/>
      <c r="U344" s="44"/>
      <c r="V344" s="44"/>
      <c r="W344" s="44"/>
      <c r="X344" s="44"/>
      <c r="Y344" s="44"/>
      <c r="Z344" s="44"/>
      <c r="AA344" s="44" t="s">
        <v>2022</v>
      </c>
      <c r="AB344" s="44" t="s">
        <v>2023</v>
      </c>
    </row>
    <row r="345" spans="1:28" ht="15.75" customHeight="1">
      <c r="A345" s="71"/>
      <c r="B345" s="66" t="str">
        <f t="shared" si="20"/>
        <v/>
      </c>
      <c r="C345" s="71"/>
      <c r="D345" s="66" t="str">
        <f t="shared" si="21"/>
        <v/>
      </c>
      <c r="E345" s="71"/>
      <c r="F345" s="66" t="str">
        <f t="shared" si="19"/>
        <v/>
      </c>
      <c r="G345" s="59"/>
      <c r="H345" s="59"/>
      <c r="I345" s="59"/>
      <c r="J345" s="77"/>
      <c r="K345" s="75"/>
      <c r="L345" s="75"/>
      <c r="M345" s="77"/>
      <c r="N345" s="77"/>
      <c r="O345" s="44"/>
      <c r="P345" s="44" t="str">
        <f t="shared" si="2"/>
        <v/>
      </c>
      <c r="Q345" s="44" t="str">
        <f t="shared" si="3"/>
        <v/>
      </c>
      <c r="R345" s="44"/>
      <c r="S345" s="44"/>
      <c r="T345" s="44"/>
      <c r="U345" s="44"/>
      <c r="V345" s="44"/>
      <c r="W345" s="44"/>
      <c r="X345" s="44"/>
      <c r="Y345" s="44"/>
      <c r="Z345" s="44"/>
      <c r="AA345" s="44" t="s">
        <v>2024</v>
      </c>
      <c r="AB345" s="44" t="s">
        <v>2025</v>
      </c>
    </row>
    <row r="346" spans="1:28" ht="15.75" customHeight="1">
      <c r="A346" s="71"/>
      <c r="B346" s="66" t="str">
        <f t="shared" si="20"/>
        <v/>
      </c>
      <c r="C346" s="71"/>
      <c r="D346" s="66" t="str">
        <f t="shared" si="21"/>
        <v/>
      </c>
      <c r="E346" s="71"/>
      <c r="F346" s="66" t="str">
        <f t="shared" si="19"/>
        <v/>
      </c>
      <c r="G346" s="59"/>
      <c r="H346" s="59"/>
      <c r="I346" s="59"/>
      <c r="J346" s="77"/>
      <c r="K346" s="75"/>
      <c r="L346" s="75"/>
      <c r="M346" s="77"/>
      <c r="N346" s="77"/>
      <c r="O346" s="44"/>
      <c r="P346" s="44" t="str">
        <f t="shared" si="2"/>
        <v/>
      </c>
      <c r="Q346" s="44" t="str">
        <f t="shared" si="3"/>
        <v/>
      </c>
      <c r="R346" s="44"/>
      <c r="S346" s="44"/>
      <c r="T346" s="44"/>
      <c r="U346" s="44"/>
      <c r="V346" s="44"/>
      <c r="W346" s="44"/>
      <c r="X346" s="44"/>
      <c r="Y346" s="44"/>
      <c r="Z346" s="44"/>
      <c r="AA346" s="44" t="s">
        <v>2026</v>
      </c>
      <c r="AB346" s="44" t="s">
        <v>2027</v>
      </c>
    </row>
    <row r="347" spans="1:28" ht="15.75" customHeight="1">
      <c r="A347" s="71"/>
      <c r="B347" s="66" t="str">
        <f t="shared" si="20"/>
        <v/>
      </c>
      <c r="C347" s="71"/>
      <c r="D347" s="66" t="str">
        <f t="shared" si="21"/>
        <v/>
      </c>
      <c r="E347" s="71"/>
      <c r="F347" s="66" t="str">
        <f t="shared" si="19"/>
        <v/>
      </c>
      <c r="G347" s="59"/>
      <c r="H347" s="59"/>
      <c r="I347" s="59"/>
      <c r="J347" s="77"/>
      <c r="K347" s="75"/>
      <c r="L347" s="75"/>
      <c r="M347" s="77"/>
      <c r="N347" s="77"/>
      <c r="O347" s="44"/>
      <c r="P347" s="44" t="str">
        <f t="shared" si="2"/>
        <v/>
      </c>
      <c r="Q347" s="44" t="str">
        <f t="shared" si="3"/>
        <v/>
      </c>
      <c r="R347" s="44"/>
      <c r="S347" s="44"/>
      <c r="T347" s="44"/>
      <c r="U347" s="44"/>
      <c r="V347" s="44"/>
      <c r="W347" s="44"/>
      <c r="X347" s="44"/>
      <c r="Y347" s="44"/>
      <c r="Z347" s="44"/>
      <c r="AA347" s="44" t="s">
        <v>2028</v>
      </c>
      <c r="AB347" s="44" t="s">
        <v>2029</v>
      </c>
    </row>
    <row r="348" spans="1:28" ht="15.75" customHeight="1">
      <c r="A348" s="71"/>
      <c r="B348" s="66" t="str">
        <f t="shared" si="20"/>
        <v/>
      </c>
      <c r="C348" s="71"/>
      <c r="D348" s="66" t="str">
        <f t="shared" si="21"/>
        <v/>
      </c>
      <c r="E348" s="71"/>
      <c r="F348" s="66" t="str">
        <f t="shared" si="19"/>
        <v/>
      </c>
      <c r="G348" s="59"/>
      <c r="H348" s="59"/>
      <c r="I348" s="59"/>
      <c r="J348" s="77"/>
      <c r="K348" s="75"/>
      <c r="L348" s="75"/>
      <c r="M348" s="77"/>
      <c r="N348" s="77"/>
      <c r="O348" s="44"/>
      <c r="P348" s="44" t="str">
        <f t="shared" si="2"/>
        <v/>
      </c>
      <c r="Q348" s="44" t="str">
        <f t="shared" si="3"/>
        <v/>
      </c>
      <c r="R348" s="44"/>
      <c r="S348" s="44"/>
      <c r="T348" s="44"/>
      <c r="U348" s="44"/>
      <c r="V348" s="44"/>
      <c r="W348" s="44"/>
      <c r="X348" s="44"/>
      <c r="Y348" s="44"/>
      <c r="Z348" s="44"/>
      <c r="AA348" s="44" t="s">
        <v>2030</v>
      </c>
      <c r="AB348" s="44" t="s">
        <v>2031</v>
      </c>
    </row>
    <row r="349" spans="1:28" ht="15.75" customHeight="1">
      <c r="A349" s="71"/>
      <c r="B349" s="66" t="str">
        <f t="shared" si="20"/>
        <v/>
      </c>
      <c r="C349" s="71"/>
      <c r="D349" s="66" t="str">
        <f t="shared" si="21"/>
        <v/>
      </c>
      <c r="E349" s="71"/>
      <c r="F349" s="66" t="str">
        <f t="shared" si="19"/>
        <v/>
      </c>
      <c r="G349" s="59"/>
      <c r="H349" s="59"/>
      <c r="I349" s="59"/>
      <c r="J349" s="77"/>
      <c r="K349" s="75"/>
      <c r="L349" s="75"/>
      <c r="M349" s="77"/>
      <c r="N349" s="77"/>
      <c r="O349" s="44"/>
      <c r="P349" s="44" t="str">
        <f t="shared" si="2"/>
        <v/>
      </c>
      <c r="Q349" s="44" t="str">
        <f t="shared" si="3"/>
        <v/>
      </c>
      <c r="R349" s="44"/>
      <c r="S349" s="44"/>
      <c r="T349" s="44"/>
      <c r="U349" s="44"/>
      <c r="V349" s="44"/>
      <c r="W349" s="44"/>
      <c r="X349" s="44"/>
      <c r="Y349" s="44"/>
      <c r="Z349" s="44"/>
      <c r="AA349" s="44" t="s">
        <v>2032</v>
      </c>
      <c r="AB349" s="44" t="s">
        <v>2033</v>
      </c>
    </row>
    <row r="350" spans="1:28" ht="15.75" customHeight="1">
      <c r="A350" s="71"/>
      <c r="B350" s="66" t="str">
        <f t="shared" si="20"/>
        <v/>
      </c>
      <c r="C350" s="71"/>
      <c r="D350" s="66" t="str">
        <f t="shared" si="21"/>
        <v/>
      </c>
      <c r="E350" s="71"/>
      <c r="F350" s="66" t="str">
        <f t="shared" si="19"/>
        <v/>
      </c>
      <c r="G350" s="59"/>
      <c r="H350" s="59"/>
      <c r="I350" s="59"/>
      <c r="J350" s="77"/>
      <c r="K350" s="75"/>
      <c r="L350" s="75"/>
      <c r="M350" s="77"/>
      <c r="N350" s="77"/>
      <c r="O350" s="44"/>
      <c r="P350" s="44" t="str">
        <f t="shared" si="2"/>
        <v/>
      </c>
      <c r="Q350" s="44" t="str">
        <f t="shared" si="3"/>
        <v/>
      </c>
      <c r="R350" s="44"/>
      <c r="S350" s="44"/>
      <c r="T350" s="44"/>
      <c r="U350" s="44"/>
      <c r="V350" s="44"/>
      <c r="W350" s="44"/>
      <c r="X350" s="44"/>
      <c r="Y350" s="44"/>
      <c r="Z350" s="44"/>
      <c r="AA350" s="44" t="s">
        <v>2034</v>
      </c>
      <c r="AB350" s="44" t="s">
        <v>1337</v>
      </c>
    </row>
    <row r="351" spans="1:28" ht="15.75" customHeight="1">
      <c r="A351" s="71"/>
      <c r="B351" s="66" t="str">
        <f t="shared" si="20"/>
        <v/>
      </c>
      <c r="C351" s="71"/>
      <c r="D351" s="66" t="str">
        <f t="shared" si="21"/>
        <v/>
      </c>
      <c r="E351" s="71"/>
      <c r="F351" s="66" t="str">
        <f t="shared" si="19"/>
        <v/>
      </c>
      <c r="G351" s="59"/>
      <c r="H351" s="59"/>
      <c r="I351" s="59"/>
      <c r="J351" s="77"/>
      <c r="K351" s="75"/>
      <c r="L351" s="75"/>
      <c r="M351" s="77"/>
      <c r="N351" s="77"/>
      <c r="O351" s="44"/>
      <c r="P351" s="44" t="str">
        <f t="shared" si="2"/>
        <v/>
      </c>
      <c r="Q351" s="44" t="str">
        <f t="shared" si="3"/>
        <v/>
      </c>
      <c r="R351" s="44"/>
      <c r="S351" s="44"/>
      <c r="T351" s="44"/>
      <c r="U351" s="44"/>
      <c r="V351" s="44"/>
      <c r="W351" s="44"/>
      <c r="X351" s="44"/>
      <c r="Y351" s="44"/>
      <c r="Z351" s="44"/>
      <c r="AA351" s="44" t="s">
        <v>2035</v>
      </c>
      <c r="AB351" s="44" t="s">
        <v>1349</v>
      </c>
    </row>
    <row r="352" spans="1:28" ht="15.75" customHeight="1">
      <c r="A352" s="71"/>
      <c r="B352" s="66" t="str">
        <f t="shared" si="20"/>
        <v/>
      </c>
      <c r="C352" s="71"/>
      <c r="D352" s="66" t="str">
        <f t="shared" si="21"/>
        <v/>
      </c>
      <c r="E352" s="71"/>
      <c r="F352" s="66" t="str">
        <f t="shared" si="19"/>
        <v/>
      </c>
      <c r="G352" s="59"/>
      <c r="H352" s="59"/>
      <c r="I352" s="59"/>
      <c r="J352" s="77"/>
      <c r="K352" s="75"/>
      <c r="L352" s="75"/>
      <c r="M352" s="77"/>
      <c r="N352" s="77"/>
      <c r="O352" s="44"/>
      <c r="P352" s="44" t="str">
        <f t="shared" si="2"/>
        <v/>
      </c>
      <c r="Q352" s="44" t="str">
        <f t="shared" si="3"/>
        <v/>
      </c>
      <c r="R352" s="44"/>
      <c r="S352" s="44"/>
      <c r="T352" s="44"/>
      <c r="U352" s="44"/>
      <c r="V352" s="44"/>
      <c r="W352" s="44"/>
      <c r="X352" s="44"/>
      <c r="Y352" s="44"/>
      <c r="Z352" s="44"/>
      <c r="AA352" s="44" t="s">
        <v>2036</v>
      </c>
      <c r="AB352" s="44" t="s">
        <v>2037</v>
      </c>
    </row>
    <row r="353" spans="1:28" ht="15.75" customHeight="1">
      <c r="A353" s="71"/>
      <c r="B353" s="66" t="str">
        <f t="shared" si="20"/>
        <v/>
      </c>
      <c r="C353" s="71"/>
      <c r="D353" s="66" t="str">
        <f t="shared" si="21"/>
        <v/>
      </c>
      <c r="E353" s="71"/>
      <c r="F353" s="66" t="str">
        <f t="shared" si="19"/>
        <v/>
      </c>
      <c r="G353" s="59"/>
      <c r="H353" s="59"/>
      <c r="I353" s="59"/>
      <c r="J353" s="77"/>
      <c r="K353" s="75"/>
      <c r="L353" s="75"/>
      <c r="M353" s="77"/>
      <c r="N353" s="77"/>
      <c r="O353" s="44"/>
      <c r="P353" s="44" t="str">
        <f t="shared" si="2"/>
        <v/>
      </c>
      <c r="Q353" s="44" t="str">
        <f t="shared" si="3"/>
        <v/>
      </c>
      <c r="R353" s="44"/>
      <c r="S353" s="44"/>
      <c r="T353" s="44"/>
      <c r="U353" s="44"/>
      <c r="V353" s="44"/>
      <c r="W353" s="44"/>
      <c r="X353" s="44"/>
      <c r="Y353" s="44"/>
      <c r="Z353" s="44"/>
      <c r="AA353" s="44" t="s">
        <v>2038</v>
      </c>
      <c r="AB353" s="44" t="s">
        <v>2039</v>
      </c>
    </row>
    <row r="354" spans="1:28" ht="15.75" customHeight="1">
      <c r="A354" s="71"/>
      <c r="B354" s="66" t="str">
        <f t="shared" si="20"/>
        <v/>
      </c>
      <c r="C354" s="71"/>
      <c r="D354" s="66" t="str">
        <f t="shared" si="21"/>
        <v/>
      </c>
      <c r="E354" s="71"/>
      <c r="F354" s="66" t="str">
        <f t="shared" si="19"/>
        <v/>
      </c>
      <c r="G354" s="59"/>
      <c r="H354" s="59"/>
      <c r="I354" s="59"/>
      <c r="J354" s="77"/>
      <c r="K354" s="75"/>
      <c r="L354" s="75"/>
      <c r="M354" s="77"/>
      <c r="N354" s="77"/>
      <c r="O354" s="44"/>
      <c r="P354" s="44" t="str">
        <f t="shared" si="2"/>
        <v/>
      </c>
      <c r="Q354" s="44" t="str">
        <f t="shared" si="3"/>
        <v/>
      </c>
      <c r="R354" s="44"/>
      <c r="S354" s="44"/>
      <c r="T354" s="44"/>
      <c r="U354" s="44"/>
      <c r="V354" s="44"/>
      <c r="W354" s="44"/>
      <c r="X354" s="44"/>
      <c r="Y354" s="44"/>
      <c r="Z354" s="44"/>
      <c r="AA354" s="44" t="s">
        <v>2040</v>
      </c>
      <c r="AB354" s="44" t="s">
        <v>2041</v>
      </c>
    </row>
    <row r="355" spans="1:28" ht="15.75" customHeight="1">
      <c r="A355" s="71"/>
      <c r="B355" s="66" t="str">
        <f t="shared" si="20"/>
        <v/>
      </c>
      <c r="C355" s="71"/>
      <c r="D355" s="66" t="str">
        <f t="shared" si="21"/>
        <v/>
      </c>
      <c r="E355" s="71"/>
      <c r="F355" s="66" t="str">
        <f t="shared" si="19"/>
        <v/>
      </c>
      <c r="G355" s="59"/>
      <c r="H355" s="59"/>
      <c r="I355" s="59"/>
      <c r="J355" s="77"/>
      <c r="K355" s="75"/>
      <c r="L355" s="75"/>
      <c r="M355" s="77"/>
      <c r="N355" s="77"/>
      <c r="O355" s="44"/>
      <c r="P355" s="44" t="str">
        <f t="shared" si="2"/>
        <v/>
      </c>
      <c r="Q355" s="44" t="str">
        <f t="shared" si="3"/>
        <v/>
      </c>
      <c r="R355" s="44"/>
      <c r="S355" s="44"/>
      <c r="T355" s="44"/>
      <c r="U355" s="44"/>
      <c r="V355" s="44"/>
      <c r="W355" s="44"/>
      <c r="X355" s="44"/>
      <c r="Y355" s="44"/>
      <c r="Z355" s="44"/>
      <c r="AA355" s="44" t="s">
        <v>2042</v>
      </c>
      <c r="AB355" s="44" t="s">
        <v>2043</v>
      </c>
    </row>
    <row r="356" spans="1:28" ht="15.75" customHeight="1">
      <c r="A356" s="71"/>
      <c r="B356" s="66" t="str">
        <f t="shared" si="20"/>
        <v/>
      </c>
      <c r="C356" s="71"/>
      <c r="D356" s="66" t="str">
        <f t="shared" si="21"/>
        <v/>
      </c>
      <c r="E356" s="71"/>
      <c r="F356" s="66" t="str">
        <f t="shared" si="19"/>
        <v/>
      </c>
      <c r="G356" s="59"/>
      <c r="H356" s="59"/>
      <c r="I356" s="59"/>
      <c r="J356" s="77"/>
      <c r="K356" s="75"/>
      <c r="L356" s="75"/>
      <c r="M356" s="77"/>
      <c r="N356" s="77"/>
      <c r="O356" s="44"/>
      <c r="P356" s="44" t="str">
        <f t="shared" si="2"/>
        <v/>
      </c>
      <c r="Q356" s="44" t="str">
        <f t="shared" si="3"/>
        <v/>
      </c>
      <c r="R356" s="44"/>
      <c r="S356" s="44"/>
      <c r="T356" s="44"/>
      <c r="U356" s="44"/>
      <c r="V356" s="44"/>
      <c r="W356" s="44"/>
      <c r="X356" s="44"/>
      <c r="Y356" s="44"/>
      <c r="Z356" s="44"/>
      <c r="AA356" s="44" t="s">
        <v>2044</v>
      </c>
      <c r="AB356" s="44" t="s">
        <v>2045</v>
      </c>
    </row>
    <row r="357" spans="1:28" ht="15.75" customHeight="1">
      <c r="A357" s="71"/>
      <c r="B357" s="66" t="str">
        <f t="shared" si="20"/>
        <v/>
      </c>
      <c r="C357" s="71"/>
      <c r="D357" s="66" t="str">
        <f t="shared" si="21"/>
        <v/>
      </c>
      <c r="E357" s="71"/>
      <c r="F357" s="66" t="str">
        <f t="shared" si="19"/>
        <v/>
      </c>
      <c r="G357" s="59"/>
      <c r="H357" s="59"/>
      <c r="I357" s="59"/>
      <c r="J357" s="77"/>
      <c r="K357" s="75"/>
      <c r="L357" s="75"/>
      <c r="M357" s="77"/>
      <c r="N357" s="77"/>
      <c r="O357" s="44"/>
      <c r="P357" s="44" t="str">
        <f t="shared" si="2"/>
        <v/>
      </c>
      <c r="Q357" s="44" t="str">
        <f t="shared" si="3"/>
        <v/>
      </c>
      <c r="R357" s="44"/>
      <c r="S357" s="44"/>
      <c r="T357" s="44"/>
      <c r="U357" s="44"/>
      <c r="V357" s="44"/>
      <c r="W357" s="44"/>
      <c r="X357" s="44"/>
      <c r="Y357" s="44"/>
      <c r="Z357" s="44"/>
      <c r="AA357" s="44" t="s">
        <v>2046</v>
      </c>
      <c r="AB357" s="44" t="s">
        <v>2047</v>
      </c>
    </row>
    <row r="358" spans="1:28" ht="15.75" customHeight="1">
      <c r="A358" s="71"/>
      <c r="B358" s="66" t="str">
        <f t="shared" si="20"/>
        <v/>
      </c>
      <c r="C358" s="71"/>
      <c r="D358" s="66" t="str">
        <f t="shared" si="21"/>
        <v/>
      </c>
      <c r="E358" s="71"/>
      <c r="F358" s="66" t="str">
        <f t="shared" si="19"/>
        <v/>
      </c>
      <c r="G358" s="59"/>
      <c r="H358" s="59"/>
      <c r="I358" s="59"/>
      <c r="J358" s="77"/>
      <c r="K358" s="75"/>
      <c r="L358" s="75"/>
      <c r="M358" s="77"/>
      <c r="N358" s="77"/>
      <c r="O358" s="44"/>
      <c r="P358" s="44" t="str">
        <f t="shared" si="2"/>
        <v/>
      </c>
      <c r="Q358" s="44" t="str">
        <f t="shared" si="3"/>
        <v/>
      </c>
      <c r="R358" s="44"/>
      <c r="S358" s="44"/>
      <c r="T358" s="44"/>
      <c r="U358" s="44"/>
      <c r="V358" s="44"/>
      <c r="W358" s="44"/>
      <c r="X358" s="44"/>
      <c r="Y358" s="44"/>
      <c r="Z358" s="44"/>
      <c r="AA358" s="44" t="s">
        <v>2048</v>
      </c>
      <c r="AB358" s="44" t="s">
        <v>2049</v>
      </c>
    </row>
    <row r="359" spans="1:28" ht="15.75" customHeight="1">
      <c r="A359" s="71"/>
      <c r="B359" s="66" t="str">
        <f t="shared" si="20"/>
        <v/>
      </c>
      <c r="C359" s="71"/>
      <c r="D359" s="66" t="str">
        <f t="shared" si="21"/>
        <v/>
      </c>
      <c r="E359" s="71"/>
      <c r="F359" s="66" t="str">
        <f t="shared" si="19"/>
        <v/>
      </c>
      <c r="G359" s="59"/>
      <c r="H359" s="59"/>
      <c r="I359" s="59"/>
      <c r="J359" s="77"/>
      <c r="K359" s="75"/>
      <c r="L359" s="75"/>
      <c r="M359" s="77"/>
      <c r="N359" s="77"/>
      <c r="O359" s="44"/>
      <c r="P359" s="44" t="str">
        <f t="shared" si="2"/>
        <v/>
      </c>
      <c r="Q359" s="44" t="str">
        <f t="shared" si="3"/>
        <v/>
      </c>
      <c r="R359" s="44"/>
      <c r="S359" s="44"/>
      <c r="T359" s="44"/>
      <c r="U359" s="44"/>
      <c r="V359" s="44"/>
      <c r="W359" s="44"/>
      <c r="X359" s="44"/>
      <c r="Y359" s="44"/>
      <c r="Z359" s="44"/>
      <c r="AA359" s="44" t="s">
        <v>2050</v>
      </c>
      <c r="AB359" s="44" t="s">
        <v>2051</v>
      </c>
    </row>
    <row r="360" spans="1:28" ht="15.75" customHeight="1">
      <c r="A360" s="71"/>
      <c r="B360" s="66" t="str">
        <f t="shared" si="20"/>
        <v/>
      </c>
      <c r="C360" s="71"/>
      <c r="D360" s="66" t="str">
        <f t="shared" si="21"/>
        <v/>
      </c>
      <c r="E360" s="71"/>
      <c r="F360" s="66" t="str">
        <f t="shared" si="19"/>
        <v/>
      </c>
      <c r="G360" s="59"/>
      <c r="H360" s="59"/>
      <c r="I360" s="59"/>
      <c r="J360" s="77"/>
      <c r="K360" s="75"/>
      <c r="L360" s="75"/>
      <c r="M360" s="77"/>
      <c r="N360" s="77"/>
      <c r="O360" s="44"/>
      <c r="P360" s="44" t="str">
        <f t="shared" si="2"/>
        <v/>
      </c>
      <c r="Q360" s="44" t="str">
        <f t="shared" si="3"/>
        <v/>
      </c>
      <c r="R360" s="44"/>
      <c r="S360" s="44"/>
      <c r="T360" s="44"/>
      <c r="U360" s="44"/>
      <c r="V360" s="44"/>
      <c r="W360" s="44"/>
      <c r="X360" s="44"/>
      <c r="Y360" s="44"/>
      <c r="Z360" s="44"/>
      <c r="AA360" s="44" t="s">
        <v>2052</v>
      </c>
      <c r="AB360" s="44" t="s">
        <v>2053</v>
      </c>
    </row>
    <row r="361" spans="1:28" ht="15.75" customHeight="1">
      <c r="A361" s="71"/>
      <c r="B361" s="66" t="str">
        <f t="shared" si="20"/>
        <v/>
      </c>
      <c r="C361" s="71"/>
      <c r="D361" s="66" t="str">
        <f t="shared" si="21"/>
        <v/>
      </c>
      <c r="E361" s="71"/>
      <c r="F361" s="66" t="str">
        <f t="shared" si="19"/>
        <v/>
      </c>
      <c r="G361" s="59"/>
      <c r="H361" s="59"/>
      <c r="I361" s="59"/>
      <c r="J361" s="77"/>
      <c r="K361" s="75"/>
      <c r="L361" s="75"/>
      <c r="M361" s="77"/>
      <c r="N361" s="77"/>
      <c r="O361" s="44"/>
      <c r="P361" s="44" t="str">
        <f t="shared" si="2"/>
        <v/>
      </c>
      <c r="Q361" s="44" t="str">
        <f t="shared" si="3"/>
        <v/>
      </c>
      <c r="R361" s="44"/>
      <c r="S361" s="44"/>
      <c r="T361" s="44"/>
      <c r="U361" s="44"/>
      <c r="V361" s="44"/>
      <c r="W361" s="44"/>
      <c r="X361" s="44"/>
      <c r="Y361" s="44"/>
      <c r="Z361" s="44"/>
      <c r="AA361" s="44" t="s">
        <v>2054</v>
      </c>
      <c r="AB361" s="44" t="s">
        <v>2055</v>
      </c>
    </row>
    <row r="362" spans="1:28" ht="15.75" customHeight="1">
      <c r="A362" s="71"/>
      <c r="B362" s="66" t="str">
        <f t="shared" si="20"/>
        <v/>
      </c>
      <c r="C362" s="71"/>
      <c r="D362" s="66" t="str">
        <f t="shared" si="21"/>
        <v/>
      </c>
      <c r="E362" s="71"/>
      <c r="F362" s="66" t="str">
        <f t="shared" si="19"/>
        <v/>
      </c>
      <c r="G362" s="59"/>
      <c r="H362" s="59"/>
      <c r="I362" s="59"/>
      <c r="J362" s="77"/>
      <c r="K362" s="75"/>
      <c r="L362" s="75"/>
      <c r="M362" s="77"/>
      <c r="N362" s="77"/>
      <c r="O362" s="44"/>
      <c r="P362" s="44" t="str">
        <f t="shared" si="2"/>
        <v/>
      </c>
      <c r="Q362" s="44" t="str">
        <f t="shared" si="3"/>
        <v/>
      </c>
      <c r="R362" s="44"/>
      <c r="S362" s="44"/>
      <c r="T362" s="44"/>
      <c r="U362" s="44"/>
      <c r="V362" s="44"/>
      <c r="W362" s="44"/>
      <c r="X362" s="44"/>
      <c r="Y362" s="44"/>
      <c r="Z362" s="44"/>
      <c r="AA362" s="44" t="s">
        <v>2056</v>
      </c>
      <c r="AB362" s="44" t="s">
        <v>2057</v>
      </c>
    </row>
    <row r="363" spans="1:28" ht="15.75" customHeight="1">
      <c r="A363" s="71"/>
      <c r="B363" s="66" t="str">
        <f t="shared" si="20"/>
        <v/>
      </c>
      <c r="C363" s="71"/>
      <c r="D363" s="66" t="str">
        <f t="shared" si="21"/>
        <v/>
      </c>
      <c r="E363" s="71"/>
      <c r="F363" s="66" t="str">
        <f t="shared" si="19"/>
        <v/>
      </c>
      <c r="G363" s="59"/>
      <c r="H363" s="59"/>
      <c r="I363" s="59"/>
      <c r="J363" s="77"/>
      <c r="K363" s="75"/>
      <c r="L363" s="75"/>
      <c r="M363" s="77"/>
      <c r="N363" s="77"/>
      <c r="O363" s="44"/>
      <c r="P363" s="44" t="str">
        <f t="shared" si="2"/>
        <v/>
      </c>
      <c r="Q363" s="44" t="str">
        <f t="shared" si="3"/>
        <v/>
      </c>
      <c r="R363" s="44"/>
      <c r="S363" s="44"/>
      <c r="T363" s="44"/>
      <c r="U363" s="44"/>
      <c r="V363" s="44"/>
      <c r="W363" s="44"/>
      <c r="X363" s="44"/>
      <c r="Y363" s="44"/>
      <c r="Z363" s="44"/>
      <c r="AA363" s="44" t="s">
        <v>2058</v>
      </c>
      <c r="AB363" s="44" t="s">
        <v>2059</v>
      </c>
    </row>
    <row r="364" spans="1:28" ht="15.75" customHeight="1">
      <c r="A364" s="71"/>
      <c r="B364" s="66" t="str">
        <f t="shared" si="20"/>
        <v/>
      </c>
      <c r="C364" s="71"/>
      <c r="D364" s="66" t="str">
        <f t="shared" si="21"/>
        <v/>
      </c>
      <c r="E364" s="71"/>
      <c r="F364" s="66" t="str">
        <f t="shared" si="19"/>
        <v/>
      </c>
      <c r="G364" s="59"/>
      <c r="H364" s="59"/>
      <c r="I364" s="59"/>
      <c r="J364" s="77"/>
      <c r="K364" s="75"/>
      <c r="L364" s="75"/>
      <c r="M364" s="77"/>
      <c r="N364" s="77"/>
      <c r="O364" s="44"/>
      <c r="P364" s="44" t="str">
        <f t="shared" si="2"/>
        <v/>
      </c>
      <c r="Q364" s="44" t="str">
        <f t="shared" si="3"/>
        <v/>
      </c>
      <c r="R364" s="44"/>
      <c r="S364" s="44"/>
      <c r="T364" s="44"/>
      <c r="U364" s="44"/>
      <c r="V364" s="44"/>
      <c r="W364" s="44"/>
      <c r="X364" s="44"/>
      <c r="Y364" s="44"/>
      <c r="Z364" s="44"/>
      <c r="AA364" s="44" t="s">
        <v>2060</v>
      </c>
      <c r="AB364" s="44" t="s">
        <v>2061</v>
      </c>
    </row>
    <row r="365" spans="1:28" ht="15.75" customHeight="1">
      <c r="A365" s="71"/>
      <c r="B365" s="66" t="str">
        <f t="shared" si="20"/>
        <v/>
      </c>
      <c r="C365" s="71"/>
      <c r="D365" s="66" t="str">
        <f t="shared" si="21"/>
        <v/>
      </c>
      <c r="E365" s="71"/>
      <c r="F365" s="66" t="str">
        <f t="shared" si="19"/>
        <v/>
      </c>
      <c r="G365" s="59"/>
      <c r="H365" s="59"/>
      <c r="I365" s="59"/>
      <c r="J365" s="77"/>
      <c r="K365" s="75"/>
      <c r="L365" s="75"/>
      <c r="M365" s="77"/>
      <c r="N365" s="77"/>
      <c r="O365" s="44"/>
      <c r="P365" s="44" t="str">
        <f t="shared" si="2"/>
        <v/>
      </c>
      <c r="Q365" s="44" t="str">
        <f t="shared" si="3"/>
        <v/>
      </c>
      <c r="R365" s="44"/>
      <c r="S365" s="44"/>
      <c r="T365" s="44"/>
      <c r="U365" s="44"/>
      <c r="V365" s="44"/>
      <c r="W365" s="44"/>
      <c r="X365" s="44"/>
      <c r="Y365" s="44"/>
      <c r="Z365" s="44"/>
      <c r="AA365" s="44" t="s">
        <v>2062</v>
      </c>
      <c r="AB365" s="44" t="s">
        <v>2063</v>
      </c>
    </row>
    <row r="366" spans="1:28" ht="15.75" customHeight="1">
      <c r="A366" s="71"/>
      <c r="B366" s="66" t="str">
        <f t="shared" si="20"/>
        <v/>
      </c>
      <c r="C366" s="71"/>
      <c r="D366" s="66" t="str">
        <f t="shared" si="21"/>
        <v/>
      </c>
      <c r="E366" s="71"/>
      <c r="F366" s="66" t="str">
        <f t="shared" si="19"/>
        <v/>
      </c>
      <c r="G366" s="59"/>
      <c r="H366" s="59"/>
      <c r="I366" s="59"/>
      <c r="J366" s="77"/>
      <c r="K366" s="75"/>
      <c r="L366" s="75"/>
      <c r="M366" s="77"/>
      <c r="N366" s="77"/>
      <c r="O366" s="44"/>
      <c r="P366" s="44" t="str">
        <f t="shared" si="2"/>
        <v/>
      </c>
      <c r="Q366" s="44" t="str">
        <f t="shared" si="3"/>
        <v/>
      </c>
      <c r="R366" s="44"/>
      <c r="S366" s="44"/>
      <c r="T366" s="44"/>
      <c r="U366" s="44"/>
      <c r="V366" s="44"/>
      <c r="W366" s="44"/>
      <c r="X366" s="44"/>
      <c r="Y366" s="44"/>
      <c r="Z366" s="44"/>
      <c r="AA366" s="44" t="s">
        <v>2064</v>
      </c>
      <c r="AB366" s="44" t="s">
        <v>2065</v>
      </c>
    </row>
    <row r="367" spans="1:28" ht="15.75" customHeight="1">
      <c r="A367" s="71"/>
      <c r="B367" s="66" t="str">
        <f t="shared" si="20"/>
        <v/>
      </c>
      <c r="C367" s="71"/>
      <c r="D367" s="66" t="str">
        <f t="shared" si="21"/>
        <v/>
      </c>
      <c r="E367" s="71"/>
      <c r="F367" s="66" t="str">
        <f t="shared" si="19"/>
        <v/>
      </c>
      <c r="G367" s="59"/>
      <c r="H367" s="59"/>
      <c r="I367" s="59"/>
      <c r="J367" s="77"/>
      <c r="K367" s="75"/>
      <c r="L367" s="75"/>
      <c r="M367" s="77"/>
      <c r="N367" s="77"/>
      <c r="O367" s="44"/>
      <c r="P367" s="44" t="str">
        <f t="shared" si="2"/>
        <v/>
      </c>
      <c r="Q367" s="44" t="str">
        <f t="shared" si="3"/>
        <v/>
      </c>
      <c r="R367" s="44"/>
      <c r="S367" s="44"/>
      <c r="T367" s="44"/>
      <c r="U367" s="44"/>
      <c r="V367" s="44"/>
      <c r="W367" s="44"/>
      <c r="X367" s="44"/>
      <c r="Y367" s="44"/>
      <c r="Z367" s="44"/>
      <c r="AA367" s="44" t="s">
        <v>2066</v>
      </c>
      <c r="AB367" s="44" t="s">
        <v>2067</v>
      </c>
    </row>
    <row r="368" spans="1:28" ht="15.75" customHeight="1">
      <c r="A368" s="71"/>
      <c r="B368" s="66" t="str">
        <f t="shared" si="20"/>
        <v/>
      </c>
      <c r="C368" s="71"/>
      <c r="D368" s="66" t="str">
        <f t="shared" si="21"/>
        <v/>
      </c>
      <c r="E368" s="71"/>
      <c r="F368" s="66" t="str">
        <f t="shared" si="19"/>
        <v/>
      </c>
      <c r="G368" s="59"/>
      <c r="H368" s="59"/>
      <c r="I368" s="59"/>
      <c r="J368" s="77"/>
      <c r="K368" s="75"/>
      <c r="L368" s="75"/>
      <c r="M368" s="77"/>
      <c r="N368" s="77"/>
      <c r="O368" s="44"/>
      <c r="P368" s="44" t="str">
        <f t="shared" si="2"/>
        <v/>
      </c>
      <c r="Q368" s="44" t="str">
        <f t="shared" si="3"/>
        <v/>
      </c>
      <c r="R368" s="44"/>
      <c r="S368" s="44"/>
      <c r="T368" s="44"/>
      <c r="U368" s="44"/>
      <c r="V368" s="44"/>
      <c r="W368" s="44"/>
      <c r="X368" s="44"/>
      <c r="Y368" s="44"/>
      <c r="Z368" s="44"/>
      <c r="AA368" s="44" t="s">
        <v>2068</v>
      </c>
      <c r="AB368" s="44" t="s">
        <v>2069</v>
      </c>
    </row>
    <row r="369" spans="1:28" ht="15.75" customHeight="1">
      <c r="A369" s="71"/>
      <c r="B369" s="66" t="str">
        <f t="shared" si="20"/>
        <v/>
      </c>
      <c r="C369" s="71"/>
      <c r="D369" s="66" t="str">
        <f t="shared" si="21"/>
        <v/>
      </c>
      <c r="E369" s="71"/>
      <c r="F369" s="66" t="str">
        <f t="shared" si="19"/>
        <v/>
      </c>
      <c r="G369" s="59"/>
      <c r="H369" s="59"/>
      <c r="I369" s="59"/>
      <c r="J369" s="77"/>
      <c r="K369" s="75"/>
      <c r="L369" s="75"/>
      <c r="M369" s="77"/>
      <c r="N369" s="77"/>
      <c r="O369" s="44"/>
      <c r="P369" s="44" t="str">
        <f t="shared" si="2"/>
        <v/>
      </c>
      <c r="Q369" s="44" t="str">
        <f t="shared" si="3"/>
        <v/>
      </c>
      <c r="R369" s="44"/>
      <c r="S369" s="44"/>
      <c r="T369" s="44"/>
      <c r="U369" s="44"/>
      <c r="V369" s="44"/>
      <c r="W369" s="44"/>
      <c r="X369" s="44"/>
      <c r="Y369" s="44"/>
      <c r="Z369" s="44"/>
      <c r="AA369" s="44" t="s">
        <v>2070</v>
      </c>
      <c r="AB369" s="44" t="s">
        <v>2071</v>
      </c>
    </row>
    <row r="370" spans="1:28" ht="15.75" customHeight="1">
      <c r="A370" s="71"/>
      <c r="B370" s="66" t="str">
        <f t="shared" si="20"/>
        <v/>
      </c>
      <c r="C370" s="71"/>
      <c r="D370" s="66" t="str">
        <f t="shared" si="21"/>
        <v/>
      </c>
      <c r="E370" s="71"/>
      <c r="F370" s="66" t="str">
        <f t="shared" si="19"/>
        <v/>
      </c>
      <c r="G370" s="59"/>
      <c r="H370" s="59"/>
      <c r="I370" s="59"/>
      <c r="J370" s="77"/>
      <c r="K370" s="75"/>
      <c r="L370" s="75"/>
      <c r="M370" s="77"/>
      <c r="N370" s="77"/>
      <c r="O370" s="44"/>
      <c r="P370" s="44" t="str">
        <f t="shared" si="2"/>
        <v/>
      </c>
      <c r="Q370" s="44" t="str">
        <f t="shared" si="3"/>
        <v/>
      </c>
      <c r="R370" s="44"/>
      <c r="S370" s="44"/>
      <c r="T370" s="44"/>
      <c r="U370" s="44"/>
      <c r="V370" s="44"/>
      <c r="W370" s="44"/>
      <c r="X370" s="44"/>
      <c r="Y370" s="44"/>
      <c r="Z370" s="44"/>
      <c r="AA370" s="44" t="s">
        <v>2072</v>
      </c>
      <c r="AB370" s="44" t="s">
        <v>2073</v>
      </c>
    </row>
    <row r="371" spans="1:28" ht="15.75" customHeight="1">
      <c r="A371" s="71"/>
      <c r="B371" s="66" t="str">
        <f t="shared" si="20"/>
        <v/>
      </c>
      <c r="C371" s="71"/>
      <c r="D371" s="66" t="str">
        <f t="shared" si="21"/>
        <v/>
      </c>
      <c r="E371" s="71"/>
      <c r="F371" s="66" t="str">
        <f t="shared" si="19"/>
        <v/>
      </c>
      <c r="G371" s="59"/>
      <c r="H371" s="59"/>
      <c r="I371" s="59"/>
      <c r="J371" s="77"/>
      <c r="K371" s="75"/>
      <c r="L371" s="75"/>
      <c r="M371" s="77"/>
      <c r="N371" s="77"/>
      <c r="O371" s="44"/>
      <c r="P371" s="44" t="str">
        <f t="shared" si="2"/>
        <v/>
      </c>
      <c r="Q371" s="44" t="str">
        <f t="shared" si="3"/>
        <v/>
      </c>
      <c r="R371" s="44"/>
      <c r="S371" s="44"/>
      <c r="T371" s="44"/>
      <c r="U371" s="44"/>
      <c r="V371" s="44"/>
      <c r="W371" s="44"/>
      <c r="X371" s="44"/>
      <c r="Y371" s="44"/>
      <c r="Z371" s="44"/>
      <c r="AA371" s="44" t="s">
        <v>2074</v>
      </c>
      <c r="AB371" s="44" t="s">
        <v>2075</v>
      </c>
    </row>
    <row r="372" spans="1:28" ht="15.75" customHeight="1">
      <c r="A372" s="71"/>
      <c r="B372" s="66" t="str">
        <f t="shared" si="20"/>
        <v/>
      </c>
      <c r="C372" s="71"/>
      <c r="D372" s="66" t="str">
        <f t="shared" si="21"/>
        <v/>
      </c>
      <c r="E372" s="71"/>
      <c r="F372" s="66" t="str">
        <f t="shared" si="19"/>
        <v/>
      </c>
      <c r="G372" s="59"/>
      <c r="H372" s="59"/>
      <c r="I372" s="59"/>
      <c r="J372" s="77"/>
      <c r="K372" s="75"/>
      <c r="L372" s="75"/>
      <c r="M372" s="77"/>
      <c r="N372" s="77"/>
      <c r="O372" s="44"/>
      <c r="P372" s="44" t="str">
        <f t="shared" si="2"/>
        <v/>
      </c>
      <c r="Q372" s="44" t="str">
        <f t="shared" si="3"/>
        <v/>
      </c>
      <c r="R372" s="44"/>
      <c r="S372" s="44"/>
      <c r="T372" s="44"/>
      <c r="U372" s="44"/>
      <c r="V372" s="44"/>
      <c r="W372" s="44"/>
      <c r="X372" s="44"/>
      <c r="Y372" s="44"/>
      <c r="Z372" s="44"/>
      <c r="AA372" s="44" t="s">
        <v>2076</v>
      </c>
      <c r="AB372" s="44" t="s">
        <v>2077</v>
      </c>
    </row>
    <row r="373" spans="1:28" ht="15.75" customHeight="1">
      <c r="A373" s="71"/>
      <c r="B373" s="66" t="str">
        <f t="shared" si="20"/>
        <v/>
      </c>
      <c r="C373" s="71"/>
      <c r="D373" s="66" t="str">
        <f t="shared" si="21"/>
        <v/>
      </c>
      <c r="E373" s="71"/>
      <c r="F373" s="66" t="str">
        <f t="shared" ref="F373:F436" si="22">IFERROR(VLOOKUP(E373,$AA$6:$AB$1016,2,FALSE),"")</f>
        <v/>
      </c>
      <c r="G373" s="59"/>
      <c r="H373" s="59"/>
      <c r="I373" s="59"/>
      <c r="J373" s="77"/>
      <c r="K373" s="75"/>
      <c r="L373" s="75"/>
      <c r="M373" s="77"/>
      <c r="N373" s="77"/>
      <c r="O373" s="44"/>
      <c r="P373" s="44" t="str">
        <f t="shared" si="2"/>
        <v/>
      </c>
      <c r="Q373" s="44" t="str">
        <f t="shared" si="3"/>
        <v/>
      </c>
      <c r="R373" s="44"/>
      <c r="S373" s="44"/>
      <c r="T373" s="44"/>
      <c r="U373" s="44"/>
      <c r="V373" s="44"/>
      <c r="W373" s="44"/>
      <c r="X373" s="44"/>
      <c r="Y373" s="44"/>
      <c r="Z373" s="44"/>
      <c r="AA373" s="44" t="s">
        <v>2078</v>
      </c>
      <c r="AB373" s="44" t="s">
        <v>2079</v>
      </c>
    </row>
    <row r="374" spans="1:28" ht="15.75" customHeight="1">
      <c r="A374" s="71"/>
      <c r="B374" s="66" t="str">
        <f t="shared" si="20"/>
        <v/>
      </c>
      <c r="C374" s="71"/>
      <c r="D374" s="66" t="str">
        <f t="shared" si="21"/>
        <v/>
      </c>
      <c r="E374" s="71"/>
      <c r="F374" s="66" t="str">
        <f t="shared" si="22"/>
        <v/>
      </c>
      <c r="G374" s="59"/>
      <c r="H374" s="59"/>
      <c r="I374" s="59"/>
      <c r="J374" s="77"/>
      <c r="K374" s="75"/>
      <c r="L374" s="75"/>
      <c r="M374" s="77"/>
      <c r="N374" s="77"/>
      <c r="O374" s="44"/>
      <c r="P374" s="44" t="str">
        <f t="shared" si="2"/>
        <v/>
      </c>
      <c r="Q374" s="44" t="str">
        <f t="shared" si="3"/>
        <v/>
      </c>
      <c r="R374" s="44"/>
      <c r="S374" s="44"/>
      <c r="T374" s="44"/>
      <c r="U374" s="44"/>
      <c r="V374" s="44"/>
      <c r="W374" s="44"/>
      <c r="X374" s="44"/>
      <c r="Y374" s="44"/>
      <c r="Z374" s="44"/>
      <c r="AA374" s="44" t="s">
        <v>2080</v>
      </c>
      <c r="AB374" s="44" t="s">
        <v>2081</v>
      </c>
    </row>
    <row r="375" spans="1:28" ht="15.75" customHeight="1">
      <c r="A375" s="71"/>
      <c r="B375" s="66" t="str">
        <f t="shared" si="20"/>
        <v/>
      </c>
      <c r="C375" s="71"/>
      <c r="D375" s="66" t="str">
        <f t="shared" si="21"/>
        <v/>
      </c>
      <c r="E375" s="71"/>
      <c r="F375" s="66" t="str">
        <f t="shared" si="22"/>
        <v/>
      </c>
      <c r="G375" s="59"/>
      <c r="H375" s="59"/>
      <c r="I375" s="59"/>
      <c r="J375" s="77"/>
      <c r="K375" s="75"/>
      <c r="L375" s="75"/>
      <c r="M375" s="77"/>
      <c r="N375" s="77"/>
      <c r="O375" s="44"/>
      <c r="P375" s="44" t="str">
        <f t="shared" si="2"/>
        <v/>
      </c>
      <c r="Q375" s="44" t="str">
        <f t="shared" si="3"/>
        <v/>
      </c>
      <c r="R375" s="44"/>
      <c r="S375" s="44"/>
      <c r="T375" s="44"/>
      <c r="U375" s="44"/>
      <c r="V375" s="44"/>
      <c r="W375" s="44"/>
      <c r="X375" s="44"/>
      <c r="Y375" s="44"/>
      <c r="Z375" s="44"/>
      <c r="AA375" s="44" t="s">
        <v>2082</v>
      </c>
      <c r="AB375" s="44" t="s">
        <v>2083</v>
      </c>
    </row>
    <row r="376" spans="1:28" ht="15.75" customHeight="1">
      <c r="A376" s="71"/>
      <c r="B376" s="66" t="str">
        <f t="shared" si="20"/>
        <v/>
      </c>
      <c r="C376" s="71"/>
      <c r="D376" s="66" t="str">
        <f t="shared" si="21"/>
        <v/>
      </c>
      <c r="E376" s="71"/>
      <c r="F376" s="66" t="str">
        <f t="shared" si="22"/>
        <v/>
      </c>
      <c r="G376" s="59"/>
      <c r="H376" s="59"/>
      <c r="I376" s="59"/>
      <c r="J376" s="77"/>
      <c r="K376" s="75"/>
      <c r="L376" s="75"/>
      <c r="M376" s="77"/>
      <c r="N376" s="77"/>
      <c r="O376" s="44"/>
      <c r="P376" s="44" t="str">
        <f t="shared" si="2"/>
        <v/>
      </c>
      <c r="Q376" s="44" t="str">
        <f t="shared" si="3"/>
        <v/>
      </c>
      <c r="R376" s="44"/>
      <c r="S376" s="44"/>
      <c r="T376" s="44"/>
      <c r="U376" s="44"/>
      <c r="V376" s="44"/>
      <c r="W376" s="44"/>
      <c r="X376" s="44"/>
      <c r="Y376" s="44"/>
      <c r="Z376" s="44"/>
      <c r="AA376" s="44" t="s">
        <v>2084</v>
      </c>
      <c r="AB376" s="44" t="s">
        <v>2085</v>
      </c>
    </row>
    <row r="377" spans="1:28" ht="15.75" customHeight="1">
      <c r="A377" s="71"/>
      <c r="B377" s="66" t="str">
        <f t="shared" si="20"/>
        <v/>
      </c>
      <c r="C377" s="71"/>
      <c r="D377" s="66" t="str">
        <f t="shared" si="21"/>
        <v/>
      </c>
      <c r="E377" s="71"/>
      <c r="F377" s="66" t="str">
        <f t="shared" si="22"/>
        <v/>
      </c>
      <c r="G377" s="59"/>
      <c r="H377" s="59"/>
      <c r="I377" s="59"/>
      <c r="J377" s="77"/>
      <c r="K377" s="75"/>
      <c r="L377" s="75"/>
      <c r="M377" s="77"/>
      <c r="N377" s="77"/>
      <c r="O377" s="44"/>
      <c r="P377" s="44" t="str">
        <f t="shared" si="2"/>
        <v/>
      </c>
      <c r="Q377" s="44" t="str">
        <f t="shared" si="3"/>
        <v/>
      </c>
      <c r="R377" s="44"/>
      <c r="S377" s="44"/>
      <c r="T377" s="44"/>
      <c r="U377" s="44"/>
      <c r="V377" s="44"/>
      <c r="W377" s="44"/>
      <c r="X377" s="44"/>
      <c r="Y377" s="44"/>
      <c r="Z377" s="44"/>
      <c r="AA377" s="44" t="s">
        <v>2086</v>
      </c>
      <c r="AB377" s="44" t="s">
        <v>2087</v>
      </c>
    </row>
    <row r="378" spans="1:28" ht="15.75" customHeight="1">
      <c r="A378" s="71"/>
      <c r="B378" s="66" t="str">
        <f t="shared" si="20"/>
        <v/>
      </c>
      <c r="C378" s="71"/>
      <c r="D378" s="66" t="str">
        <f t="shared" si="21"/>
        <v/>
      </c>
      <c r="E378" s="71"/>
      <c r="F378" s="66" t="str">
        <f t="shared" si="22"/>
        <v/>
      </c>
      <c r="G378" s="59"/>
      <c r="H378" s="59"/>
      <c r="I378" s="59"/>
      <c r="J378" s="77"/>
      <c r="K378" s="75"/>
      <c r="L378" s="75"/>
      <c r="M378" s="77"/>
      <c r="N378" s="77"/>
      <c r="O378" s="44"/>
      <c r="P378" s="44" t="str">
        <f t="shared" si="2"/>
        <v/>
      </c>
      <c r="Q378" s="44" t="str">
        <f t="shared" si="3"/>
        <v/>
      </c>
      <c r="R378" s="44"/>
      <c r="S378" s="44"/>
      <c r="T378" s="44"/>
      <c r="U378" s="44"/>
      <c r="V378" s="44"/>
      <c r="W378" s="44"/>
      <c r="X378" s="44"/>
      <c r="Y378" s="44"/>
      <c r="Z378" s="44"/>
      <c r="AA378" s="44" t="s">
        <v>2088</v>
      </c>
      <c r="AB378" s="44" t="s">
        <v>2089</v>
      </c>
    </row>
    <row r="379" spans="1:28" ht="15.75" customHeight="1">
      <c r="A379" s="71"/>
      <c r="B379" s="66" t="str">
        <f t="shared" si="20"/>
        <v/>
      </c>
      <c r="C379" s="71"/>
      <c r="D379" s="66" t="str">
        <f t="shared" si="21"/>
        <v/>
      </c>
      <c r="E379" s="71"/>
      <c r="F379" s="66" t="str">
        <f t="shared" si="22"/>
        <v/>
      </c>
      <c r="G379" s="59"/>
      <c r="H379" s="59"/>
      <c r="I379" s="59"/>
      <c r="J379" s="77"/>
      <c r="K379" s="75"/>
      <c r="L379" s="75"/>
      <c r="M379" s="77"/>
      <c r="N379" s="77"/>
      <c r="O379" s="44"/>
      <c r="P379" s="44" t="str">
        <f t="shared" si="2"/>
        <v/>
      </c>
      <c r="Q379" s="44" t="str">
        <f t="shared" si="3"/>
        <v/>
      </c>
      <c r="R379" s="44"/>
      <c r="S379" s="44"/>
      <c r="T379" s="44"/>
      <c r="U379" s="44"/>
      <c r="V379" s="44"/>
      <c r="W379" s="44"/>
      <c r="X379" s="44"/>
      <c r="Y379" s="44"/>
      <c r="Z379" s="44"/>
      <c r="AA379" s="44" t="s">
        <v>2090</v>
      </c>
      <c r="AB379" s="44" t="s">
        <v>2091</v>
      </c>
    </row>
    <row r="380" spans="1:28" ht="15.75" customHeight="1">
      <c r="A380" s="71"/>
      <c r="B380" s="66" t="str">
        <f t="shared" si="20"/>
        <v/>
      </c>
      <c r="C380" s="71"/>
      <c r="D380" s="66" t="str">
        <f t="shared" si="21"/>
        <v/>
      </c>
      <c r="E380" s="71"/>
      <c r="F380" s="66" t="str">
        <f t="shared" si="22"/>
        <v/>
      </c>
      <c r="G380" s="59"/>
      <c r="H380" s="59"/>
      <c r="I380" s="59"/>
      <c r="J380" s="77"/>
      <c r="K380" s="75"/>
      <c r="L380" s="75"/>
      <c r="M380" s="77"/>
      <c r="N380" s="77"/>
      <c r="O380" s="44"/>
      <c r="P380" s="44" t="str">
        <f t="shared" si="2"/>
        <v/>
      </c>
      <c r="Q380" s="44" t="str">
        <f t="shared" si="3"/>
        <v/>
      </c>
      <c r="R380" s="44"/>
      <c r="S380" s="44"/>
      <c r="T380" s="44"/>
      <c r="U380" s="44"/>
      <c r="V380" s="44"/>
      <c r="W380" s="44"/>
      <c r="X380" s="44"/>
      <c r="Y380" s="44"/>
      <c r="Z380" s="44"/>
      <c r="AA380" s="44" t="s">
        <v>2092</v>
      </c>
      <c r="AB380" s="44" t="s">
        <v>2093</v>
      </c>
    </row>
    <row r="381" spans="1:28" ht="15.75" customHeight="1">
      <c r="A381" s="71"/>
      <c r="B381" s="66" t="str">
        <f t="shared" si="20"/>
        <v/>
      </c>
      <c r="C381" s="71"/>
      <c r="D381" s="66" t="str">
        <f t="shared" si="21"/>
        <v/>
      </c>
      <c r="E381" s="71"/>
      <c r="F381" s="66" t="str">
        <f t="shared" si="22"/>
        <v/>
      </c>
      <c r="G381" s="59"/>
      <c r="H381" s="59"/>
      <c r="I381" s="59"/>
      <c r="J381" s="77"/>
      <c r="K381" s="75"/>
      <c r="L381" s="75"/>
      <c r="M381" s="77"/>
      <c r="N381" s="77"/>
      <c r="O381" s="44"/>
      <c r="P381" s="44" t="str">
        <f t="shared" si="2"/>
        <v/>
      </c>
      <c r="Q381" s="44" t="str">
        <f t="shared" si="3"/>
        <v/>
      </c>
      <c r="R381" s="44"/>
      <c r="S381" s="44"/>
      <c r="T381" s="44"/>
      <c r="U381" s="44"/>
      <c r="V381" s="44"/>
      <c r="W381" s="44"/>
      <c r="X381" s="44"/>
      <c r="Y381" s="44"/>
      <c r="Z381" s="44"/>
      <c r="AA381" s="44" t="s">
        <v>2094</v>
      </c>
      <c r="AB381" s="44" t="s">
        <v>2095</v>
      </c>
    </row>
    <row r="382" spans="1:28" ht="15.75" customHeight="1">
      <c r="A382" s="71"/>
      <c r="B382" s="66" t="str">
        <f t="shared" si="20"/>
        <v/>
      </c>
      <c r="C382" s="71"/>
      <c r="D382" s="66" t="str">
        <f t="shared" si="21"/>
        <v/>
      </c>
      <c r="E382" s="71"/>
      <c r="F382" s="66" t="str">
        <f t="shared" si="22"/>
        <v/>
      </c>
      <c r="G382" s="59"/>
      <c r="H382" s="59"/>
      <c r="I382" s="59"/>
      <c r="J382" s="77"/>
      <c r="K382" s="75"/>
      <c r="L382" s="75"/>
      <c r="M382" s="77"/>
      <c r="N382" s="77"/>
      <c r="O382" s="44"/>
      <c r="P382" s="44" t="str">
        <f t="shared" si="2"/>
        <v/>
      </c>
      <c r="Q382" s="44" t="str">
        <f t="shared" si="3"/>
        <v/>
      </c>
      <c r="R382" s="44"/>
      <c r="S382" s="44"/>
      <c r="T382" s="44"/>
      <c r="U382" s="44"/>
      <c r="V382" s="44"/>
      <c r="W382" s="44"/>
      <c r="X382" s="44"/>
      <c r="Y382" s="44"/>
      <c r="Z382" s="44"/>
      <c r="AA382" s="44" t="s">
        <v>2096</v>
      </c>
      <c r="AB382" s="44" t="s">
        <v>2097</v>
      </c>
    </row>
    <row r="383" spans="1:28" ht="15.75" customHeight="1">
      <c r="A383" s="71"/>
      <c r="B383" s="66" t="str">
        <f t="shared" si="20"/>
        <v/>
      </c>
      <c r="C383" s="71"/>
      <c r="D383" s="66" t="str">
        <f t="shared" si="21"/>
        <v/>
      </c>
      <c r="E383" s="71"/>
      <c r="F383" s="66" t="str">
        <f t="shared" si="22"/>
        <v/>
      </c>
      <c r="G383" s="59"/>
      <c r="H383" s="59"/>
      <c r="I383" s="59"/>
      <c r="J383" s="77"/>
      <c r="K383" s="75"/>
      <c r="L383" s="75"/>
      <c r="M383" s="77"/>
      <c r="N383" s="77"/>
      <c r="O383" s="44"/>
      <c r="P383" s="44" t="str">
        <f t="shared" si="2"/>
        <v/>
      </c>
      <c r="Q383" s="44" t="str">
        <f t="shared" si="3"/>
        <v/>
      </c>
      <c r="R383" s="44"/>
      <c r="S383" s="44"/>
      <c r="T383" s="44"/>
      <c r="U383" s="44"/>
      <c r="V383" s="44"/>
      <c r="W383" s="44"/>
      <c r="X383" s="44"/>
      <c r="Y383" s="44"/>
      <c r="Z383" s="44"/>
      <c r="AA383" s="44" t="s">
        <v>2098</v>
      </c>
      <c r="AB383" s="44" t="s">
        <v>2099</v>
      </c>
    </row>
    <row r="384" spans="1:28" ht="15.75" customHeight="1">
      <c r="A384" s="71"/>
      <c r="B384" s="66" t="str">
        <f t="shared" si="20"/>
        <v/>
      </c>
      <c r="C384" s="71"/>
      <c r="D384" s="66" t="str">
        <f t="shared" si="21"/>
        <v/>
      </c>
      <c r="E384" s="71"/>
      <c r="F384" s="66" t="str">
        <f t="shared" si="22"/>
        <v/>
      </c>
      <c r="G384" s="59"/>
      <c r="H384" s="59"/>
      <c r="I384" s="59"/>
      <c r="J384" s="77"/>
      <c r="K384" s="75"/>
      <c r="L384" s="75"/>
      <c r="M384" s="77"/>
      <c r="N384" s="77"/>
      <c r="O384" s="44"/>
      <c r="P384" s="44" t="str">
        <f t="shared" si="2"/>
        <v/>
      </c>
      <c r="Q384" s="44" t="str">
        <f t="shared" si="3"/>
        <v/>
      </c>
      <c r="R384" s="44"/>
      <c r="S384" s="44"/>
      <c r="T384" s="44"/>
      <c r="U384" s="44"/>
      <c r="V384" s="44"/>
      <c r="W384" s="44"/>
      <c r="X384" s="44"/>
      <c r="Y384" s="44"/>
      <c r="Z384" s="44"/>
      <c r="AA384" s="44" t="s">
        <v>2100</v>
      </c>
      <c r="AB384" s="44" t="s">
        <v>2101</v>
      </c>
    </row>
    <row r="385" spans="1:28" ht="15.75" customHeight="1">
      <c r="A385" s="71"/>
      <c r="B385" s="66" t="str">
        <f t="shared" si="20"/>
        <v/>
      </c>
      <c r="C385" s="71"/>
      <c r="D385" s="66" t="str">
        <f t="shared" si="21"/>
        <v/>
      </c>
      <c r="E385" s="71"/>
      <c r="F385" s="66" t="str">
        <f t="shared" si="22"/>
        <v/>
      </c>
      <c r="G385" s="59"/>
      <c r="H385" s="59"/>
      <c r="I385" s="59"/>
      <c r="J385" s="77"/>
      <c r="K385" s="75"/>
      <c r="L385" s="75"/>
      <c r="M385" s="77"/>
      <c r="N385" s="77"/>
      <c r="O385" s="44"/>
      <c r="P385" s="44" t="str">
        <f t="shared" si="2"/>
        <v/>
      </c>
      <c r="Q385" s="44" t="str">
        <f t="shared" si="3"/>
        <v/>
      </c>
      <c r="R385" s="44"/>
      <c r="S385" s="44"/>
      <c r="T385" s="44"/>
      <c r="U385" s="44"/>
      <c r="V385" s="44"/>
      <c r="W385" s="44"/>
      <c r="X385" s="44"/>
      <c r="Y385" s="44"/>
      <c r="Z385" s="44"/>
      <c r="AA385" s="44" t="s">
        <v>2102</v>
      </c>
      <c r="AB385" s="44" t="s">
        <v>2103</v>
      </c>
    </row>
    <row r="386" spans="1:28" ht="15.75" customHeight="1">
      <c r="A386" s="71"/>
      <c r="B386" s="66" t="str">
        <f t="shared" si="20"/>
        <v/>
      </c>
      <c r="C386" s="71"/>
      <c r="D386" s="66" t="str">
        <f t="shared" si="21"/>
        <v/>
      </c>
      <c r="E386" s="71"/>
      <c r="F386" s="66" t="str">
        <f t="shared" si="22"/>
        <v/>
      </c>
      <c r="G386" s="59"/>
      <c r="H386" s="59"/>
      <c r="I386" s="59"/>
      <c r="J386" s="77"/>
      <c r="K386" s="75"/>
      <c r="L386" s="75"/>
      <c r="M386" s="77"/>
      <c r="N386" s="77"/>
      <c r="O386" s="44"/>
      <c r="P386" s="44" t="str">
        <f t="shared" si="2"/>
        <v/>
      </c>
      <c r="Q386" s="44" t="str">
        <f t="shared" si="3"/>
        <v/>
      </c>
      <c r="R386" s="44"/>
      <c r="S386" s="44"/>
      <c r="T386" s="44"/>
      <c r="U386" s="44"/>
      <c r="V386" s="44"/>
      <c r="W386" s="44"/>
      <c r="X386" s="44"/>
      <c r="Y386" s="44"/>
      <c r="Z386" s="44"/>
      <c r="AA386" s="44" t="s">
        <v>2104</v>
      </c>
      <c r="AB386" s="44" t="s">
        <v>2105</v>
      </c>
    </row>
    <row r="387" spans="1:28" ht="15.75" customHeight="1">
      <c r="A387" s="71"/>
      <c r="B387" s="66" t="str">
        <f t="shared" ref="B387:B450" si="23">IFERROR(VLOOKUP(A387,$R$6:$S$23,2,FALSE),"")</f>
        <v/>
      </c>
      <c r="C387" s="71"/>
      <c r="D387" s="66" t="str">
        <f t="shared" ref="D387:D450" si="24">IFERROR(VLOOKUP(C387,$U$5:$W$127,2,FALSE),"")</f>
        <v/>
      </c>
      <c r="E387" s="71"/>
      <c r="F387" s="66" t="str">
        <f t="shared" si="22"/>
        <v/>
      </c>
      <c r="G387" s="59"/>
      <c r="H387" s="59"/>
      <c r="I387" s="59"/>
      <c r="J387" s="77"/>
      <c r="K387" s="75"/>
      <c r="L387" s="75"/>
      <c r="M387" s="77"/>
      <c r="N387" s="77"/>
      <c r="O387" s="44"/>
      <c r="P387" s="44" t="str">
        <f t="shared" si="2"/>
        <v/>
      </c>
      <c r="Q387" s="44" t="str">
        <f t="shared" si="3"/>
        <v/>
      </c>
      <c r="R387" s="44"/>
      <c r="S387" s="44"/>
      <c r="T387" s="44"/>
      <c r="U387" s="44"/>
      <c r="V387" s="44"/>
      <c r="W387" s="44"/>
      <c r="X387" s="44"/>
      <c r="Y387" s="44"/>
      <c r="Z387" s="44"/>
      <c r="AA387" s="44" t="s">
        <v>2106</v>
      </c>
      <c r="AB387" s="44" t="s">
        <v>2107</v>
      </c>
    </row>
    <row r="388" spans="1:28" ht="15.75" customHeight="1">
      <c r="A388" s="71"/>
      <c r="B388" s="66" t="str">
        <f t="shared" si="23"/>
        <v/>
      </c>
      <c r="C388" s="71"/>
      <c r="D388" s="66" t="str">
        <f t="shared" si="24"/>
        <v/>
      </c>
      <c r="E388" s="71"/>
      <c r="F388" s="66" t="str">
        <f t="shared" si="22"/>
        <v/>
      </c>
      <c r="G388" s="59"/>
      <c r="H388" s="59"/>
      <c r="I388" s="59"/>
      <c r="J388" s="77"/>
      <c r="K388" s="75"/>
      <c r="L388" s="75"/>
      <c r="M388" s="77"/>
      <c r="N388" s="77"/>
      <c r="O388" s="44"/>
      <c r="P388" s="44" t="str">
        <f t="shared" si="2"/>
        <v/>
      </c>
      <c r="Q388" s="44" t="str">
        <f t="shared" si="3"/>
        <v/>
      </c>
      <c r="R388" s="44"/>
      <c r="S388" s="44"/>
      <c r="T388" s="44"/>
      <c r="U388" s="44"/>
      <c r="V388" s="44"/>
      <c r="W388" s="44"/>
      <c r="X388" s="44"/>
      <c r="Y388" s="44"/>
      <c r="Z388" s="44"/>
      <c r="AA388" s="44" t="s">
        <v>2108</v>
      </c>
      <c r="AB388" s="44" t="s">
        <v>2109</v>
      </c>
    </row>
    <row r="389" spans="1:28" ht="15.75" customHeight="1">
      <c r="A389" s="71"/>
      <c r="B389" s="66" t="str">
        <f t="shared" si="23"/>
        <v/>
      </c>
      <c r="C389" s="71"/>
      <c r="D389" s="66" t="str">
        <f t="shared" si="24"/>
        <v/>
      </c>
      <c r="E389" s="71"/>
      <c r="F389" s="66" t="str">
        <f t="shared" si="22"/>
        <v/>
      </c>
      <c r="G389" s="59"/>
      <c r="H389" s="59"/>
      <c r="I389" s="59"/>
      <c r="J389" s="77"/>
      <c r="K389" s="75"/>
      <c r="L389" s="75"/>
      <c r="M389" s="77"/>
      <c r="N389" s="77"/>
      <c r="O389" s="44"/>
      <c r="P389" s="44" t="str">
        <f t="shared" si="2"/>
        <v/>
      </c>
      <c r="Q389" s="44" t="str">
        <f t="shared" si="3"/>
        <v/>
      </c>
      <c r="R389" s="44"/>
      <c r="S389" s="44"/>
      <c r="T389" s="44"/>
      <c r="U389" s="44"/>
      <c r="V389" s="44"/>
      <c r="W389" s="44"/>
      <c r="X389" s="44"/>
      <c r="Y389" s="44"/>
      <c r="Z389" s="44"/>
      <c r="AA389" s="44" t="s">
        <v>2110</v>
      </c>
      <c r="AB389" s="44" t="s">
        <v>2111</v>
      </c>
    </row>
    <row r="390" spans="1:28" ht="15.75" customHeight="1">
      <c r="A390" s="71"/>
      <c r="B390" s="66" t="str">
        <f t="shared" si="23"/>
        <v/>
      </c>
      <c r="C390" s="71"/>
      <c r="D390" s="66" t="str">
        <f t="shared" si="24"/>
        <v/>
      </c>
      <c r="E390" s="71"/>
      <c r="F390" s="66" t="str">
        <f t="shared" si="22"/>
        <v/>
      </c>
      <c r="G390" s="59"/>
      <c r="H390" s="59"/>
      <c r="I390" s="59"/>
      <c r="J390" s="77"/>
      <c r="K390" s="75"/>
      <c r="L390" s="75"/>
      <c r="M390" s="77"/>
      <c r="N390" s="77"/>
      <c r="O390" s="44"/>
      <c r="P390" s="44" t="str">
        <f t="shared" si="2"/>
        <v/>
      </c>
      <c r="Q390" s="44" t="str">
        <f t="shared" si="3"/>
        <v/>
      </c>
      <c r="R390" s="44"/>
      <c r="S390" s="44"/>
      <c r="T390" s="44"/>
      <c r="U390" s="44"/>
      <c r="V390" s="44"/>
      <c r="W390" s="44"/>
      <c r="X390" s="44"/>
      <c r="Y390" s="44"/>
      <c r="Z390" s="44"/>
      <c r="AA390" s="44" t="s">
        <v>2112</v>
      </c>
      <c r="AB390" s="44" t="s">
        <v>2113</v>
      </c>
    </row>
    <row r="391" spans="1:28" ht="15.75" customHeight="1">
      <c r="A391" s="71"/>
      <c r="B391" s="66" t="str">
        <f t="shared" si="23"/>
        <v/>
      </c>
      <c r="C391" s="71"/>
      <c r="D391" s="66" t="str">
        <f t="shared" si="24"/>
        <v/>
      </c>
      <c r="E391" s="71"/>
      <c r="F391" s="66" t="str">
        <f t="shared" si="22"/>
        <v/>
      </c>
      <c r="G391" s="59"/>
      <c r="H391" s="59"/>
      <c r="I391" s="59"/>
      <c r="J391" s="77"/>
      <c r="K391" s="75"/>
      <c r="L391" s="75"/>
      <c r="M391" s="77"/>
      <c r="N391" s="77"/>
      <c r="O391" s="44"/>
      <c r="P391" s="44" t="str">
        <f t="shared" si="2"/>
        <v/>
      </c>
      <c r="Q391" s="44" t="str">
        <f t="shared" si="3"/>
        <v/>
      </c>
      <c r="R391" s="44"/>
      <c r="S391" s="44"/>
      <c r="T391" s="44"/>
      <c r="U391" s="44"/>
      <c r="V391" s="44"/>
      <c r="W391" s="44"/>
      <c r="X391" s="44"/>
      <c r="Y391" s="44"/>
      <c r="Z391" s="44"/>
      <c r="AA391" s="44" t="s">
        <v>2114</v>
      </c>
      <c r="AB391" s="44" t="s">
        <v>2115</v>
      </c>
    </row>
    <row r="392" spans="1:28" ht="15.75" customHeight="1">
      <c r="A392" s="71"/>
      <c r="B392" s="66" t="str">
        <f t="shared" si="23"/>
        <v/>
      </c>
      <c r="C392" s="71"/>
      <c r="D392" s="66" t="str">
        <f t="shared" si="24"/>
        <v/>
      </c>
      <c r="E392" s="71"/>
      <c r="F392" s="66" t="str">
        <f t="shared" si="22"/>
        <v/>
      </c>
      <c r="G392" s="59"/>
      <c r="H392" s="59"/>
      <c r="I392" s="59"/>
      <c r="J392" s="77"/>
      <c r="K392" s="75"/>
      <c r="L392" s="75"/>
      <c r="M392" s="77"/>
      <c r="N392" s="77"/>
      <c r="O392" s="44"/>
      <c r="P392" s="44" t="str">
        <f t="shared" si="2"/>
        <v/>
      </c>
      <c r="Q392" s="44" t="str">
        <f t="shared" si="3"/>
        <v/>
      </c>
      <c r="R392" s="44"/>
      <c r="S392" s="44"/>
      <c r="T392" s="44"/>
      <c r="U392" s="44"/>
      <c r="V392" s="44"/>
      <c r="W392" s="44"/>
      <c r="X392" s="44"/>
      <c r="Y392" s="44"/>
      <c r="Z392" s="44"/>
      <c r="AA392" s="44" t="s">
        <v>2116</v>
      </c>
      <c r="AB392" s="44" t="s">
        <v>2117</v>
      </c>
    </row>
    <row r="393" spans="1:28" ht="15.75" customHeight="1">
      <c r="A393" s="71"/>
      <c r="B393" s="66" t="str">
        <f t="shared" si="23"/>
        <v/>
      </c>
      <c r="C393" s="71"/>
      <c r="D393" s="66" t="str">
        <f t="shared" si="24"/>
        <v/>
      </c>
      <c r="E393" s="71"/>
      <c r="F393" s="66" t="str">
        <f t="shared" si="22"/>
        <v/>
      </c>
      <c r="G393" s="59"/>
      <c r="H393" s="59"/>
      <c r="I393" s="59"/>
      <c r="J393" s="77"/>
      <c r="K393" s="75"/>
      <c r="L393" s="75"/>
      <c r="M393" s="77"/>
      <c r="N393" s="77"/>
      <c r="O393" s="44"/>
      <c r="P393" s="44" t="str">
        <f t="shared" si="2"/>
        <v/>
      </c>
      <c r="Q393" s="44" t="str">
        <f t="shared" si="3"/>
        <v/>
      </c>
      <c r="R393" s="44"/>
      <c r="S393" s="44"/>
      <c r="T393" s="44"/>
      <c r="U393" s="44"/>
      <c r="V393" s="44"/>
      <c r="W393" s="44"/>
      <c r="X393" s="44"/>
      <c r="Y393" s="44"/>
      <c r="Z393" s="44"/>
      <c r="AA393" s="44" t="s">
        <v>2118</v>
      </c>
      <c r="AB393" s="44" t="s">
        <v>2119</v>
      </c>
    </row>
    <row r="394" spans="1:28" ht="15.75" customHeight="1">
      <c r="A394" s="71"/>
      <c r="B394" s="66" t="str">
        <f t="shared" si="23"/>
        <v/>
      </c>
      <c r="C394" s="71"/>
      <c r="D394" s="66" t="str">
        <f t="shared" si="24"/>
        <v/>
      </c>
      <c r="E394" s="71"/>
      <c r="F394" s="66" t="str">
        <f t="shared" si="22"/>
        <v/>
      </c>
      <c r="G394" s="59"/>
      <c r="H394" s="59"/>
      <c r="I394" s="59"/>
      <c r="J394" s="77"/>
      <c r="K394" s="75"/>
      <c r="L394" s="75"/>
      <c r="M394" s="77"/>
      <c r="N394" s="77"/>
      <c r="O394" s="44"/>
      <c r="P394" s="44" t="str">
        <f t="shared" si="2"/>
        <v/>
      </c>
      <c r="Q394" s="44" t="str">
        <f t="shared" si="3"/>
        <v/>
      </c>
      <c r="R394" s="44"/>
      <c r="S394" s="44"/>
      <c r="T394" s="44"/>
      <c r="U394" s="44"/>
      <c r="V394" s="44"/>
      <c r="W394" s="44"/>
      <c r="X394" s="44"/>
      <c r="Y394" s="44"/>
      <c r="Z394" s="44"/>
      <c r="AA394" s="44" t="s">
        <v>2120</v>
      </c>
      <c r="AB394" s="44" t="s">
        <v>2121</v>
      </c>
    </row>
    <row r="395" spans="1:28" ht="15.75" customHeight="1">
      <c r="A395" s="71"/>
      <c r="B395" s="66" t="str">
        <f t="shared" si="23"/>
        <v/>
      </c>
      <c r="C395" s="71"/>
      <c r="D395" s="66" t="str">
        <f t="shared" si="24"/>
        <v/>
      </c>
      <c r="E395" s="71"/>
      <c r="F395" s="66" t="str">
        <f t="shared" si="22"/>
        <v/>
      </c>
      <c r="G395" s="59"/>
      <c r="H395" s="59"/>
      <c r="I395" s="59"/>
      <c r="J395" s="77"/>
      <c r="K395" s="75"/>
      <c r="L395" s="75"/>
      <c r="M395" s="77"/>
      <c r="N395" s="77"/>
      <c r="O395" s="44"/>
      <c r="P395" s="44" t="str">
        <f t="shared" si="2"/>
        <v/>
      </c>
      <c r="Q395" s="44" t="str">
        <f t="shared" si="3"/>
        <v/>
      </c>
      <c r="R395" s="44"/>
      <c r="S395" s="44"/>
      <c r="T395" s="44"/>
      <c r="U395" s="44"/>
      <c r="V395" s="44"/>
      <c r="W395" s="44"/>
      <c r="X395" s="44"/>
      <c r="Y395" s="44"/>
      <c r="Z395" s="44"/>
      <c r="AA395" s="44" t="s">
        <v>2122</v>
      </c>
      <c r="AB395" s="44" t="s">
        <v>2123</v>
      </c>
    </row>
    <row r="396" spans="1:28" ht="15.75" customHeight="1">
      <c r="A396" s="71"/>
      <c r="B396" s="66" t="str">
        <f t="shared" si="23"/>
        <v/>
      </c>
      <c r="C396" s="71"/>
      <c r="D396" s="66" t="str">
        <f t="shared" si="24"/>
        <v/>
      </c>
      <c r="E396" s="71"/>
      <c r="F396" s="66" t="str">
        <f t="shared" si="22"/>
        <v/>
      </c>
      <c r="G396" s="59"/>
      <c r="H396" s="59"/>
      <c r="I396" s="59"/>
      <c r="J396" s="77"/>
      <c r="K396" s="75"/>
      <c r="L396" s="75"/>
      <c r="M396" s="77"/>
      <c r="N396" s="77"/>
      <c r="O396" s="44"/>
      <c r="P396" s="44" t="str">
        <f t="shared" si="2"/>
        <v/>
      </c>
      <c r="Q396" s="44" t="str">
        <f t="shared" si="3"/>
        <v/>
      </c>
      <c r="R396" s="44"/>
      <c r="S396" s="44"/>
      <c r="T396" s="44"/>
      <c r="U396" s="44"/>
      <c r="V396" s="44"/>
      <c r="W396" s="44"/>
      <c r="X396" s="44"/>
      <c r="Y396" s="44"/>
      <c r="Z396" s="44"/>
      <c r="AA396" s="44" t="s">
        <v>2124</v>
      </c>
      <c r="AB396" s="44" t="s">
        <v>2125</v>
      </c>
    </row>
    <row r="397" spans="1:28" ht="15.75" customHeight="1">
      <c r="A397" s="71"/>
      <c r="B397" s="66" t="str">
        <f t="shared" si="23"/>
        <v/>
      </c>
      <c r="C397" s="71"/>
      <c r="D397" s="66" t="str">
        <f t="shared" si="24"/>
        <v/>
      </c>
      <c r="E397" s="71"/>
      <c r="F397" s="66" t="str">
        <f t="shared" si="22"/>
        <v/>
      </c>
      <c r="G397" s="59"/>
      <c r="H397" s="59"/>
      <c r="I397" s="59"/>
      <c r="J397" s="77"/>
      <c r="K397" s="75"/>
      <c r="L397" s="75"/>
      <c r="M397" s="77"/>
      <c r="N397" s="77"/>
      <c r="O397" s="44"/>
      <c r="P397" s="44" t="str">
        <f t="shared" si="2"/>
        <v/>
      </c>
      <c r="Q397" s="44" t="str">
        <f t="shared" si="3"/>
        <v/>
      </c>
      <c r="R397" s="44"/>
      <c r="S397" s="44"/>
      <c r="T397" s="44"/>
      <c r="U397" s="44"/>
      <c r="V397" s="44"/>
      <c r="W397" s="44"/>
      <c r="X397" s="44"/>
      <c r="Y397" s="44"/>
      <c r="Z397" s="44"/>
      <c r="AA397" s="44" t="s">
        <v>2126</v>
      </c>
      <c r="AB397" s="44" t="s">
        <v>2127</v>
      </c>
    </row>
    <row r="398" spans="1:28" ht="15.75" customHeight="1">
      <c r="A398" s="71"/>
      <c r="B398" s="66" t="str">
        <f t="shared" si="23"/>
        <v/>
      </c>
      <c r="C398" s="71"/>
      <c r="D398" s="66" t="str">
        <f t="shared" si="24"/>
        <v/>
      </c>
      <c r="E398" s="71"/>
      <c r="F398" s="66" t="str">
        <f t="shared" si="22"/>
        <v/>
      </c>
      <c r="G398" s="59"/>
      <c r="H398" s="59"/>
      <c r="I398" s="59"/>
      <c r="J398" s="77"/>
      <c r="K398" s="75"/>
      <c r="L398" s="75"/>
      <c r="M398" s="77"/>
      <c r="N398" s="77"/>
      <c r="O398" s="44"/>
      <c r="P398" s="44" t="str">
        <f t="shared" si="2"/>
        <v/>
      </c>
      <c r="Q398" s="44" t="str">
        <f t="shared" si="3"/>
        <v/>
      </c>
      <c r="R398" s="44"/>
      <c r="S398" s="44"/>
      <c r="T398" s="44"/>
      <c r="U398" s="44"/>
      <c r="V398" s="44"/>
      <c r="W398" s="44"/>
      <c r="X398" s="44"/>
      <c r="Y398" s="44"/>
      <c r="Z398" s="44"/>
      <c r="AA398" s="44" t="s">
        <v>2128</v>
      </c>
      <c r="AB398" s="44" t="s">
        <v>2129</v>
      </c>
    </row>
    <row r="399" spans="1:28" ht="15.75" customHeight="1">
      <c r="A399" s="71"/>
      <c r="B399" s="66" t="str">
        <f t="shared" si="23"/>
        <v/>
      </c>
      <c r="C399" s="71"/>
      <c r="D399" s="66" t="str">
        <f t="shared" si="24"/>
        <v/>
      </c>
      <c r="E399" s="71"/>
      <c r="F399" s="66" t="str">
        <f t="shared" si="22"/>
        <v/>
      </c>
      <c r="G399" s="59"/>
      <c r="H399" s="59"/>
      <c r="I399" s="59"/>
      <c r="J399" s="77"/>
      <c r="K399" s="75"/>
      <c r="L399" s="75"/>
      <c r="M399" s="77"/>
      <c r="N399" s="77"/>
      <c r="O399" s="44"/>
      <c r="P399" s="44" t="str">
        <f t="shared" si="2"/>
        <v/>
      </c>
      <c r="Q399" s="44" t="str">
        <f t="shared" si="3"/>
        <v/>
      </c>
      <c r="R399" s="44"/>
      <c r="S399" s="44"/>
      <c r="T399" s="44"/>
      <c r="U399" s="44"/>
      <c r="V399" s="44"/>
      <c r="W399" s="44"/>
      <c r="X399" s="44"/>
      <c r="Y399" s="44"/>
      <c r="Z399" s="44"/>
      <c r="AA399" s="44" t="s">
        <v>2130</v>
      </c>
      <c r="AB399" s="44" t="s">
        <v>2131</v>
      </c>
    </row>
    <row r="400" spans="1:28" ht="15.75" customHeight="1">
      <c r="A400" s="71"/>
      <c r="B400" s="66" t="str">
        <f t="shared" si="23"/>
        <v/>
      </c>
      <c r="C400" s="71"/>
      <c r="D400" s="66" t="str">
        <f t="shared" si="24"/>
        <v/>
      </c>
      <c r="E400" s="71"/>
      <c r="F400" s="66" t="str">
        <f t="shared" si="22"/>
        <v/>
      </c>
      <c r="G400" s="59"/>
      <c r="H400" s="59"/>
      <c r="I400" s="59"/>
      <c r="J400" s="77"/>
      <c r="K400" s="75"/>
      <c r="L400" s="75"/>
      <c r="M400" s="77"/>
      <c r="N400" s="77"/>
      <c r="O400" s="44"/>
      <c r="P400" s="44" t="str">
        <f t="shared" si="2"/>
        <v/>
      </c>
      <c r="Q400" s="44" t="str">
        <f t="shared" si="3"/>
        <v/>
      </c>
      <c r="R400" s="44"/>
      <c r="S400" s="44"/>
      <c r="T400" s="44"/>
      <c r="U400" s="44"/>
      <c r="V400" s="44"/>
      <c r="W400" s="44"/>
      <c r="X400" s="44"/>
      <c r="Y400" s="44"/>
      <c r="Z400" s="44"/>
      <c r="AA400" s="44" t="s">
        <v>2132</v>
      </c>
      <c r="AB400" s="44" t="s">
        <v>2133</v>
      </c>
    </row>
    <row r="401" spans="1:28" ht="15.75" customHeight="1">
      <c r="A401" s="71"/>
      <c r="B401" s="66" t="str">
        <f t="shared" si="23"/>
        <v/>
      </c>
      <c r="C401" s="71"/>
      <c r="D401" s="66" t="str">
        <f t="shared" si="24"/>
        <v/>
      </c>
      <c r="E401" s="71"/>
      <c r="F401" s="66" t="str">
        <f t="shared" si="22"/>
        <v/>
      </c>
      <c r="G401" s="59"/>
      <c r="H401" s="59"/>
      <c r="I401" s="59"/>
      <c r="J401" s="77"/>
      <c r="K401" s="75"/>
      <c r="L401" s="75"/>
      <c r="M401" s="77"/>
      <c r="N401" s="77"/>
      <c r="O401" s="44"/>
      <c r="P401" s="44" t="str">
        <f t="shared" si="2"/>
        <v/>
      </c>
      <c r="Q401" s="44" t="str">
        <f t="shared" si="3"/>
        <v/>
      </c>
      <c r="R401" s="44"/>
      <c r="S401" s="44"/>
      <c r="T401" s="44"/>
      <c r="U401" s="44"/>
      <c r="V401" s="44"/>
      <c r="W401" s="44"/>
      <c r="X401" s="44"/>
      <c r="Y401" s="44"/>
      <c r="Z401" s="44"/>
      <c r="AA401" s="44" t="s">
        <v>2134</v>
      </c>
      <c r="AB401" s="44" t="s">
        <v>2135</v>
      </c>
    </row>
    <row r="402" spans="1:28" ht="15.75" customHeight="1">
      <c r="A402" s="71"/>
      <c r="B402" s="66" t="str">
        <f t="shared" si="23"/>
        <v/>
      </c>
      <c r="C402" s="71"/>
      <c r="D402" s="66" t="str">
        <f t="shared" si="24"/>
        <v/>
      </c>
      <c r="E402" s="71"/>
      <c r="F402" s="66" t="str">
        <f t="shared" si="22"/>
        <v/>
      </c>
      <c r="G402" s="59"/>
      <c r="H402" s="59"/>
      <c r="I402" s="59"/>
      <c r="J402" s="77"/>
      <c r="K402" s="75"/>
      <c r="L402" s="75"/>
      <c r="M402" s="77"/>
      <c r="N402" s="77"/>
      <c r="O402" s="44"/>
      <c r="P402" s="44" t="str">
        <f t="shared" si="2"/>
        <v/>
      </c>
      <c r="Q402" s="44" t="str">
        <f t="shared" si="3"/>
        <v/>
      </c>
      <c r="R402" s="44"/>
      <c r="S402" s="44"/>
      <c r="T402" s="44"/>
      <c r="U402" s="44"/>
      <c r="V402" s="44"/>
      <c r="W402" s="44"/>
      <c r="X402" s="44"/>
      <c r="Y402" s="44"/>
      <c r="Z402" s="44"/>
      <c r="AA402" s="44" t="s">
        <v>2136</v>
      </c>
      <c r="AB402" s="44" t="s">
        <v>2137</v>
      </c>
    </row>
    <row r="403" spans="1:28" ht="15.75" customHeight="1">
      <c r="A403" s="71"/>
      <c r="B403" s="66" t="str">
        <f t="shared" si="23"/>
        <v/>
      </c>
      <c r="C403" s="71"/>
      <c r="D403" s="66" t="str">
        <f t="shared" si="24"/>
        <v/>
      </c>
      <c r="E403" s="71"/>
      <c r="F403" s="66" t="str">
        <f t="shared" si="22"/>
        <v/>
      </c>
      <c r="G403" s="59"/>
      <c r="H403" s="59"/>
      <c r="I403" s="59"/>
      <c r="J403" s="77"/>
      <c r="K403" s="75"/>
      <c r="L403" s="75"/>
      <c r="M403" s="77"/>
      <c r="N403" s="77"/>
      <c r="O403" s="44"/>
      <c r="P403" s="44" t="str">
        <f t="shared" si="2"/>
        <v/>
      </c>
      <c r="Q403" s="44" t="str">
        <f t="shared" si="3"/>
        <v/>
      </c>
      <c r="R403" s="44"/>
      <c r="S403" s="44"/>
      <c r="T403" s="44"/>
      <c r="U403" s="44"/>
      <c r="V403" s="44"/>
      <c r="W403" s="44"/>
      <c r="X403" s="44"/>
      <c r="Y403" s="44"/>
      <c r="Z403" s="44"/>
      <c r="AA403" s="44" t="s">
        <v>2138</v>
      </c>
      <c r="AB403" s="44" t="s">
        <v>2139</v>
      </c>
    </row>
    <row r="404" spans="1:28" ht="15.75" customHeight="1">
      <c r="A404" s="71"/>
      <c r="B404" s="66" t="str">
        <f t="shared" si="23"/>
        <v/>
      </c>
      <c r="C404" s="71"/>
      <c r="D404" s="66" t="str">
        <f t="shared" si="24"/>
        <v/>
      </c>
      <c r="E404" s="71"/>
      <c r="F404" s="66" t="str">
        <f t="shared" si="22"/>
        <v/>
      </c>
      <c r="G404" s="59"/>
      <c r="H404" s="59"/>
      <c r="I404" s="59"/>
      <c r="J404" s="77"/>
      <c r="K404" s="75"/>
      <c r="L404" s="75"/>
      <c r="M404" s="77"/>
      <c r="N404" s="77"/>
      <c r="O404" s="44"/>
      <c r="P404" s="44" t="str">
        <f t="shared" si="2"/>
        <v/>
      </c>
      <c r="Q404" s="44" t="str">
        <f t="shared" si="3"/>
        <v/>
      </c>
      <c r="R404" s="44"/>
      <c r="S404" s="44"/>
      <c r="T404" s="44"/>
      <c r="U404" s="44"/>
      <c r="V404" s="44"/>
      <c r="W404" s="44"/>
      <c r="X404" s="44"/>
      <c r="Y404" s="44"/>
      <c r="Z404" s="44"/>
      <c r="AA404" s="44" t="s">
        <v>2140</v>
      </c>
      <c r="AB404" s="44" t="s">
        <v>2141</v>
      </c>
    </row>
    <row r="405" spans="1:28" ht="15.75" customHeight="1">
      <c r="A405" s="71"/>
      <c r="B405" s="66" t="str">
        <f t="shared" si="23"/>
        <v/>
      </c>
      <c r="C405" s="71"/>
      <c r="D405" s="66" t="str">
        <f t="shared" si="24"/>
        <v/>
      </c>
      <c r="E405" s="71"/>
      <c r="F405" s="66" t="str">
        <f t="shared" si="22"/>
        <v/>
      </c>
      <c r="G405" s="59"/>
      <c r="H405" s="59"/>
      <c r="I405" s="59"/>
      <c r="J405" s="77"/>
      <c r="K405" s="75"/>
      <c r="L405" s="75"/>
      <c r="M405" s="77"/>
      <c r="N405" s="77"/>
      <c r="O405" s="44"/>
      <c r="P405" s="44" t="str">
        <f t="shared" si="2"/>
        <v/>
      </c>
      <c r="Q405" s="44" t="str">
        <f t="shared" si="3"/>
        <v/>
      </c>
      <c r="R405" s="44"/>
      <c r="S405" s="44"/>
      <c r="T405" s="44"/>
      <c r="U405" s="44"/>
      <c r="V405" s="44"/>
      <c r="W405" s="44"/>
      <c r="X405" s="44"/>
      <c r="Y405" s="44"/>
      <c r="Z405" s="44"/>
      <c r="AA405" s="44" t="s">
        <v>2142</v>
      </c>
      <c r="AB405" s="44" t="s">
        <v>2143</v>
      </c>
    </row>
    <row r="406" spans="1:28" ht="15.75" customHeight="1">
      <c r="A406" s="71"/>
      <c r="B406" s="66" t="str">
        <f t="shared" si="23"/>
        <v/>
      </c>
      <c r="C406" s="71"/>
      <c r="D406" s="66" t="str">
        <f t="shared" si="24"/>
        <v/>
      </c>
      <c r="E406" s="71"/>
      <c r="F406" s="66" t="str">
        <f t="shared" si="22"/>
        <v/>
      </c>
      <c r="G406" s="59"/>
      <c r="H406" s="59"/>
      <c r="I406" s="59"/>
      <c r="J406" s="77"/>
      <c r="K406" s="75"/>
      <c r="L406" s="75"/>
      <c r="M406" s="77"/>
      <c r="N406" s="77"/>
      <c r="O406" s="44"/>
      <c r="P406" s="44" t="str">
        <f t="shared" si="2"/>
        <v/>
      </c>
      <c r="Q406" s="44" t="str">
        <f t="shared" si="3"/>
        <v/>
      </c>
      <c r="R406" s="44"/>
      <c r="S406" s="44"/>
      <c r="T406" s="44"/>
      <c r="U406" s="44"/>
      <c r="V406" s="44"/>
      <c r="W406" s="44"/>
      <c r="X406" s="44"/>
      <c r="Y406" s="44"/>
      <c r="Z406" s="44"/>
      <c r="AA406" s="44" t="s">
        <v>2144</v>
      </c>
      <c r="AB406" s="44" t="s">
        <v>2145</v>
      </c>
    </row>
    <row r="407" spans="1:28" ht="15.75" customHeight="1">
      <c r="A407" s="71"/>
      <c r="B407" s="66" t="str">
        <f t="shared" si="23"/>
        <v/>
      </c>
      <c r="C407" s="71"/>
      <c r="D407" s="66" t="str">
        <f t="shared" si="24"/>
        <v/>
      </c>
      <c r="E407" s="71"/>
      <c r="F407" s="66" t="str">
        <f t="shared" si="22"/>
        <v/>
      </c>
      <c r="G407" s="59"/>
      <c r="H407" s="59"/>
      <c r="I407" s="59"/>
      <c r="J407" s="77"/>
      <c r="K407" s="75"/>
      <c r="L407" s="75"/>
      <c r="M407" s="77"/>
      <c r="N407" s="77"/>
      <c r="O407" s="44"/>
      <c r="P407" s="44" t="str">
        <f t="shared" si="2"/>
        <v/>
      </c>
      <c r="Q407" s="44" t="str">
        <f t="shared" si="3"/>
        <v/>
      </c>
      <c r="R407" s="44"/>
      <c r="S407" s="44"/>
      <c r="T407" s="44"/>
      <c r="U407" s="44"/>
      <c r="V407" s="44"/>
      <c r="W407" s="44"/>
      <c r="X407" s="44"/>
      <c r="Y407" s="44"/>
      <c r="Z407" s="44"/>
      <c r="AA407" s="44" t="s">
        <v>2146</v>
      </c>
      <c r="AB407" s="44" t="s">
        <v>2147</v>
      </c>
    </row>
    <row r="408" spans="1:28" ht="15.75" customHeight="1">
      <c r="A408" s="71"/>
      <c r="B408" s="66" t="str">
        <f t="shared" si="23"/>
        <v/>
      </c>
      <c r="C408" s="71"/>
      <c r="D408" s="66" t="str">
        <f t="shared" si="24"/>
        <v/>
      </c>
      <c r="E408" s="71"/>
      <c r="F408" s="66" t="str">
        <f t="shared" si="22"/>
        <v/>
      </c>
      <c r="G408" s="59"/>
      <c r="H408" s="59"/>
      <c r="I408" s="59"/>
      <c r="J408" s="77"/>
      <c r="K408" s="75"/>
      <c r="L408" s="75"/>
      <c r="M408" s="77"/>
      <c r="N408" s="77"/>
      <c r="O408" s="44"/>
      <c r="P408" s="44" t="str">
        <f t="shared" si="2"/>
        <v/>
      </c>
      <c r="Q408" s="44" t="str">
        <f t="shared" si="3"/>
        <v/>
      </c>
      <c r="R408" s="44"/>
      <c r="S408" s="44"/>
      <c r="T408" s="44"/>
      <c r="U408" s="44"/>
      <c r="V408" s="44"/>
      <c r="W408" s="44"/>
      <c r="X408" s="44"/>
      <c r="Y408" s="44"/>
      <c r="Z408" s="44"/>
      <c r="AA408" s="44" t="s">
        <v>2148</v>
      </c>
      <c r="AB408" s="44" t="s">
        <v>2149</v>
      </c>
    </row>
    <row r="409" spans="1:28" ht="15.75" customHeight="1">
      <c r="A409" s="71"/>
      <c r="B409" s="66" t="str">
        <f t="shared" si="23"/>
        <v/>
      </c>
      <c r="C409" s="71"/>
      <c r="D409" s="66" t="str">
        <f t="shared" si="24"/>
        <v/>
      </c>
      <c r="E409" s="71"/>
      <c r="F409" s="66" t="str">
        <f t="shared" si="22"/>
        <v/>
      </c>
      <c r="G409" s="59"/>
      <c r="H409" s="59"/>
      <c r="I409" s="59"/>
      <c r="J409" s="77"/>
      <c r="K409" s="75"/>
      <c r="L409" s="75"/>
      <c r="M409" s="77"/>
      <c r="N409" s="77"/>
      <c r="O409" s="44"/>
      <c r="P409" s="44" t="str">
        <f t="shared" si="2"/>
        <v/>
      </c>
      <c r="Q409" s="44" t="str">
        <f t="shared" si="3"/>
        <v/>
      </c>
      <c r="R409" s="44"/>
      <c r="S409" s="44"/>
      <c r="T409" s="44"/>
      <c r="U409" s="44"/>
      <c r="V409" s="44"/>
      <c r="W409" s="44"/>
      <c r="X409" s="44"/>
      <c r="Y409" s="44"/>
      <c r="Z409" s="44"/>
      <c r="AA409" s="44" t="s">
        <v>2150</v>
      </c>
      <c r="AB409" s="44" t="s">
        <v>2151</v>
      </c>
    </row>
    <row r="410" spans="1:28" ht="15.75" customHeight="1">
      <c r="A410" s="71"/>
      <c r="B410" s="66" t="str">
        <f t="shared" si="23"/>
        <v/>
      </c>
      <c r="C410" s="71"/>
      <c r="D410" s="66" t="str">
        <f t="shared" si="24"/>
        <v/>
      </c>
      <c r="E410" s="71"/>
      <c r="F410" s="66" t="str">
        <f t="shared" si="22"/>
        <v/>
      </c>
      <c r="G410" s="59"/>
      <c r="H410" s="59"/>
      <c r="I410" s="59"/>
      <c r="J410" s="77"/>
      <c r="K410" s="75"/>
      <c r="L410" s="75"/>
      <c r="M410" s="77"/>
      <c r="N410" s="77"/>
      <c r="O410" s="44"/>
      <c r="P410" s="44" t="str">
        <f t="shared" si="2"/>
        <v/>
      </c>
      <c r="Q410" s="44" t="str">
        <f t="shared" si="3"/>
        <v/>
      </c>
      <c r="R410" s="44"/>
      <c r="S410" s="44"/>
      <c r="T410" s="44"/>
      <c r="U410" s="44"/>
      <c r="V410" s="44"/>
      <c r="W410" s="44"/>
      <c r="X410" s="44"/>
      <c r="Y410" s="44"/>
      <c r="Z410" s="44"/>
      <c r="AA410" s="44" t="s">
        <v>2152</v>
      </c>
      <c r="AB410" s="44" t="s">
        <v>2153</v>
      </c>
    </row>
    <row r="411" spans="1:28" ht="15.75" customHeight="1">
      <c r="A411" s="71"/>
      <c r="B411" s="66" t="str">
        <f t="shared" si="23"/>
        <v/>
      </c>
      <c r="C411" s="71"/>
      <c r="D411" s="66" t="str">
        <f t="shared" si="24"/>
        <v/>
      </c>
      <c r="E411" s="71"/>
      <c r="F411" s="66" t="str">
        <f t="shared" si="22"/>
        <v/>
      </c>
      <c r="G411" s="59"/>
      <c r="H411" s="59"/>
      <c r="I411" s="59"/>
      <c r="J411" s="77"/>
      <c r="K411" s="75"/>
      <c r="L411" s="75"/>
      <c r="M411" s="77"/>
      <c r="N411" s="77"/>
      <c r="O411" s="44"/>
      <c r="P411" s="44" t="str">
        <f t="shared" si="2"/>
        <v/>
      </c>
      <c r="Q411" s="44" t="str">
        <f t="shared" si="3"/>
        <v/>
      </c>
      <c r="R411" s="44"/>
      <c r="S411" s="44"/>
      <c r="T411" s="44"/>
      <c r="U411" s="44"/>
      <c r="V411" s="44"/>
      <c r="W411" s="44"/>
      <c r="X411" s="44"/>
      <c r="Y411" s="44"/>
      <c r="Z411" s="44"/>
      <c r="AA411" s="44" t="s">
        <v>2154</v>
      </c>
      <c r="AB411" s="44" t="s">
        <v>2155</v>
      </c>
    </row>
    <row r="412" spans="1:28" ht="15.75" customHeight="1">
      <c r="A412" s="71"/>
      <c r="B412" s="66" t="str">
        <f t="shared" si="23"/>
        <v/>
      </c>
      <c r="C412" s="71"/>
      <c r="D412" s="66" t="str">
        <f t="shared" si="24"/>
        <v/>
      </c>
      <c r="E412" s="71"/>
      <c r="F412" s="66" t="str">
        <f t="shared" si="22"/>
        <v/>
      </c>
      <c r="G412" s="59"/>
      <c r="H412" s="59"/>
      <c r="I412" s="59"/>
      <c r="J412" s="77"/>
      <c r="K412" s="75"/>
      <c r="L412" s="75"/>
      <c r="M412" s="77"/>
      <c r="N412" s="77"/>
      <c r="O412" s="44"/>
      <c r="P412" s="44" t="str">
        <f t="shared" si="2"/>
        <v/>
      </c>
      <c r="Q412" s="44" t="str">
        <f t="shared" si="3"/>
        <v/>
      </c>
      <c r="R412" s="44"/>
      <c r="S412" s="44"/>
      <c r="T412" s="44"/>
      <c r="U412" s="44"/>
      <c r="V412" s="44"/>
      <c r="W412" s="44"/>
      <c r="X412" s="44"/>
      <c r="Y412" s="44"/>
      <c r="Z412" s="44"/>
      <c r="AA412" s="44" t="s">
        <v>2156</v>
      </c>
      <c r="AB412" s="44" t="s">
        <v>2157</v>
      </c>
    </row>
    <row r="413" spans="1:28" ht="15.75" customHeight="1">
      <c r="A413" s="71"/>
      <c r="B413" s="66" t="str">
        <f t="shared" si="23"/>
        <v/>
      </c>
      <c r="C413" s="71"/>
      <c r="D413" s="66" t="str">
        <f t="shared" si="24"/>
        <v/>
      </c>
      <c r="E413" s="71"/>
      <c r="F413" s="66" t="str">
        <f t="shared" si="22"/>
        <v/>
      </c>
      <c r="G413" s="59"/>
      <c r="H413" s="59"/>
      <c r="I413" s="59"/>
      <c r="J413" s="77"/>
      <c r="K413" s="75"/>
      <c r="L413" s="75"/>
      <c r="M413" s="77"/>
      <c r="N413" s="77"/>
      <c r="O413" s="44"/>
      <c r="P413" s="44" t="str">
        <f t="shared" si="2"/>
        <v/>
      </c>
      <c r="Q413" s="44" t="str">
        <f t="shared" si="3"/>
        <v/>
      </c>
      <c r="R413" s="44"/>
      <c r="S413" s="44"/>
      <c r="T413" s="44"/>
      <c r="U413" s="44"/>
      <c r="V413" s="44"/>
      <c r="W413" s="44"/>
      <c r="X413" s="44"/>
      <c r="Y413" s="44"/>
      <c r="Z413" s="44"/>
      <c r="AA413" s="44" t="s">
        <v>2158</v>
      </c>
      <c r="AB413" s="44" t="s">
        <v>2159</v>
      </c>
    </row>
    <row r="414" spans="1:28" ht="15.75" customHeight="1">
      <c r="A414" s="71"/>
      <c r="B414" s="66" t="str">
        <f t="shared" si="23"/>
        <v/>
      </c>
      <c r="C414" s="71"/>
      <c r="D414" s="66" t="str">
        <f t="shared" si="24"/>
        <v/>
      </c>
      <c r="E414" s="71"/>
      <c r="F414" s="66" t="str">
        <f t="shared" si="22"/>
        <v/>
      </c>
      <c r="G414" s="59"/>
      <c r="H414" s="59"/>
      <c r="I414" s="59"/>
      <c r="J414" s="77"/>
      <c r="K414" s="75"/>
      <c r="L414" s="75"/>
      <c r="M414" s="77"/>
      <c r="N414" s="77"/>
      <c r="O414" s="44"/>
      <c r="P414" s="44" t="str">
        <f t="shared" si="2"/>
        <v/>
      </c>
      <c r="Q414" s="44" t="str">
        <f t="shared" si="3"/>
        <v/>
      </c>
      <c r="R414" s="44"/>
      <c r="S414" s="44"/>
      <c r="T414" s="44"/>
      <c r="U414" s="44"/>
      <c r="V414" s="44"/>
      <c r="W414" s="44"/>
      <c r="X414" s="44"/>
      <c r="Y414" s="44"/>
      <c r="Z414" s="44"/>
      <c r="AA414" s="44" t="s">
        <v>2160</v>
      </c>
      <c r="AB414" s="44" t="s">
        <v>2161</v>
      </c>
    </row>
    <row r="415" spans="1:28" ht="15.75" customHeight="1">
      <c r="A415" s="71"/>
      <c r="B415" s="66" t="str">
        <f t="shared" si="23"/>
        <v/>
      </c>
      <c r="C415" s="71"/>
      <c r="D415" s="66" t="str">
        <f t="shared" si="24"/>
        <v/>
      </c>
      <c r="E415" s="71"/>
      <c r="F415" s="66" t="str">
        <f t="shared" si="22"/>
        <v/>
      </c>
      <c r="G415" s="59"/>
      <c r="H415" s="59"/>
      <c r="I415" s="59"/>
      <c r="J415" s="77"/>
      <c r="K415" s="75"/>
      <c r="L415" s="75"/>
      <c r="M415" s="77"/>
      <c r="N415" s="77"/>
      <c r="O415" s="44"/>
      <c r="P415" s="44" t="str">
        <f t="shared" si="2"/>
        <v/>
      </c>
      <c r="Q415" s="44" t="str">
        <f t="shared" si="3"/>
        <v/>
      </c>
      <c r="R415" s="44"/>
      <c r="S415" s="44"/>
      <c r="T415" s="44"/>
      <c r="U415" s="44"/>
      <c r="V415" s="44"/>
      <c r="W415" s="44"/>
      <c r="X415" s="44"/>
      <c r="Y415" s="44"/>
      <c r="Z415" s="44"/>
      <c r="AA415" s="44" t="s">
        <v>2162</v>
      </c>
      <c r="AB415" s="44" t="s">
        <v>2163</v>
      </c>
    </row>
    <row r="416" spans="1:28" ht="15.75" customHeight="1">
      <c r="A416" s="71"/>
      <c r="B416" s="66" t="str">
        <f t="shared" si="23"/>
        <v/>
      </c>
      <c r="C416" s="71"/>
      <c r="D416" s="66" t="str">
        <f t="shared" si="24"/>
        <v/>
      </c>
      <c r="E416" s="71"/>
      <c r="F416" s="66" t="str">
        <f t="shared" si="22"/>
        <v/>
      </c>
      <c r="G416" s="59"/>
      <c r="H416" s="59"/>
      <c r="I416" s="59"/>
      <c r="J416" s="77"/>
      <c r="K416" s="75"/>
      <c r="L416" s="75"/>
      <c r="M416" s="77"/>
      <c r="N416" s="77"/>
      <c r="O416" s="44"/>
      <c r="P416" s="44" t="str">
        <f t="shared" si="2"/>
        <v/>
      </c>
      <c r="Q416" s="44" t="str">
        <f t="shared" si="3"/>
        <v/>
      </c>
      <c r="R416" s="44"/>
      <c r="S416" s="44"/>
      <c r="T416" s="44"/>
      <c r="U416" s="44"/>
      <c r="V416" s="44"/>
      <c r="W416" s="44"/>
      <c r="X416" s="44"/>
      <c r="Y416" s="44"/>
      <c r="Z416" s="44"/>
      <c r="AA416" s="44" t="s">
        <v>2164</v>
      </c>
      <c r="AB416" s="44" t="s">
        <v>2165</v>
      </c>
    </row>
    <row r="417" spans="1:28" ht="15.75" customHeight="1">
      <c r="A417" s="71"/>
      <c r="B417" s="66" t="str">
        <f t="shared" si="23"/>
        <v/>
      </c>
      <c r="C417" s="71"/>
      <c r="D417" s="66" t="str">
        <f t="shared" si="24"/>
        <v/>
      </c>
      <c r="E417" s="71"/>
      <c r="F417" s="66" t="str">
        <f t="shared" si="22"/>
        <v/>
      </c>
      <c r="G417" s="59"/>
      <c r="H417" s="59"/>
      <c r="I417" s="59"/>
      <c r="J417" s="77"/>
      <c r="K417" s="75"/>
      <c r="L417" s="75"/>
      <c r="M417" s="77"/>
      <c r="N417" s="77"/>
      <c r="O417" s="44"/>
      <c r="P417" s="44" t="str">
        <f t="shared" si="2"/>
        <v/>
      </c>
      <c r="Q417" s="44" t="str">
        <f t="shared" si="3"/>
        <v/>
      </c>
      <c r="R417" s="44"/>
      <c r="S417" s="44"/>
      <c r="T417" s="44"/>
      <c r="U417" s="44"/>
      <c r="V417" s="44"/>
      <c r="W417" s="44"/>
      <c r="X417" s="44"/>
      <c r="Y417" s="44"/>
      <c r="Z417" s="44"/>
      <c r="AA417" s="44" t="s">
        <v>2166</v>
      </c>
      <c r="AB417" s="44" t="s">
        <v>2167</v>
      </c>
    </row>
    <row r="418" spans="1:28" ht="15.75" customHeight="1">
      <c r="A418" s="71"/>
      <c r="B418" s="66" t="str">
        <f t="shared" si="23"/>
        <v/>
      </c>
      <c r="C418" s="71"/>
      <c r="D418" s="66" t="str">
        <f t="shared" si="24"/>
        <v/>
      </c>
      <c r="E418" s="71"/>
      <c r="F418" s="66" t="str">
        <f t="shared" si="22"/>
        <v/>
      </c>
      <c r="G418" s="59"/>
      <c r="H418" s="59"/>
      <c r="I418" s="59"/>
      <c r="J418" s="77"/>
      <c r="K418" s="75"/>
      <c r="L418" s="75"/>
      <c r="M418" s="77"/>
      <c r="N418" s="77"/>
      <c r="O418" s="44"/>
      <c r="P418" s="44" t="str">
        <f t="shared" si="2"/>
        <v/>
      </c>
      <c r="Q418" s="44" t="str">
        <f t="shared" si="3"/>
        <v/>
      </c>
      <c r="R418" s="44"/>
      <c r="S418" s="44"/>
      <c r="T418" s="44"/>
      <c r="U418" s="44"/>
      <c r="V418" s="44"/>
      <c r="W418" s="44"/>
      <c r="X418" s="44"/>
      <c r="Y418" s="44"/>
      <c r="Z418" s="44"/>
      <c r="AA418" s="44" t="s">
        <v>2168</v>
      </c>
      <c r="AB418" s="44" t="s">
        <v>2169</v>
      </c>
    </row>
    <row r="419" spans="1:28" ht="15.75" customHeight="1">
      <c r="A419" s="71"/>
      <c r="B419" s="66" t="str">
        <f t="shared" si="23"/>
        <v/>
      </c>
      <c r="C419" s="71"/>
      <c r="D419" s="66" t="str">
        <f t="shared" si="24"/>
        <v/>
      </c>
      <c r="E419" s="71"/>
      <c r="F419" s="66" t="str">
        <f t="shared" si="22"/>
        <v/>
      </c>
      <c r="G419" s="59"/>
      <c r="H419" s="59"/>
      <c r="I419" s="59"/>
      <c r="J419" s="77"/>
      <c r="K419" s="75"/>
      <c r="L419" s="75"/>
      <c r="M419" s="77"/>
      <c r="N419" s="77"/>
      <c r="O419" s="44"/>
      <c r="P419" s="44" t="str">
        <f t="shared" si="2"/>
        <v/>
      </c>
      <c r="Q419" s="44" t="str">
        <f t="shared" si="3"/>
        <v/>
      </c>
      <c r="R419" s="44"/>
      <c r="S419" s="44"/>
      <c r="T419" s="44"/>
      <c r="U419" s="44"/>
      <c r="V419" s="44"/>
      <c r="W419" s="44"/>
      <c r="X419" s="44"/>
      <c r="Y419" s="44"/>
      <c r="Z419" s="44"/>
      <c r="AA419" s="44" t="s">
        <v>2170</v>
      </c>
      <c r="AB419" s="44" t="s">
        <v>2171</v>
      </c>
    </row>
    <row r="420" spans="1:28" ht="15.75" customHeight="1">
      <c r="A420" s="71"/>
      <c r="B420" s="66" t="str">
        <f t="shared" si="23"/>
        <v/>
      </c>
      <c r="C420" s="71"/>
      <c r="D420" s="66" t="str">
        <f t="shared" si="24"/>
        <v/>
      </c>
      <c r="E420" s="71"/>
      <c r="F420" s="66" t="str">
        <f t="shared" si="22"/>
        <v/>
      </c>
      <c r="G420" s="59"/>
      <c r="H420" s="59"/>
      <c r="I420" s="59"/>
      <c r="J420" s="77"/>
      <c r="K420" s="75"/>
      <c r="L420" s="75"/>
      <c r="M420" s="77"/>
      <c r="N420" s="77"/>
      <c r="O420" s="44"/>
      <c r="P420" s="44" t="str">
        <f t="shared" si="2"/>
        <v/>
      </c>
      <c r="Q420" s="44" t="str">
        <f t="shared" si="3"/>
        <v/>
      </c>
      <c r="R420" s="44"/>
      <c r="S420" s="44"/>
      <c r="T420" s="44"/>
      <c r="U420" s="44"/>
      <c r="V420" s="44"/>
      <c r="W420" s="44"/>
      <c r="X420" s="44"/>
      <c r="Y420" s="44"/>
      <c r="Z420" s="44"/>
      <c r="AA420" s="44" t="s">
        <v>2172</v>
      </c>
      <c r="AB420" s="44" t="s">
        <v>2173</v>
      </c>
    </row>
    <row r="421" spans="1:28" ht="15.75" customHeight="1">
      <c r="A421" s="71"/>
      <c r="B421" s="66" t="str">
        <f t="shared" si="23"/>
        <v/>
      </c>
      <c r="C421" s="71"/>
      <c r="D421" s="66" t="str">
        <f t="shared" si="24"/>
        <v/>
      </c>
      <c r="E421" s="71"/>
      <c r="F421" s="66" t="str">
        <f t="shared" si="22"/>
        <v/>
      </c>
      <c r="G421" s="59"/>
      <c r="H421" s="59"/>
      <c r="I421" s="59"/>
      <c r="J421" s="77"/>
      <c r="K421" s="75"/>
      <c r="L421" s="75"/>
      <c r="M421" s="77"/>
      <c r="N421" s="77"/>
      <c r="O421" s="44"/>
      <c r="P421" s="44" t="str">
        <f t="shared" si="2"/>
        <v/>
      </c>
      <c r="Q421" s="44" t="str">
        <f t="shared" si="3"/>
        <v/>
      </c>
      <c r="R421" s="44"/>
      <c r="S421" s="44"/>
      <c r="T421" s="44"/>
      <c r="U421" s="44"/>
      <c r="V421" s="44"/>
      <c r="W421" s="44"/>
      <c r="X421" s="44"/>
      <c r="Y421" s="44"/>
      <c r="Z421" s="44"/>
      <c r="AA421" s="44" t="s">
        <v>2174</v>
      </c>
      <c r="AB421" s="44" t="s">
        <v>2175</v>
      </c>
    </row>
    <row r="422" spans="1:28" ht="15.75" customHeight="1">
      <c r="A422" s="71"/>
      <c r="B422" s="66" t="str">
        <f t="shared" si="23"/>
        <v/>
      </c>
      <c r="C422" s="71"/>
      <c r="D422" s="66" t="str">
        <f t="shared" si="24"/>
        <v/>
      </c>
      <c r="E422" s="71"/>
      <c r="F422" s="66" t="str">
        <f t="shared" si="22"/>
        <v/>
      </c>
      <c r="G422" s="59"/>
      <c r="H422" s="59"/>
      <c r="I422" s="59"/>
      <c r="J422" s="77"/>
      <c r="K422" s="75"/>
      <c r="L422" s="75"/>
      <c r="M422" s="77"/>
      <c r="N422" s="77"/>
      <c r="O422" s="44"/>
      <c r="P422" s="44" t="str">
        <f t="shared" si="2"/>
        <v/>
      </c>
      <c r="Q422" s="44" t="str">
        <f t="shared" si="3"/>
        <v/>
      </c>
      <c r="R422" s="44"/>
      <c r="S422" s="44"/>
      <c r="T422" s="44"/>
      <c r="U422" s="44"/>
      <c r="V422" s="44"/>
      <c r="W422" s="44"/>
      <c r="X422" s="44"/>
      <c r="Y422" s="44"/>
      <c r="Z422" s="44"/>
      <c r="AA422" s="44" t="s">
        <v>2176</v>
      </c>
      <c r="AB422" s="44" t="s">
        <v>2177</v>
      </c>
    </row>
    <row r="423" spans="1:28" ht="15.75" customHeight="1">
      <c r="A423" s="71"/>
      <c r="B423" s="66" t="str">
        <f t="shared" si="23"/>
        <v/>
      </c>
      <c r="C423" s="71"/>
      <c r="D423" s="66" t="str">
        <f t="shared" si="24"/>
        <v/>
      </c>
      <c r="E423" s="71"/>
      <c r="F423" s="66" t="str">
        <f t="shared" si="22"/>
        <v/>
      </c>
      <c r="G423" s="59"/>
      <c r="H423" s="59"/>
      <c r="I423" s="59"/>
      <c r="J423" s="77"/>
      <c r="K423" s="75"/>
      <c r="L423" s="75"/>
      <c r="M423" s="77"/>
      <c r="N423" s="77"/>
      <c r="O423" s="44"/>
      <c r="P423" s="44" t="str">
        <f t="shared" si="2"/>
        <v/>
      </c>
      <c r="Q423" s="44" t="str">
        <f t="shared" si="3"/>
        <v/>
      </c>
      <c r="R423" s="44"/>
      <c r="S423" s="44"/>
      <c r="T423" s="44"/>
      <c r="U423" s="44"/>
      <c r="V423" s="44"/>
      <c r="W423" s="44"/>
      <c r="X423" s="44"/>
      <c r="Y423" s="44"/>
      <c r="Z423" s="44"/>
      <c r="AA423" s="44" t="s">
        <v>2178</v>
      </c>
      <c r="AB423" s="44" t="s">
        <v>2179</v>
      </c>
    </row>
    <row r="424" spans="1:28" ht="15.75" customHeight="1">
      <c r="A424" s="71"/>
      <c r="B424" s="66" t="str">
        <f t="shared" si="23"/>
        <v/>
      </c>
      <c r="C424" s="71"/>
      <c r="D424" s="66" t="str">
        <f t="shared" si="24"/>
        <v/>
      </c>
      <c r="E424" s="71"/>
      <c r="F424" s="66" t="str">
        <f t="shared" si="22"/>
        <v/>
      </c>
      <c r="G424" s="59"/>
      <c r="H424" s="59"/>
      <c r="I424" s="59"/>
      <c r="J424" s="77"/>
      <c r="K424" s="75"/>
      <c r="L424" s="75"/>
      <c r="M424" s="77"/>
      <c r="N424" s="77"/>
      <c r="O424" s="44"/>
      <c r="P424" s="44" t="str">
        <f t="shared" si="2"/>
        <v/>
      </c>
      <c r="Q424" s="44" t="str">
        <f t="shared" si="3"/>
        <v/>
      </c>
      <c r="R424" s="44"/>
      <c r="S424" s="44"/>
      <c r="T424" s="44"/>
      <c r="U424" s="44"/>
      <c r="V424" s="44"/>
      <c r="W424" s="44"/>
      <c r="X424" s="44"/>
      <c r="Y424" s="44"/>
      <c r="Z424" s="44"/>
      <c r="AA424" s="44" t="s">
        <v>1297</v>
      </c>
      <c r="AB424" s="44" t="s">
        <v>2180</v>
      </c>
    </row>
    <row r="425" spans="1:28" ht="15.75" customHeight="1">
      <c r="A425" s="71"/>
      <c r="B425" s="66" t="str">
        <f t="shared" si="23"/>
        <v/>
      </c>
      <c r="C425" s="71"/>
      <c r="D425" s="66" t="str">
        <f t="shared" si="24"/>
        <v/>
      </c>
      <c r="E425" s="71"/>
      <c r="F425" s="66" t="str">
        <f t="shared" si="22"/>
        <v/>
      </c>
      <c r="G425" s="59"/>
      <c r="H425" s="59"/>
      <c r="I425" s="59"/>
      <c r="J425" s="77"/>
      <c r="K425" s="75"/>
      <c r="L425" s="75"/>
      <c r="M425" s="77"/>
      <c r="N425" s="77"/>
      <c r="O425" s="44"/>
      <c r="P425" s="44" t="str">
        <f t="shared" si="2"/>
        <v/>
      </c>
      <c r="Q425" s="44" t="str">
        <f t="shared" si="3"/>
        <v/>
      </c>
      <c r="R425" s="44"/>
      <c r="S425" s="44"/>
      <c r="T425" s="44"/>
      <c r="U425" s="44"/>
      <c r="V425" s="44"/>
      <c r="W425" s="44"/>
      <c r="X425" s="44"/>
      <c r="Y425" s="44"/>
      <c r="Z425" s="44"/>
      <c r="AA425" s="44" t="s">
        <v>1276</v>
      </c>
      <c r="AB425" s="44" t="s">
        <v>2181</v>
      </c>
    </row>
    <row r="426" spans="1:28" ht="15.75" customHeight="1">
      <c r="A426" s="71"/>
      <c r="B426" s="66" t="str">
        <f t="shared" si="23"/>
        <v/>
      </c>
      <c r="C426" s="71"/>
      <c r="D426" s="66" t="str">
        <f t="shared" si="24"/>
        <v/>
      </c>
      <c r="E426" s="71"/>
      <c r="F426" s="66" t="str">
        <f t="shared" si="22"/>
        <v/>
      </c>
      <c r="G426" s="59"/>
      <c r="H426" s="59"/>
      <c r="I426" s="59"/>
      <c r="J426" s="77"/>
      <c r="K426" s="75"/>
      <c r="L426" s="75"/>
      <c r="M426" s="77"/>
      <c r="N426" s="77"/>
      <c r="O426" s="44"/>
      <c r="P426" s="44" t="str">
        <f t="shared" si="2"/>
        <v/>
      </c>
      <c r="Q426" s="44" t="str">
        <f t="shared" si="3"/>
        <v/>
      </c>
      <c r="R426" s="44"/>
      <c r="S426" s="44"/>
      <c r="T426" s="44"/>
      <c r="U426" s="44"/>
      <c r="V426" s="44"/>
      <c r="W426" s="44"/>
      <c r="X426" s="44"/>
      <c r="Y426" s="44"/>
      <c r="Z426" s="44"/>
      <c r="AA426" s="44" t="s">
        <v>2182</v>
      </c>
      <c r="AB426" s="44" t="s">
        <v>2183</v>
      </c>
    </row>
    <row r="427" spans="1:28" ht="15.75" customHeight="1">
      <c r="A427" s="71"/>
      <c r="B427" s="66" t="str">
        <f t="shared" si="23"/>
        <v/>
      </c>
      <c r="C427" s="71"/>
      <c r="D427" s="66" t="str">
        <f t="shared" si="24"/>
        <v/>
      </c>
      <c r="E427" s="71"/>
      <c r="F427" s="66" t="str">
        <f t="shared" si="22"/>
        <v/>
      </c>
      <c r="G427" s="59"/>
      <c r="H427" s="59"/>
      <c r="I427" s="59"/>
      <c r="J427" s="77"/>
      <c r="K427" s="75"/>
      <c r="L427" s="75"/>
      <c r="M427" s="77"/>
      <c r="N427" s="77"/>
      <c r="O427" s="44"/>
      <c r="P427" s="44" t="str">
        <f t="shared" si="2"/>
        <v/>
      </c>
      <c r="Q427" s="44" t="str">
        <f t="shared" si="3"/>
        <v/>
      </c>
      <c r="R427" s="44"/>
      <c r="S427" s="44"/>
      <c r="T427" s="44"/>
      <c r="U427" s="44"/>
      <c r="V427" s="44"/>
      <c r="W427" s="44"/>
      <c r="X427" s="44"/>
      <c r="Y427" s="44"/>
      <c r="Z427" s="44"/>
      <c r="AA427" s="44" t="s">
        <v>2184</v>
      </c>
      <c r="AB427" s="44" t="s">
        <v>2185</v>
      </c>
    </row>
    <row r="428" spans="1:28" ht="15.75" customHeight="1">
      <c r="A428" s="71"/>
      <c r="B428" s="66" t="str">
        <f t="shared" si="23"/>
        <v/>
      </c>
      <c r="C428" s="71"/>
      <c r="D428" s="66" t="str">
        <f t="shared" si="24"/>
        <v/>
      </c>
      <c r="E428" s="71"/>
      <c r="F428" s="66" t="str">
        <f t="shared" si="22"/>
        <v/>
      </c>
      <c r="G428" s="59"/>
      <c r="H428" s="59"/>
      <c r="I428" s="59"/>
      <c r="J428" s="77"/>
      <c r="K428" s="75"/>
      <c r="L428" s="75"/>
      <c r="M428" s="77"/>
      <c r="N428" s="77"/>
      <c r="O428" s="44"/>
      <c r="P428" s="44" t="str">
        <f t="shared" si="2"/>
        <v/>
      </c>
      <c r="Q428" s="44" t="str">
        <f t="shared" si="3"/>
        <v/>
      </c>
      <c r="R428" s="44"/>
      <c r="S428" s="44"/>
      <c r="T428" s="44"/>
      <c r="U428" s="44"/>
      <c r="V428" s="44"/>
      <c r="W428" s="44"/>
      <c r="X428" s="44"/>
      <c r="Y428" s="44"/>
      <c r="Z428" s="44"/>
      <c r="AA428" s="44" t="s">
        <v>2186</v>
      </c>
      <c r="AB428" s="44" t="s">
        <v>2187</v>
      </c>
    </row>
    <row r="429" spans="1:28" ht="15.75" customHeight="1">
      <c r="A429" s="71"/>
      <c r="B429" s="66" t="str">
        <f t="shared" si="23"/>
        <v/>
      </c>
      <c r="C429" s="71"/>
      <c r="D429" s="66" t="str">
        <f t="shared" si="24"/>
        <v/>
      </c>
      <c r="E429" s="71"/>
      <c r="F429" s="66" t="str">
        <f t="shared" si="22"/>
        <v/>
      </c>
      <c r="G429" s="59"/>
      <c r="H429" s="59"/>
      <c r="I429" s="59"/>
      <c r="J429" s="77"/>
      <c r="K429" s="75"/>
      <c r="L429" s="75"/>
      <c r="M429" s="77"/>
      <c r="N429" s="77"/>
      <c r="O429" s="44"/>
      <c r="P429" s="44" t="str">
        <f t="shared" si="2"/>
        <v/>
      </c>
      <c r="Q429" s="44" t="str">
        <f t="shared" si="3"/>
        <v/>
      </c>
      <c r="R429" s="44"/>
      <c r="S429" s="44"/>
      <c r="T429" s="44"/>
      <c r="U429" s="44"/>
      <c r="V429" s="44"/>
      <c r="W429" s="44"/>
      <c r="X429" s="44"/>
      <c r="Y429" s="44"/>
      <c r="Z429" s="44"/>
      <c r="AA429" s="44" t="s">
        <v>2188</v>
      </c>
      <c r="AB429" s="44" t="s">
        <v>2189</v>
      </c>
    </row>
    <row r="430" spans="1:28" ht="15.75" customHeight="1">
      <c r="A430" s="71"/>
      <c r="B430" s="66" t="str">
        <f t="shared" si="23"/>
        <v/>
      </c>
      <c r="C430" s="71"/>
      <c r="D430" s="66" t="str">
        <f t="shared" si="24"/>
        <v/>
      </c>
      <c r="E430" s="71"/>
      <c r="F430" s="66" t="str">
        <f t="shared" si="22"/>
        <v/>
      </c>
      <c r="G430" s="59"/>
      <c r="H430" s="59"/>
      <c r="I430" s="59"/>
      <c r="J430" s="77"/>
      <c r="K430" s="75"/>
      <c r="L430" s="75"/>
      <c r="M430" s="77"/>
      <c r="N430" s="77"/>
      <c r="O430" s="44"/>
      <c r="P430" s="44" t="str">
        <f t="shared" si="2"/>
        <v/>
      </c>
      <c r="Q430" s="44" t="str">
        <f t="shared" si="3"/>
        <v/>
      </c>
      <c r="R430" s="44"/>
      <c r="S430" s="44"/>
      <c r="T430" s="44"/>
      <c r="U430" s="44"/>
      <c r="V430" s="44"/>
      <c r="W430" s="44"/>
      <c r="X430" s="44"/>
      <c r="Y430" s="44"/>
      <c r="Z430" s="44"/>
      <c r="AA430" s="44" t="s">
        <v>2190</v>
      </c>
      <c r="AB430" s="44" t="s">
        <v>2191</v>
      </c>
    </row>
    <row r="431" spans="1:28" ht="15.75" customHeight="1">
      <c r="A431" s="71"/>
      <c r="B431" s="66" t="str">
        <f t="shared" si="23"/>
        <v/>
      </c>
      <c r="C431" s="71"/>
      <c r="D431" s="66" t="str">
        <f t="shared" si="24"/>
        <v/>
      </c>
      <c r="E431" s="71"/>
      <c r="F431" s="66" t="str">
        <f t="shared" si="22"/>
        <v/>
      </c>
      <c r="G431" s="59"/>
      <c r="H431" s="59"/>
      <c r="I431" s="59"/>
      <c r="J431" s="77"/>
      <c r="K431" s="75"/>
      <c r="L431" s="75"/>
      <c r="M431" s="77"/>
      <c r="N431" s="77"/>
      <c r="O431" s="44"/>
      <c r="P431" s="44" t="str">
        <f t="shared" si="2"/>
        <v/>
      </c>
      <c r="Q431" s="44" t="str">
        <f t="shared" si="3"/>
        <v/>
      </c>
      <c r="R431" s="44"/>
      <c r="S431" s="44"/>
      <c r="T431" s="44"/>
      <c r="U431" s="44"/>
      <c r="V431" s="44"/>
      <c r="W431" s="44"/>
      <c r="X431" s="44"/>
      <c r="Y431" s="44"/>
      <c r="Z431" s="44"/>
      <c r="AA431" s="44" t="s">
        <v>2192</v>
      </c>
      <c r="AB431" s="44" t="s">
        <v>2193</v>
      </c>
    </row>
    <row r="432" spans="1:28" ht="15.75" customHeight="1">
      <c r="A432" s="71"/>
      <c r="B432" s="66" t="str">
        <f t="shared" si="23"/>
        <v/>
      </c>
      <c r="C432" s="71"/>
      <c r="D432" s="66" t="str">
        <f t="shared" si="24"/>
        <v/>
      </c>
      <c r="E432" s="71"/>
      <c r="F432" s="66" t="str">
        <f t="shared" si="22"/>
        <v/>
      </c>
      <c r="G432" s="59"/>
      <c r="H432" s="59"/>
      <c r="I432" s="59"/>
      <c r="J432" s="77"/>
      <c r="K432" s="75"/>
      <c r="L432" s="75"/>
      <c r="M432" s="77"/>
      <c r="N432" s="77"/>
      <c r="O432" s="44"/>
      <c r="P432" s="44" t="str">
        <f t="shared" si="2"/>
        <v/>
      </c>
      <c r="Q432" s="44" t="str">
        <f t="shared" si="3"/>
        <v/>
      </c>
      <c r="R432" s="44"/>
      <c r="S432" s="44"/>
      <c r="T432" s="44"/>
      <c r="U432" s="44"/>
      <c r="V432" s="44"/>
      <c r="W432" s="44"/>
      <c r="X432" s="44"/>
      <c r="Y432" s="44"/>
      <c r="Z432" s="44"/>
      <c r="AA432" s="44" t="s">
        <v>2194</v>
      </c>
      <c r="AB432" s="44" t="s">
        <v>2195</v>
      </c>
    </row>
    <row r="433" spans="1:28" ht="15.75" customHeight="1">
      <c r="A433" s="71"/>
      <c r="B433" s="66" t="str">
        <f t="shared" si="23"/>
        <v/>
      </c>
      <c r="C433" s="71"/>
      <c r="D433" s="66" t="str">
        <f t="shared" si="24"/>
        <v/>
      </c>
      <c r="E433" s="71"/>
      <c r="F433" s="66" t="str">
        <f t="shared" si="22"/>
        <v/>
      </c>
      <c r="G433" s="59"/>
      <c r="H433" s="59"/>
      <c r="I433" s="59"/>
      <c r="J433" s="77"/>
      <c r="K433" s="75"/>
      <c r="L433" s="75"/>
      <c r="M433" s="77"/>
      <c r="N433" s="77"/>
      <c r="O433" s="44"/>
      <c r="P433" s="44" t="str">
        <f t="shared" si="2"/>
        <v/>
      </c>
      <c r="Q433" s="44" t="str">
        <f t="shared" si="3"/>
        <v/>
      </c>
      <c r="R433" s="44"/>
      <c r="S433" s="44"/>
      <c r="T433" s="44"/>
      <c r="U433" s="44"/>
      <c r="V433" s="44"/>
      <c r="W433" s="44"/>
      <c r="X433" s="44"/>
      <c r="Y433" s="44"/>
      <c r="Z433" s="44"/>
      <c r="AA433" s="44" t="s">
        <v>2196</v>
      </c>
      <c r="AB433" s="44" t="s">
        <v>2197</v>
      </c>
    </row>
    <row r="434" spans="1:28" ht="15.75" customHeight="1">
      <c r="A434" s="71"/>
      <c r="B434" s="66" t="str">
        <f t="shared" si="23"/>
        <v/>
      </c>
      <c r="C434" s="71"/>
      <c r="D434" s="66" t="str">
        <f t="shared" si="24"/>
        <v/>
      </c>
      <c r="E434" s="71"/>
      <c r="F434" s="66" t="str">
        <f t="shared" si="22"/>
        <v/>
      </c>
      <c r="G434" s="59"/>
      <c r="H434" s="59"/>
      <c r="I434" s="59"/>
      <c r="J434" s="77"/>
      <c r="K434" s="75"/>
      <c r="L434" s="75"/>
      <c r="M434" s="77"/>
      <c r="N434" s="77"/>
      <c r="O434" s="44"/>
      <c r="P434" s="44" t="str">
        <f t="shared" si="2"/>
        <v/>
      </c>
      <c r="Q434" s="44" t="str">
        <f t="shared" si="3"/>
        <v/>
      </c>
      <c r="R434" s="44"/>
      <c r="S434" s="44"/>
      <c r="T434" s="44"/>
      <c r="U434" s="44"/>
      <c r="V434" s="44"/>
      <c r="W434" s="44"/>
      <c r="X434" s="44"/>
      <c r="Y434" s="44"/>
      <c r="Z434" s="44"/>
      <c r="AA434" s="44" t="s">
        <v>2198</v>
      </c>
      <c r="AB434" s="44" t="s">
        <v>2199</v>
      </c>
    </row>
    <row r="435" spans="1:28" ht="15.75" customHeight="1">
      <c r="A435" s="71"/>
      <c r="B435" s="66" t="str">
        <f t="shared" si="23"/>
        <v/>
      </c>
      <c r="C435" s="71"/>
      <c r="D435" s="66" t="str">
        <f t="shared" si="24"/>
        <v/>
      </c>
      <c r="E435" s="71"/>
      <c r="F435" s="66" t="str">
        <f t="shared" si="22"/>
        <v/>
      </c>
      <c r="G435" s="59"/>
      <c r="H435" s="59"/>
      <c r="I435" s="59"/>
      <c r="J435" s="77"/>
      <c r="K435" s="75"/>
      <c r="L435" s="75"/>
      <c r="M435" s="77"/>
      <c r="N435" s="77"/>
      <c r="O435" s="44"/>
      <c r="P435" s="44" t="str">
        <f t="shared" si="2"/>
        <v/>
      </c>
      <c r="Q435" s="44" t="str">
        <f t="shared" si="3"/>
        <v/>
      </c>
      <c r="R435" s="44"/>
      <c r="S435" s="44"/>
      <c r="T435" s="44"/>
      <c r="U435" s="44"/>
      <c r="V435" s="44"/>
      <c r="W435" s="44"/>
      <c r="X435" s="44"/>
      <c r="Y435" s="44"/>
      <c r="Z435" s="44"/>
      <c r="AA435" s="44" t="s">
        <v>2200</v>
      </c>
      <c r="AB435" s="44" t="s">
        <v>2201</v>
      </c>
    </row>
    <row r="436" spans="1:28" ht="15.75" customHeight="1">
      <c r="A436" s="71"/>
      <c r="B436" s="66" t="str">
        <f t="shared" si="23"/>
        <v/>
      </c>
      <c r="C436" s="71"/>
      <c r="D436" s="66" t="str">
        <f t="shared" si="24"/>
        <v/>
      </c>
      <c r="E436" s="71"/>
      <c r="F436" s="66" t="str">
        <f t="shared" si="22"/>
        <v/>
      </c>
      <c r="G436" s="59"/>
      <c r="H436" s="59"/>
      <c r="I436" s="59"/>
      <c r="J436" s="77"/>
      <c r="K436" s="75"/>
      <c r="L436" s="75"/>
      <c r="M436" s="77"/>
      <c r="N436" s="77"/>
      <c r="O436" s="44"/>
      <c r="P436" s="44" t="str">
        <f t="shared" si="2"/>
        <v/>
      </c>
      <c r="Q436" s="44" t="str">
        <f t="shared" si="3"/>
        <v/>
      </c>
      <c r="R436" s="44"/>
      <c r="S436" s="44"/>
      <c r="T436" s="44"/>
      <c r="U436" s="44"/>
      <c r="V436" s="44"/>
      <c r="W436" s="44"/>
      <c r="X436" s="44"/>
      <c r="Y436" s="44"/>
      <c r="Z436" s="44"/>
      <c r="AA436" s="44" t="s">
        <v>2202</v>
      </c>
      <c r="AB436" s="44" t="s">
        <v>2203</v>
      </c>
    </row>
    <row r="437" spans="1:28" ht="15.75" customHeight="1">
      <c r="A437" s="71"/>
      <c r="B437" s="66" t="str">
        <f t="shared" si="23"/>
        <v/>
      </c>
      <c r="C437" s="71"/>
      <c r="D437" s="66" t="str">
        <f t="shared" si="24"/>
        <v/>
      </c>
      <c r="E437" s="71"/>
      <c r="F437" s="66" t="str">
        <f t="shared" ref="F437:F499" si="25">IFERROR(VLOOKUP(E437,$AA$6:$AB$1016,2,FALSE),"")</f>
        <v/>
      </c>
      <c r="G437" s="59"/>
      <c r="H437" s="59"/>
      <c r="I437" s="59"/>
      <c r="J437" s="77"/>
      <c r="K437" s="75"/>
      <c r="L437" s="75"/>
      <c r="M437" s="77"/>
      <c r="N437" s="77"/>
      <c r="O437" s="44"/>
      <c r="P437" s="44" t="str">
        <f t="shared" si="2"/>
        <v/>
      </c>
      <c r="Q437" s="44" t="str">
        <f t="shared" si="3"/>
        <v/>
      </c>
      <c r="R437" s="44"/>
      <c r="S437" s="44"/>
      <c r="T437" s="44"/>
      <c r="U437" s="44"/>
      <c r="V437" s="44"/>
      <c r="W437" s="44"/>
      <c r="X437" s="44"/>
      <c r="Y437" s="44"/>
      <c r="Z437" s="44"/>
      <c r="AA437" s="44" t="s">
        <v>2204</v>
      </c>
      <c r="AB437" s="44" t="s">
        <v>2205</v>
      </c>
    </row>
    <row r="438" spans="1:28" ht="15.75" customHeight="1">
      <c r="A438" s="71"/>
      <c r="B438" s="66" t="str">
        <f t="shared" si="23"/>
        <v/>
      </c>
      <c r="C438" s="71"/>
      <c r="D438" s="66" t="str">
        <f t="shared" si="24"/>
        <v/>
      </c>
      <c r="E438" s="71"/>
      <c r="F438" s="66" t="str">
        <f t="shared" si="25"/>
        <v/>
      </c>
      <c r="G438" s="59"/>
      <c r="H438" s="59"/>
      <c r="I438" s="59"/>
      <c r="J438" s="77"/>
      <c r="K438" s="75"/>
      <c r="L438" s="75"/>
      <c r="M438" s="77"/>
      <c r="N438" s="77"/>
      <c r="O438" s="44"/>
      <c r="P438" s="44" t="str">
        <f t="shared" si="2"/>
        <v/>
      </c>
      <c r="Q438" s="44" t="str">
        <f t="shared" si="3"/>
        <v/>
      </c>
      <c r="R438" s="44"/>
      <c r="S438" s="44"/>
      <c r="T438" s="44"/>
      <c r="U438" s="44"/>
      <c r="V438" s="44"/>
      <c r="W438" s="44"/>
      <c r="X438" s="44"/>
      <c r="Y438" s="44"/>
      <c r="Z438" s="44"/>
      <c r="AA438" s="44" t="s">
        <v>2206</v>
      </c>
      <c r="AB438" s="44" t="s">
        <v>2207</v>
      </c>
    </row>
    <row r="439" spans="1:28" ht="15.75" customHeight="1">
      <c r="A439" s="71"/>
      <c r="B439" s="66" t="str">
        <f t="shared" si="23"/>
        <v/>
      </c>
      <c r="C439" s="71"/>
      <c r="D439" s="66" t="str">
        <f t="shared" si="24"/>
        <v/>
      </c>
      <c r="E439" s="71"/>
      <c r="F439" s="66" t="str">
        <f t="shared" si="25"/>
        <v/>
      </c>
      <c r="G439" s="59"/>
      <c r="H439" s="59"/>
      <c r="I439" s="59"/>
      <c r="J439" s="77"/>
      <c r="K439" s="75"/>
      <c r="L439" s="75"/>
      <c r="M439" s="77"/>
      <c r="N439" s="77"/>
      <c r="O439" s="44"/>
      <c r="P439" s="44" t="str">
        <f t="shared" si="2"/>
        <v/>
      </c>
      <c r="Q439" s="44" t="str">
        <f t="shared" si="3"/>
        <v/>
      </c>
      <c r="R439" s="44"/>
      <c r="S439" s="44"/>
      <c r="T439" s="44"/>
      <c r="U439" s="44"/>
      <c r="V439" s="44"/>
      <c r="W439" s="44"/>
      <c r="X439" s="44"/>
      <c r="Y439" s="44"/>
      <c r="Z439" s="44"/>
      <c r="AA439" s="44" t="s">
        <v>2208</v>
      </c>
      <c r="AB439" s="44" t="s">
        <v>2209</v>
      </c>
    </row>
    <row r="440" spans="1:28" ht="15.75" customHeight="1">
      <c r="A440" s="71"/>
      <c r="B440" s="66" t="str">
        <f t="shared" si="23"/>
        <v/>
      </c>
      <c r="C440" s="71"/>
      <c r="D440" s="66" t="str">
        <f t="shared" si="24"/>
        <v/>
      </c>
      <c r="E440" s="71"/>
      <c r="F440" s="66" t="str">
        <f t="shared" si="25"/>
        <v/>
      </c>
      <c r="G440" s="59"/>
      <c r="H440" s="59"/>
      <c r="I440" s="59"/>
      <c r="J440" s="77"/>
      <c r="K440" s="75"/>
      <c r="L440" s="75"/>
      <c r="M440" s="77"/>
      <c r="N440" s="77"/>
      <c r="O440" s="44"/>
      <c r="P440" s="44" t="str">
        <f t="shared" si="2"/>
        <v/>
      </c>
      <c r="Q440" s="44" t="str">
        <f t="shared" si="3"/>
        <v/>
      </c>
      <c r="R440" s="44"/>
      <c r="S440" s="44"/>
      <c r="T440" s="44"/>
      <c r="U440" s="44"/>
      <c r="V440" s="44"/>
      <c r="W440" s="44"/>
      <c r="X440" s="44"/>
      <c r="Y440" s="44"/>
      <c r="Z440" s="44"/>
      <c r="AA440" s="44" t="s">
        <v>2210</v>
      </c>
      <c r="AB440" s="44" t="s">
        <v>2211</v>
      </c>
    </row>
    <row r="441" spans="1:28" ht="15.75" customHeight="1">
      <c r="A441" s="71"/>
      <c r="B441" s="66" t="str">
        <f t="shared" si="23"/>
        <v/>
      </c>
      <c r="C441" s="71"/>
      <c r="D441" s="66" t="str">
        <f t="shared" si="24"/>
        <v/>
      </c>
      <c r="E441" s="71"/>
      <c r="F441" s="66" t="str">
        <f t="shared" si="25"/>
        <v/>
      </c>
      <c r="G441" s="59"/>
      <c r="H441" s="59"/>
      <c r="I441" s="59"/>
      <c r="J441" s="77"/>
      <c r="K441" s="75"/>
      <c r="L441" s="75"/>
      <c r="M441" s="77"/>
      <c r="N441" s="77"/>
      <c r="O441" s="44"/>
      <c r="P441" s="44" t="str">
        <f t="shared" si="2"/>
        <v/>
      </c>
      <c r="Q441" s="44" t="str">
        <f t="shared" si="3"/>
        <v/>
      </c>
      <c r="R441" s="44"/>
      <c r="S441" s="44"/>
      <c r="T441" s="44"/>
      <c r="U441" s="44"/>
      <c r="V441" s="44"/>
      <c r="W441" s="44"/>
      <c r="X441" s="44"/>
      <c r="Y441" s="44"/>
      <c r="Z441" s="44"/>
      <c r="AA441" s="44" t="s">
        <v>2212</v>
      </c>
      <c r="AB441" s="44" t="s">
        <v>2213</v>
      </c>
    </row>
    <row r="442" spans="1:28" ht="15.75" customHeight="1">
      <c r="A442" s="71"/>
      <c r="B442" s="66" t="str">
        <f t="shared" si="23"/>
        <v/>
      </c>
      <c r="C442" s="71"/>
      <c r="D442" s="66" t="str">
        <f t="shared" si="24"/>
        <v/>
      </c>
      <c r="E442" s="71"/>
      <c r="F442" s="66" t="str">
        <f t="shared" si="25"/>
        <v/>
      </c>
      <c r="G442" s="59"/>
      <c r="H442" s="59"/>
      <c r="I442" s="59"/>
      <c r="J442" s="77"/>
      <c r="K442" s="75"/>
      <c r="L442" s="75"/>
      <c r="M442" s="77"/>
      <c r="N442" s="77"/>
      <c r="O442" s="44"/>
      <c r="P442" s="44" t="str">
        <f t="shared" si="2"/>
        <v/>
      </c>
      <c r="Q442" s="44" t="str">
        <f t="shared" si="3"/>
        <v/>
      </c>
      <c r="R442" s="44"/>
      <c r="S442" s="44"/>
      <c r="T442" s="44"/>
      <c r="U442" s="44"/>
      <c r="V442" s="44"/>
      <c r="W442" s="44"/>
      <c r="X442" s="44"/>
      <c r="Y442" s="44"/>
      <c r="Z442" s="44"/>
      <c r="AA442" s="44" t="s">
        <v>2214</v>
      </c>
      <c r="AB442" s="44" t="s">
        <v>2215</v>
      </c>
    </row>
    <row r="443" spans="1:28" ht="15.75" customHeight="1">
      <c r="A443" s="71"/>
      <c r="B443" s="66" t="str">
        <f t="shared" si="23"/>
        <v/>
      </c>
      <c r="C443" s="71"/>
      <c r="D443" s="66" t="str">
        <f t="shared" si="24"/>
        <v/>
      </c>
      <c r="E443" s="71"/>
      <c r="F443" s="66" t="str">
        <f t="shared" si="25"/>
        <v/>
      </c>
      <c r="G443" s="59"/>
      <c r="H443" s="59"/>
      <c r="I443" s="59"/>
      <c r="J443" s="77"/>
      <c r="K443" s="75"/>
      <c r="L443" s="75"/>
      <c r="M443" s="77"/>
      <c r="N443" s="77"/>
      <c r="O443" s="44"/>
      <c r="P443" s="44" t="str">
        <f t="shared" si="2"/>
        <v/>
      </c>
      <c r="Q443" s="44" t="str">
        <f t="shared" si="3"/>
        <v/>
      </c>
      <c r="R443" s="44"/>
      <c r="S443" s="44"/>
      <c r="T443" s="44"/>
      <c r="U443" s="44"/>
      <c r="V443" s="44"/>
      <c r="W443" s="44"/>
      <c r="X443" s="44"/>
      <c r="Y443" s="44"/>
      <c r="Z443" s="44"/>
      <c r="AA443" s="44" t="s">
        <v>2216</v>
      </c>
      <c r="AB443" s="44" t="s">
        <v>2217</v>
      </c>
    </row>
    <row r="444" spans="1:28" ht="15.75" customHeight="1">
      <c r="A444" s="71"/>
      <c r="B444" s="66" t="str">
        <f t="shared" si="23"/>
        <v/>
      </c>
      <c r="C444" s="71"/>
      <c r="D444" s="66" t="str">
        <f t="shared" si="24"/>
        <v/>
      </c>
      <c r="E444" s="71"/>
      <c r="F444" s="66" t="str">
        <f t="shared" si="25"/>
        <v/>
      </c>
      <c r="G444" s="59"/>
      <c r="H444" s="59"/>
      <c r="I444" s="59"/>
      <c r="J444" s="77"/>
      <c r="K444" s="75"/>
      <c r="L444" s="75"/>
      <c r="M444" s="77"/>
      <c r="N444" s="77"/>
      <c r="O444" s="44"/>
      <c r="P444" s="44" t="str">
        <f t="shared" si="2"/>
        <v/>
      </c>
      <c r="Q444" s="44" t="str">
        <f t="shared" si="3"/>
        <v/>
      </c>
      <c r="R444" s="44"/>
      <c r="S444" s="44"/>
      <c r="T444" s="44"/>
      <c r="U444" s="44"/>
      <c r="V444" s="44"/>
      <c r="W444" s="44"/>
      <c r="X444" s="44"/>
      <c r="Y444" s="44"/>
      <c r="Z444" s="44"/>
      <c r="AA444" s="44" t="s">
        <v>2218</v>
      </c>
      <c r="AB444" s="44" t="s">
        <v>2219</v>
      </c>
    </row>
    <row r="445" spans="1:28" ht="15.75" customHeight="1">
      <c r="A445" s="71"/>
      <c r="B445" s="66" t="str">
        <f t="shared" si="23"/>
        <v/>
      </c>
      <c r="C445" s="71"/>
      <c r="D445" s="66" t="str">
        <f t="shared" si="24"/>
        <v/>
      </c>
      <c r="E445" s="71"/>
      <c r="F445" s="66" t="str">
        <f t="shared" si="25"/>
        <v/>
      </c>
      <c r="G445" s="59"/>
      <c r="H445" s="59"/>
      <c r="I445" s="59"/>
      <c r="J445" s="77"/>
      <c r="K445" s="75"/>
      <c r="L445" s="75"/>
      <c r="M445" s="77"/>
      <c r="N445" s="77"/>
      <c r="O445" s="44"/>
      <c r="P445" s="44" t="str">
        <f t="shared" si="2"/>
        <v/>
      </c>
      <c r="Q445" s="44" t="str">
        <f t="shared" si="3"/>
        <v/>
      </c>
      <c r="R445" s="44"/>
      <c r="S445" s="44"/>
      <c r="T445" s="44"/>
      <c r="U445" s="44"/>
      <c r="V445" s="44"/>
      <c r="W445" s="44"/>
      <c r="X445" s="44"/>
      <c r="Y445" s="44"/>
      <c r="Z445" s="44"/>
      <c r="AA445" s="44" t="s">
        <v>2220</v>
      </c>
      <c r="AB445" s="44" t="s">
        <v>2221</v>
      </c>
    </row>
    <row r="446" spans="1:28" ht="15.75" customHeight="1">
      <c r="A446" s="71"/>
      <c r="B446" s="66" t="str">
        <f t="shared" si="23"/>
        <v/>
      </c>
      <c r="C446" s="71"/>
      <c r="D446" s="66" t="str">
        <f t="shared" si="24"/>
        <v/>
      </c>
      <c r="E446" s="71"/>
      <c r="F446" s="66" t="str">
        <f t="shared" si="25"/>
        <v/>
      </c>
      <c r="G446" s="59"/>
      <c r="H446" s="59"/>
      <c r="I446" s="59"/>
      <c r="J446" s="77"/>
      <c r="K446" s="75"/>
      <c r="L446" s="75"/>
      <c r="M446" s="77"/>
      <c r="N446" s="77"/>
      <c r="O446" s="44"/>
      <c r="P446" s="44" t="str">
        <f t="shared" si="2"/>
        <v/>
      </c>
      <c r="Q446" s="44" t="str">
        <f t="shared" si="3"/>
        <v/>
      </c>
      <c r="R446" s="44"/>
      <c r="S446" s="44"/>
      <c r="T446" s="44"/>
      <c r="U446" s="44"/>
      <c r="V446" s="44"/>
      <c r="W446" s="44"/>
      <c r="X446" s="44"/>
      <c r="Y446" s="44"/>
      <c r="Z446" s="44"/>
      <c r="AA446" s="44" t="s">
        <v>2222</v>
      </c>
      <c r="AB446" s="44" t="s">
        <v>2223</v>
      </c>
    </row>
    <row r="447" spans="1:28" ht="15.75" customHeight="1">
      <c r="A447" s="71"/>
      <c r="B447" s="66" t="str">
        <f t="shared" si="23"/>
        <v/>
      </c>
      <c r="C447" s="71"/>
      <c r="D447" s="66" t="str">
        <f t="shared" si="24"/>
        <v/>
      </c>
      <c r="E447" s="71"/>
      <c r="F447" s="66" t="str">
        <f t="shared" si="25"/>
        <v/>
      </c>
      <c r="G447" s="59"/>
      <c r="H447" s="59"/>
      <c r="I447" s="59"/>
      <c r="J447" s="77"/>
      <c r="K447" s="75"/>
      <c r="L447" s="75"/>
      <c r="M447" s="77"/>
      <c r="N447" s="77"/>
      <c r="O447" s="44"/>
      <c r="P447" s="44" t="str">
        <f t="shared" si="2"/>
        <v/>
      </c>
      <c r="Q447" s="44" t="str">
        <f t="shared" si="3"/>
        <v/>
      </c>
      <c r="R447" s="44"/>
      <c r="S447" s="44"/>
      <c r="T447" s="44"/>
      <c r="U447" s="44"/>
      <c r="V447" s="44"/>
      <c r="W447" s="44"/>
      <c r="X447" s="44"/>
      <c r="Y447" s="44"/>
      <c r="Z447" s="44"/>
      <c r="AA447" s="44" t="s">
        <v>2224</v>
      </c>
      <c r="AB447" s="44" t="s">
        <v>2225</v>
      </c>
    </row>
    <row r="448" spans="1:28" ht="15.75" customHeight="1">
      <c r="A448" s="71"/>
      <c r="B448" s="66" t="str">
        <f t="shared" si="23"/>
        <v/>
      </c>
      <c r="C448" s="71"/>
      <c r="D448" s="66" t="str">
        <f t="shared" si="24"/>
        <v/>
      </c>
      <c r="E448" s="71"/>
      <c r="F448" s="66" t="str">
        <f t="shared" si="25"/>
        <v/>
      </c>
      <c r="G448" s="59"/>
      <c r="H448" s="59"/>
      <c r="I448" s="59"/>
      <c r="J448" s="77"/>
      <c r="K448" s="75"/>
      <c r="L448" s="75"/>
      <c r="M448" s="77"/>
      <c r="N448" s="77"/>
      <c r="O448" s="44"/>
      <c r="P448" s="44" t="str">
        <f t="shared" si="2"/>
        <v/>
      </c>
      <c r="Q448" s="44" t="str">
        <f t="shared" si="3"/>
        <v/>
      </c>
      <c r="R448" s="44"/>
      <c r="S448" s="44"/>
      <c r="T448" s="44"/>
      <c r="U448" s="44"/>
      <c r="V448" s="44"/>
      <c r="W448" s="44"/>
      <c r="X448" s="44"/>
      <c r="Y448" s="44"/>
      <c r="Z448" s="44"/>
      <c r="AA448" s="44" t="s">
        <v>2226</v>
      </c>
      <c r="AB448" s="44" t="s">
        <v>2227</v>
      </c>
    </row>
    <row r="449" spans="1:28" ht="15.75" customHeight="1">
      <c r="A449" s="71"/>
      <c r="B449" s="66" t="str">
        <f t="shared" si="23"/>
        <v/>
      </c>
      <c r="C449" s="71"/>
      <c r="D449" s="66" t="str">
        <f t="shared" si="24"/>
        <v/>
      </c>
      <c r="E449" s="71"/>
      <c r="F449" s="66" t="str">
        <f t="shared" si="25"/>
        <v/>
      </c>
      <c r="G449" s="59"/>
      <c r="H449" s="59"/>
      <c r="I449" s="59"/>
      <c r="J449" s="77"/>
      <c r="K449" s="75"/>
      <c r="L449" s="75"/>
      <c r="M449" s="77"/>
      <c r="N449" s="77"/>
      <c r="O449" s="44"/>
      <c r="P449" s="44" t="str">
        <f t="shared" si="2"/>
        <v/>
      </c>
      <c r="Q449" s="44" t="str">
        <f t="shared" si="3"/>
        <v/>
      </c>
      <c r="R449" s="44"/>
      <c r="S449" s="44"/>
      <c r="T449" s="44"/>
      <c r="U449" s="44"/>
      <c r="V449" s="44"/>
      <c r="W449" s="44"/>
      <c r="X449" s="44"/>
      <c r="Y449" s="44"/>
      <c r="Z449" s="44"/>
      <c r="AA449" s="44" t="s">
        <v>2228</v>
      </c>
      <c r="AB449" s="44" t="s">
        <v>2229</v>
      </c>
    </row>
    <row r="450" spans="1:28" ht="15.75" customHeight="1">
      <c r="A450" s="71"/>
      <c r="B450" s="66" t="str">
        <f t="shared" si="23"/>
        <v/>
      </c>
      <c r="C450" s="71"/>
      <c r="D450" s="66" t="str">
        <f t="shared" si="24"/>
        <v/>
      </c>
      <c r="E450" s="71"/>
      <c r="F450" s="66" t="str">
        <f t="shared" si="25"/>
        <v/>
      </c>
      <c r="G450" s="59"/>
      <c r="H450" s="59"/>
      <c r="I450" s="59"/>
      <c r="J450" s="77"/>
      <c r="K450" s="75"/>
      <c r="L450" s="75"/>
      <c r="M450" s="77"/>
      <c r="N450" s="77"/>
      <c r="O450" s="44"/>
      <c r="P450" s="44" t="str">
        <f t="shared" si="2"/>
        <v/>
      </c>
      <c r="Q450" s="44" t="str">
        <f t="shared" si="3"/>
        <v/>
      </c>
      <c r="R450" s="44"/>
      <c r="S450" s="44"/>
      <c r="T450" s="44"/>
      <c r="U450" s="44"/>
      <c r="V450" s="44"/>
      <c r="W450" s="44"/>
      <c r="X450" s="44"/>
      <c r="Y450" s="44"/>
      <c r="Z450" s="44"/>
      <c r="AA450" s="44" t="s">
        <v>2230</v>
      </c>
      <c r="AB450" s="44" t="s">
        <v>2231</v>
      </c>
    </row>
    <row r="451" spans="1:28" ht="15.75" customHeight="1">
      <c r="A451" s="71"/>
      <c r="B451" s="66" t="str">
        <f t="shared" ref="B451:B499" si="26">IFERROR(VLOOKUP(A451,$R$6:$S$23,2,FALSE),"")</f>
        <v/>
      </c>
      <c r="C451" s="71"/>
      <c r="D451" s="66" t="str">
        <f t="shared" ref="D451:D499" si="27">IFERROR(VLOOKUP(C451,$U$5:$W$127,2,FALSE),"")</f>
        <v/>
      </c>
      <c r="E451" s="71"/>
      <c r="F451" s="66" t="str">
        <f t="shared" si="25"/>
        <v/>
      </c>
      <c r="G451" s="59"/>
      <c r="H451" s="59"/>
      <c r="I451" s="59"/>
      <c r="J451" s="77"/>
      <c r="K451" s="75"/>
      <c r="L451" s="75"/>
      <c r="M451" s="77"/>
      <c r="N451" s="77"/>
      <c r="O451" s="44"/>
      <c r="P451" s="44" t="str">
        <f t="shared" si="2"/>
        <v/>
      </c>
      <c r="Q451" s="44" t="str">
        <f t="shared" si="3"/>
        <v/>
      </c>
      <c r="R451" s="44"/>
      <c r="S451" s="44"/>
      <c r="T451" s="44"/>
      <c r="U451" s="44"/>
      <c r="V451" s="44"/>
      <c r="W451" s="44"/>
      <c r="X451" s="44"/>
      <c r="Y451" s="44"/>
      <c r="Z451" s="44"/>
      <c r="AA451" s="44" t="s">
        <v>2232</v>
      </c>
      <c r="AB451" s="44" t="s">
        <v>2233</v>
      </c>
    </row>
    <row r="452" spans="1:28" ht="15.75" customHeight="1">
      <c r="A452" s="71"/>
      <c r="B452" s="66" t="str">
        <f t="shared" si="26"/>
        <v/>
      </c>
      <c r="C452" s="71"/>
      <c r="D452" s="66" t="str">
        <f t="shared" si="27"/>
        <v/>
      </c>
      <c r="E452" s="71"/>
      <c r="F452" s="66" t="str">
        <f t="shared" si="25"/>
        <v/>
      </c>
      <c r="G452" s="59"/>
      <c r="H452" s="59"/>
      <c r="I452" s="59"/>
      <c r="J452" s="77"/>
      <c r="K452" s="75"/>
      <c r="L452" s="75"/>
      <c r="M452" s="77"/>
      <c r="N452" s="77"/>
      <c r="O452" s="44"/>
      <c r="P452" s="44" t="str">
        <f t="shared" si="2"/>
        <v/>
      </c>
      <c r="Q452" s="44" t="str">
        <f t="shared" si="3"/>
        <v/>
      </c>
      <c r="R452" s="44"/>
      <c r="S452" s="44"/>
      <c r="T452" s="44"/>
      <c r="U452" s="44"/>
      <c r="V452" s="44"/>
      <c r="W452" s="44"/>
      <c r="X452" s="44"/>
      <c r="Y452" s="44"/>
      <c r="Z452" s="44"/>
      <c r="AA452" s="44" t="s">
        <v>2234</v>
      </c>
      <c r="AB452" s="44" t="s">
        <v>2235</v>
      </c>
    </row>
    <row r="453" spans="1:28" ht="15.75" customHeight="1">
      <c r="A453" s="71"/>
      <c r="B453" s="66" t="str">
        <f t="shared" si="26"/>
        <v/>
      </c>
      <c r="C453" s="71"/>
      <c r="D453" s="66" t="str">
        <f t="shared" si="27"/>
        <v/>
      </c>
      <c r="E453" s="71"/>
      <c r="F453" s="66" t="str">
        <f t="shared" si="25"/>
        <v/>
      </c>
      <c r="G453" s="59"/>
      <c r="H453" s="59"/>
      <c r="I453" s="59"/>
      <c r="J453" s="77"/>
      <c r="K453" s="75"/>
      <c r="L453" s="75"/>
      <c r="M453" s="77"/>
      <c r="N453" s="77"/>
      <c r="O453" s="44"/>
      <c r="P453" s="44" t="str">
        <f t="shared" si="2"/>
        <v/>
      </c>
      <c r="Q453" s="44" t="str">
        <f t="shared" si="3"/>
        <v/>
      </c>
      <c r="R453" s="44"/>
      <c r="S453" s="44"/>
      <c r="T453" s="44"/>
      <c r="U453" s="44"/>
      <c r="V453" s="44"/>
      <c r="W453" s="44"/>
      <c r="X453" s="44"/>
      <c r="Y453" s="44"/>
      <c r="Z453" s="44"/>
      <c r="AA453" s="44" t="s">
        <v>2236</v>
      </c>
      <c r="AB453" s="44" t="s">
        <v>2237</v>
      </c>
    </row>
    <row r="454" spans="1:28" ht="15.75" customHeight="1">
      <c r="A454" s="71"/>
      <c r="B454" s="66" t="str">
        <f t="shared" si="26"/>
        <v/>
      </c>
      <c r="C454" s="71"/>
      <c r="D454" s="66" t="str">
        <f t="shared" si="27"/>
        <v/>
      </c>
      <c r="E454" s="71"/>
      <c r="F454" s="66" t="str">
        <f t="shared" si="25"/>
        <v/>
      </c>
      <c r="G454" s="59"/>
      <c r="H454" s="59"/>
      <c r="I454" s="59"/>
      <c r="J454" s="77"/>
      <c r="K454" s="75"/>
      <c r="L454" s="75"/>
      <c r="M454" s="77"/>
      <c r="N454" s="77"/>
      <c r="O454" s="44"/>
      <c r="P454" s="44" t="str">
        <f t="shared" si="2"/>
        <v/>
      </c>
      <c r="Q454" s="44" t="str">
        <f t="shared" si="3"/>
        <v/>
      </c>
      <c r="R454" s="44"/>
      <c r="S454" s="44"/>
      <c r="T454" s="44"/>
      <c r="U454" s="44"/>
      <c r="V454" s="44"/>
      <c r="W454" s="44"/>
      <c r="X454" s="44"/>
      <c r="Y454" s="44"/>
      <c r="Z454" s="44"/>
      <c r="AA454" s="44" t="s">
        <v>2238</v>
      </c>
      <c r="AB454" s="44" t="s">
        <v>2239</v>
      </c>
    </row>
    <row r="455" spans="1:28" ht="15.75" customHeight="1">
      <c r="A455" s="71"/>
      <c r="B455" s="66" t="str">
        <f t="shared" si="26"/>
        <v/>
      </c>
      <c r="C455" s="71"/>
      <c r="D455" s="66" t="str">
        <f t="shared" si="27"/>
        <v/>
      </c>
      <c r="E455" s="71"/>
      <c r="F455" s="66" t="str">
        <f t="shared" si="25"/>
        <v/>
      </c>
      <c r="G455" s="59"/>
      <c r="H455" s="59"/>
      <c r="I455" s="59"/>
      <c r="J455" s="77"/>
      <c r="K455" s="75"/>
      <c r="L455" s="75"/>
      <c r="M455" s="77"/>
      <c r="N455" s="77"/>
      <c r="O455" s="44"/>
      <c r="P455" s="44" t="str">
        <f t="shared" si="2"/>
        <v/>
      </c>
      <c r="Q455" s="44" t="str">
        <f t="shared" si="3"/>
        <v/>
      </c>
      <c r="R455" s="44"/>
      <c r="S455" s="44"/>
      <c r="T455" s="44"/>
      <c r="U455" s="44"/>
      <c r="V455" s="44"/>
      <c r="W455" s="44"/>
      <c r="X455" s="44"/>
      <c r="Y455" s="44"/>
      <c r="Z455" s="44"/>
      <c r="AA455" s="44" t="s">
        <v>2240</v>
      </c>
      <c r="AB455" s="44" t="s">
        <v>2241</v>
      </c>
    </row>
    <row r="456" spans="1:28" ht="15.75" customHeight="1">
      <c r="A456" s="71"/>
      <c r="B456" s="66" t="str">
        <f t="shared" si="26"/>
        <v/>
      </c>
      <c r="C456" s="71"/>
      <c r="D456" s="66" t="str">
        <f t="shared" si="27"/>
        <v/>
      </c>
      <c r="E456" s="71"/>
      <c r="F456" s="66" t="str">
        <f t="shared" si="25"/>
        <v/>
      </c>
      <c r="G456" s="59"/>
      <c r="H456" s="59"/>
      <c r="I456" s="59"/>
      <c r="J456" s="77"/>
      <c r="K456" s="75"/>
      <c r="L456" s="75"/>
      <c r="M456" s="77"/>
      <c r="N456" s="77"/>
      <c r="O456" s="44"/>
      <c r="P456" s="44" t="str">
        <f t="shared" si="2"/>
        <v/>
      </c>
      <c r="Q456" s="44" t="str">
        <f t="shared" si="3"/>
        <v/>
      </c>
      <c r="R456" s="44"/>
      <c r="S456" s="44"/>
      <c r="T456" s="44"/>
      <c r="U456" s="44"/>
      <c r="V456" s="44"/>
      <c r="W456" s="44"/>
      <c r="X456" s="44"/>
      <c r="Y456" s="44"/>
      <c r="Z456" s="44"/>
      <c r="AA456" s="44" t="s">
        <v>2242</v>
      </c>
      <c r="AB456" s="44" t="s">
        <v>2243</v>
      </c>
    </row>
    <row r="457" spans="1:28" ht="15.75" customHeight="1">
      <c r="A457" s="71"/>
      <c r="B457" s="66" t="str">
        <f t="shared" si="26"/>
        <v/>
      </c>
      <c r="C457" s="71"/>
      <c r="D457" s="66" t="str">
        <f t="shared" si="27"/>
        <v/>
      </c>
      <c r="E457" s="71"/>
      <c r="F457" s="66" t="str">
        <f t="shared" si="25"/>
        <v/>
      </c>
      <c r="G457" s="59"/>
      <c r="H457" s="59"/>
      <c r="I457" s="59"/>
      <c r="J457" s="77"/>
      <c r="K457" s="75"/>
      <c r="L457" s="75"/>
      <c r="M457" s="77"/>
      <c r="N457" s="77"/>
      <c r="O457" s="44"/>
      <c r="P457" s="44" t="str">
        <f t="shared" si="2"/>
        <v/>
      </c>
      <c r="Q457" s="44" t="str">
        <f t="shared" si="3"/>
        <v/>
      </c>
      <c r="R457" s="44"/>
      <c r="S457" s="44"/>
      <c r="T457" s="44"/>
      <c r="U457" s="44"/>
      <c r="V457" s="44"/>
      <c r="W457" s="44"/>
      <c r="X457" s="44"/>
      <c r="Y457" s="44"/>
      <c r="Z457" s="44"/>
      <c r="AA457" s="44" t="s">
        <v>2244</v>
      </c>
      <c r="AB457" s="44" t="s">
        <v>2245</v>
      </c>
    </row>
    <row r="458" spans="1:28" ht="15.75" customHeight="1">
      <c r="A458" s="71"/>
      <c r="B458" s="66" t="str">
        <f t="shared" si="26"/>
        <v/>
      </c>
      <c r="C458" s="71"/>
      <c r="D458" s="66" t="str">
        <f t="shared" si="27"/>
        <v/>
      </c>
      <c r="E458" s="71"/>
      <c r="F458" s="66" t="str">
        <f t="shared" si="25"/>
        <v/>
      </c>
      <c r="G458" s="59"/>
      <c r="H458" s="59"/>
      <c r="I458" s="59"/>
      <c r="J458" s="77"/>
      <c r="K458" s="75"/>
      <c r="L458" s="75"/>
      <c r="M458" s="77"/>
      <c r="N458" s="77"/>
      <c r="O458" s="44"/>
      <c r="P458" s="44" t="str">
        <f t="shared" si="2"/>
        <v/>
      </c>
      <c r="Q458" s="44" t="str">
        <f t="shared" si="3"/>
        <v/>
      </c>
      <c r="R458" s="44"/>
      <c r="S458" s="44"/>
      <c r="T458" s="44"/>
      <c r="U458" s="44"/>
      <c r="V458" s="44"/>
      <c r="W458" s="44"/>
      <c r="X458" s="44"/>
      <c r="Y458" s="44"/>
      <c r="Z458" s="44"/>
      <c r="AA458" s="44" t="s">
        <v>2246</v>
      </c>
      <c r="AB458" s="44" t="s">
        <v>2247</v>
      </c>
    </row>
    <row r="459" spans="1:28" ht="15.75" customHeight="1">
      <c r="A459" s="71"/>
      <c r="B459" s="66" t="str">
        <f t="shared" si="26"/>
        <v/>
      </c>
      <c r="C459" s="71"/>
      <c r="D459" s="66" t="str">
        <f t="shared" si="27"/>
        <v/>
      </c>
      <c r="E459" s="71"/>
      <c r="F459" s="66" t="str">
        <f t="shared" si="25"/>
        <v/>
      </c>
      <c r="G459" s="59"/>
      <c r="H459" s="59"/>
      <c r="I459" s="59"/>
      <c r="J459" s="77"/>
      <c r="K459" s="75"/>
      <c r="L459" s="75"/>
      <c r="M459" s="77"/>
      <c r="N459" s="77"/>
      <c r="O459" s="44"/>
      <c r="P459" s="44" t="str">
        <f t="shared" si="2"/>
        <v/>
      </c>
      <c r="Q459" s="44" t="str">
        <f t="shared" si="3"/>
        <v/>
      </c>
      <c r="R459" s="44"/>
      <c r="S459" s="44"/>
      <c r="T459" s="44"/>
      <c r="U459" s="44"/>
      <c r="V459" s="44"/>
      <c r="W459" s="44"/>
      <c r="X459" s="44"/>
      <c r="Y459" s="44"/>
      <c r="Z459" s="44"/>
      <c r="AA459" s="44" t="s">
        <v>2248</v>
      </c>
      <c r="AB459" s="44" t="s">
        <v>2249</v>
      </c>
    </row>
    <row r="460" spans="1:28" ht="15.75" customHeight="1">
      <c r="A460" s="71"/>
      <c r="B460" s="66" t="str">
        <f t="shared" si="26"/>
        <v/>
      </c>
      <c r="C460" s="71"/>
      <c r="D460" s="66" t="str">
        <f t="shared" si="27"/>
        <v/>
      </c>
      <c r="E460" s="71"/>
      <c r="F460" s="66" t="str">
        <f t="shared" si="25"/>
        <v/>
      </c>
      <c r="G460" s="59"/>
      <c r="H460" s="59"/>
      <c r="I460" s="59"/>
      <c r="J460" s="77"/>
      <c r="K460" s="75"/>
      <c r="L460" s="75"/>
      <c r="M460" s="77"/>
      <c r="N460" s="77"/>
      <c r="O460" s="44"/>
      <c r="P460" s="44" t="str">
        <f t="shared" si="2"/>
        <v/>
      </c>
      <c r="Q460" s="44" t="str">
        <f t="shared" si="3"/>
        <v/>
      </c>
      <c r="R460" s="44"/>
      <c r="S460" s="44"/>
      <c r="T460" s="44"/>
      <c r="U460" s="44"/>
      <c r="V460" s="44"/>
      <c r="W460" s="44"/>
      <c r="X460" s="44"/>
      <c r="Y460" s="44"/>
      <c r="Z460" s="44"/>
      <c r="AA460" s="44" t="s">
        <v>2250</v>
      </c>
      <c r="AB460" s="44" t="s">
        <v>2251</v>
      </c>
    </row>
    <row r="461" spans="1:28" ht="15.75" customHeight="1">
      <c r="A461" s="71"/>
      <c r="B461" s="66" t="str">
        <f t="shared" si="26"/>
        <v/>
      </c>
      <c r="C461" s="71"/>
      <c r="D461" s="66" t="str">
        <f t="shared" si="27"/>
        <v/>
      </c>
      <c r="E461" s="71"/>
      <c r="F461" s="66" t="str">
        <f t="shared" si="25"/>
        <v/>
      </c>
      <c r="G461" s="59"/>
      <c r="H461" s="59"/>
      <c r="I461" s="59"/>
      <c r="J461" s="77"/>
      <c r="K461" s="75"/>
      <c r="L461" s="75"/>
      <c r="M461" s="77"/>
      <c r="N461" s="77"/>
      <c r="O461" s="44"/>
      <c r="P461" s="44" t="str">
        <f t="shared" si="2"/>
        <v/>
      </c>
      <c r="Q461" s="44" t="str">
        <f t="shared" si="3"/>
        <v/>
      </c>
      <c r="R461" s="44"/>
      <c r="S461" s="44"/>
      <c r="T461" s="44"/>
      <c r="U461" s="44"/>
      <c r="V461" s="44"/>
      <c r="W461" s="44"/>
      <c r="X461" s="44"/>
      <c r="Y461" s="44"/>
      <c r="Z461" s="44"/>
      <c r="AA461" s="44" t="s">
        <v>2252</v>
      </c>
      <c r="AB461" s="44" t="s">
        <v>2253</v>
      </c>
    </row>
    <row r="462" spans="1:28" ht="15.75" customHeight="1">
      <c r="A462" s="71"/>
      <c r="B462" s="66" t="str">
        <f t="shared" si="26"/>
        <v/>
      </c>
      <c r="C462" s="71"/>
      <c r="D462" s="66" t="str">
        <f t="shared" si="27"/>
        <v/>
      </c>
      <c r="E462" s="71"/>
      <c r="F462" s="66" t="str">
        <f t="shared" si="25"/>
        <v/>
      </c>
      <c r="G462" s="59"/>
      <c r="H462" s="59"/>
      <c r="I462" s="59"/>
      <c r="J462" s="77"/>
      <c r="K462" s="75"/>
      <c r="L462" s="75"/>
      <c r="M462" s="77"/>
      <c r="N462" s="77"/>
      <c r="O462" s="44"/>
      <c r="P462" s="44" t="str">
        <f t="shared" si="2"/>
        <v/>
      </c>
      <c r="Q462" s="44" t="str">
        <f t="shared" si="3"/>
        <v/>
      </c>
      <c r="R462" s="44"/>
      <c r="S462" s="44"/>
      <c r="T462" s="44"/>
      <c r="U462" s="44"/>
      <c r="V462" s="44"/>
      <c r="W462" s="44"/>
      <c r="X462" s="44"/>
      <c r="Y462" s="44"/>
      <c r="Z462" s="44"/>
      <c r="AA462" s="44" t="s">
        <v>2254</v>
      </c>
      <c r="AB462" s="44" t="s">
        <v>2255</v>
      </c>
    </row>
    <row r="463" spans="1:28" ht="15.75" customHeight="1">
      <c r="A463" s="71"/>
      <c r="B463" s="66" t="str">
        <f t="shared" si="26"/>
        <v/>
      </c>
      <c r="C463" s="71"/>
      <c r="D463" s="66" t="str">
        <f t="shared" si="27"/>
        <v/>
      </c>
      <c r="E463" s="71"/>
      <c r="F463" s="66" t="str">
        <f t="shared" si="25"/>
        <v/>
      </c>
      <c r="G463" s="59"/>
      <c r="H463" s="59"/>
      <c r="I463" s="59"/>
      <c r="J463" s="77"/>
      <c r="K463" s="75"/>
      <c r="L463" s="75"/>
      <c r="M463" s="77"/>
      <c r="N463" s="77"/>
      <c r="O463" s="44"/>
      <c r="P463" s="44" t="str">
        <f t="shared" si="2"/>
        <v/>
      </c>
      <c r="Q463" s="44" t="str">
        <f t="shared" si="3"/>
        <v/>
      </c>
      <c r="R463" s="44"/>
      <c r="S463" s="44"/>
      <c r="T463" s="44"/>
      <c r="U463" s="44"/>
      <c r="V463" s="44"/>
      <c r="W463" s="44"/>
      <c r="X463" s="44"/>
      <c r="Y463" s="44"/>
      <c r="Z463" s="44"/>
      <c r="AA463" s="44" t="s">
        <v>2256</v>
      </c>
      <c r="AB463" s="44" t="s">
        <v>2257</v>
      </c>
    </row>
    <row r="464" spans="1:28" ht="15.75" customHeight="1">
      <c r="A464" s="71"/>
      <c r="B464" s="66" t="str">
        <f t="shared" si="26"/>
        <v/>
      </c>
      <c r="C464" s="71"/>
      <c r="D464" s="66" t="str">
        <f t="shared" si="27"/>
        <v/>
      </c>
      <c r="E464" s="71"/>
      <c r="F464" s="66" t="str">
        <f t="shared" si="25"/>
        <v/>
      </c>
      <c r="G464" s="59"/>
      <c r="H464" s="59"/>
      <c r="I464" s="59"/>
      <c r="J464" s="77"/>
      <c r="K464" s="75"/>
      <c r="L464" s="75"/>
      <c r="M464" s="77"/>
      <c r="N464" s="77"/>
      <c r="O464" s="44"/>
      <c r="P464" s="44" t="str">
        <f t="shared" si="2"/>
        <v/>
      </c>
      <c r="Q464" s="44" t="str">
        <f t="shared" si="3"/>
        <v/>
      </c>
      <c r="R464" s="44"/>
      <c r="S464" s="44"/>
      <c r="T464" s="44"/>
      <c r="U464" s="44"/>
      <c r="V464" s="44"/>
      <c r="W464" s="44"/>
      <c r="X464" s="44"/>
      <c r="Y464" s="44"/>
      <c r="Z464" s="44"/>
      <c r="AA464" s="44" t="s">
        <v>2258</v>
      </c>
      <c r="AB464" s="44" t="s">
        <v>2259</v>
      </c>
    </row>
    <row r="465" spans="1:28" ht="15.75" customHeight="1">
      <c r="A465" s="71"/>
      <c r="B465" s="66" t="str">
        <f t="shared" si="26"/>
        <v/>
      </c>
      <c r="C465" s="71"/>
      <c r="D465" s="66" t="str">
        <f t="shared" si="27"/>
        <v/>
      </c>
      <c r="E465" s="71"/>
      <c r="F465" s="66" t="str">
        <f t="shared" si="25"/>
        <v/>
      </c>
      <c r="G465" s="59"/>
      <c r="H465" s="59"/>
      <c r="I465" s="59"/>
      <c r="J465" s="77"/>
      <c r="K465" s="75"/>
      <c r="L465" s="75"/>
      <c r="M465" s="77"/>
      <c r="N465" s="77"/>
      <c r="O465" s="44"/>
      <c r="P465" s="44" t="str">
        <f t="shared" si="2"/>
        <v/>
      </c>
      <c r="Q465" s="44" t="str">
        <f t="shared" si="3"/>
        <v/>
      </c>
      <c r="R465" s="44"/>
      <c r="S465" s="44"/>
      <c r="T465" s="44"/>
      <c r="U465" s="44"/>
      <c r="V465" s="44"/>
      <c r="W465" s="44"/>
      <c r="X465" s="44"/>
      <c r="Y465" s="44"/>
      <c r="Z465" s="44"/>
      <c r="AA465" s="44" t="s">
        <v>2260</v>
      </c>
      <c r="AB465" s="44" t="s">
        <v>2261</v>
      </c>
    </row>
    <row r="466" spans="1:28" ht="15.75" customHeight="1">
      <c r="A466" s="71"/>
      <c r="B466" s="66" t="str">
        <f t="shared" si="26"/>
        <v/>
      </c>
      <c r="C466" s="71"/>
      <c r="D466" s="66" t="str">
        <f t="shared" si="27"/>
        <v/>
      </c>
      <c r="E466" s="71"/>
      <c r="F466" s="66" t="str">
        <f t="shared" si="25"/>
        <v/>
      </c>
      <c r="G466" s="59"/>
      <c r="H466" s="59"/>
      <c r="I466" s="59"/>
      <c r="J466" s="77"/>
      <c r="K466" s="75"/>
      <c r="L466" s="75"/>
      <c r="M466" s="77"/>
      <c r="N466" s="77"/>
      <c r="O466" s="44"/>
      <c r="P466" s="44" t="str">
        <f t="shared" si="2"/>
        <v/>
      </c>
      <c r="Q466" s="44" t="str">
        <f t="shared" si="3"/>
        <v/>
      </c>
      <c r="R466" s="44"/>
      <c r="S466" s="44"/>
      <c r="T466" s="44"/>
      <c r="U466" s="44"/>
      <c r="V466" s="44"/>
      <c r="W466" s="44"/>
      <c r="X466" s="44"/>
      <c r="Y466" s="44"/>
      <c r="Z466" s="44"/>
      <c r="AA466" s="44" t="s">
        <v>2262</v>
      </c>
      <c r="AB466" s="44" t="s">
        <v>2263</v>
      </c>
    </row>
    <row r="467" spans="1:28" ht="15.75" customHeight="1">
      <c r="A467" s="71"/>
      <c r="B467" s="66" t="str">
        <f t="shared" si="26"/>
        <v/>
      </c>
      <c r="C467" s="71"/>
      <c r="D467" s="66" t="str">
        <f t="shared" si="27"/>
        <v/>
      </c>
      <c r="E467" s="71"/>
      <c r="F467" s="66" t="str">
        <f t="shared" si="25"/>
        <v/>
      </c>
      <c r="G467" s="59"/>
      <c r="H467" s="59"/>
      <c r="I467" s="59"/>
      <c r="J467" s="77"/>
      <c r="K467" s="75"/>
      <c r="L467" s="75"/>
      <c r="M467" s="77"/>
      <c r="N467" s="77"/>
      <c r="O467" s="44"/>
      <c r="P467" s="44" t="str">
        <f t="shared" si="2"/>
        <v/>
      </c>
      <c r="Q467" s="44" t="str">
        <f t="shared" si="3"/>
        <v/>
      </c>
      <c r="R467" s="44"/>
      <c r="S467" s="44"/>
      <c r="T467" s="44"/>
      <c r="U467" s="44"/>
      <c r="V467" s="44"/>
      <c r="W467" s="44"/>
      <c r="X467" s="44"/>
      <c r="Y467" s="44"/>
      <c r="Z467" s="44"/>
      <c r="AA467" s="44" t="s">
        <v>2264</v>
      </c>
      <c r="AB467" s="44" t="s">
        <v>2265</v>
      </c>
    </row>
    <row r="468" spans="1:28" ht="15.75" customHeight="1">
      <c r="A468" s="71"/>
      <c r="B468" s="66" t="str">
        <f t="shared" si="26"/>
        <v/>
      </c>
      <c r="C468" s="71"/>
      <c r="D468" s="66" t="str">
        <f t="shared" si="27"/>
        <v/>
      </c>
      <c r="E468" s="71"/>
      <c r="F468" s="66" t="str">
        <f t="shared" si="25"/>
        <v/>
      </c>
      <c r="G468" s="59"/>
      <c r="H468" s="59"/>
      <c r="I468" s="59"/>
      <c r="J468" s="77"/>
      <c r="K468" s="75"/>
      <c r="L468" s="75"/>
      <c r="M468" s="77"/>
      <c r="N468" s="77"/>
      <c r="O468" s="44"/>
      <c r="P468" s="44" t="str">
        <f t="shared" si="2"/>
        <v/>
      </c>
      <c r="Q468" s="44" t="str">
        <f t="shared" si="3"/>
        <v/>
      </c>
      <c r="R468" s="44"/>
      <c r="S468" s="44"/>
      <c r="T468" s="44"/>
      <c r="U468" s="44"/>
      <c r="V468" s="44"/>
      <c r="W468" s="44"/>
      <c r="X468" s="44"/>
      <c r="Y468" s="44"/>
      <c r="Z468" s="44"/>
      <c r="AA468" s="44" t="s">
        <v>2266</v>
      </c>
      <c r="AB468" s="44" t="s">
        <v>2267</v>
      </c>
    </row>
    <row r="469" spans="1:28" ht="15.75" customHeight="1">
      <c r="A469" s="71"/>
      <c r="B469" s="66" t="str">
        <f t="shared" si="26"/>
        <v/>
      </c>
      <c r="C469" s="71"/>
      <c r="D469" s="66" t="str">
        <f t="shared" si="27"/>
        <v/>
      </c>
      <c r="E469" s="71"/>
      <c r="F469" s="66" t="str">
        <f t="shared" si="25"/>
        <v/>
      </c>
      <c r="G469" s="59"/>
      <c r="H469" s="59"/>
      <c r="I469" s="59"/>
      <c r="J469" s="77"/>
      <c r="K469" s="75"/>
      <c r="L469" s="75"/>
      <c r="M469" s="77"/>
      <c r="N469" s="77"/>
      <c r="O469" s="44"/>
      <c r="P469" s="44" t="str">
        <f t="shared" si="2"/>
        <v/>
      </c>
      <c r="Q469" s="44" t="str">
        <f t="shared" si="3"/>
        <v/>
      </c>
      <c r="R469" s="44"/>
      <c r="S469" s="44"/>
      <c r="T469" s="44"/>
      <c r="U469" s="44"/>
      <c r="V469" s="44"/>
      <c r="W469" s="44"/>
      <c r="X469" s="44"/>
      <c r="Y469" s="44"/>
      <c r="Z469" s="44"/>
      <c r="AA469" s="44" t="s">
        <v>2268</v>
      </c>
      <c r="AB469" s="44" t="s">
        <v>2269</v>
      </c>
    </row>
    <row r="470" spans="1:28" ht="15.75" customHeight="1">
      <c r="A470" s="71"/>
      <c r="B470" s="66" t="str">
        <f t="shared" si="26"/>
        <v/>
      </c>
      <c r="C470" s="71"/>
      <c r="D470" s="66" t="str">
        <f t="shared" si="27"/>
        <v/>
      </c>
      <c r="E470" s="71"/>
      <c r="F470" s="66" t="str">
        <f t="shared" si="25"/>
        <v/>
      </c>
      <c r="G470" s="59"/>
      <c r="H470" s="59"/>
      <c r="I470" s="59"/>
      <c r="J470" s="77"/>
      <c r="K470" s="75"/>
      <c r="L470" s="75"/>
      <c r="M470" s="77"/>
      <c r="N470" s="77"/>
      <c r="O470" s="44"/>
      <c r="P470" s="44" t="str">
        <f t="shared" si="2"/>
        <v/>
      </c>
      <c r="Q470" s="44" t="str">
        <f t="shared" si="3"/>
        <v/>
      </c>
      <c r="R470" s="44"/>
      <c r="S470" s="44"/>
      <c r="T470" s="44"/>
      <c r="U470" s="44"/>
      <c r="V470" s="44"/>
      <c r="W470" s="44"/>
      <c r="X470" s="44"/>
      <c r="Y470" s="44"/>
      <c r="Z470" s="44"/>
      <c r="AA470" s="44" t="s">
        <v>2270</v>
      </c>
      <c r="AB470" s="44" t="s">
        <v>2271</v>
      </c>
    </row>
    <row r="471" spans="1:28" ht="15.75" customHeight="1">
      <c r="A471" s="71"/>
      <c r="B471" s="66" t="str">
        <f t="shared" si="26"/>
        <v/>
      </c>
      <c r="C471" s="71"/>
      <c r="D471" s="66" t="str">
        <f t="shared" si="27"/>
        <v/>
      </c>
      <c r="E471" s="71"/>
      <c r="F471" s="66" t="str">
        <f t="shared" si="25"/>
        <v/>
      </c>
      <c r="G471" s="59"/>
      <c r="H471" s="59"/>
      <c r="I471" s="59"/>
      <c r="J471" s="77"/>
      <c r="K471" s="75"/>
      <c r="L471" s="75"/>
      <c r="M471" s="77"/>
      <c r="N471" s="77"/>
      <c r="O471" s="44"/>
      <c r="P471" s="44" t="str">
        <f t="shared" si="2"/>
        <v/>
      </c>
      <c r="Q471" s="44" t="str">
        <f t="shared" si="3"/>
        <v/>
      </c>
      <c r="R471" s="44"/>
      <c r="S471" s="44"/>
      <c r="T471" s="44"/>
      <c r="U471" s="44"/>
      <c r="V471" s="44"/>
      <c r="W471" s="44"/>
      <c r="X471" s="44"/>
      <c r="Y471" s="44"/>
      <c r="Z471" s="44"/>
      <c r="AA471" s="44" t="s">
        <v>2272</v>
      </c>
      <c r="AB471" s="44" t="s">
        <v>2273</v>
      </c>
    </row>
    <row r="472" spans="1:28" ht="15.75" customHeight="1">
      <c r="A472" s="71"/>
      <c r="B472" s="66" t="str">
        <f t="shared" si="26"/>
        <v/>
      </c>
      <c r="C472" s="71"/>
      <c r="D472" s="66" t="str">
        <f t="shared" si="27"/>
        <v/>
      </c>
      <c r="E472" s="71"/>
      <c r="F472" s="66" t="str">
        <f t="shared" si="25"/>
        <v/>
      </c>
      <c r="G472" s="59"/>
      <c r="H472" s="59"/>
      <c r="I472" s="59"/>
      <c r="J472" s="77"/>
      <c r="K472" s="75"/>
      <c r="L472" s="75"/>
      <c r="M472" s="77"/>
      <c r="N472" s="77"/>
      <c r="O472" s="44"/>
      <c r="P472" s="44" t="str">
        <f t="shared" si="2"/>
        <v/>
      </c>
      <c r="Q472" s="44" t="str">
        <f t="shared" si="3"/>
        <v/>
      </c>
      <c r="R472" s="44"/>
      <c r="S472" s="44"/>
      <c r="T472" s="44"/>
      <c r="U472" s="44"/>
      <c r="V472" s="44"/>
      <c r="W472" s="44"/>
      <c r="X472" s="44"/>
      <c r="Y472" s="44"/>
      <c r="Z472" s="44"/>
      <c r="AA472" s="44" t="s">
        <v>2274</v>
      </c>
      <c r="AB472" s="44" t="s">
        <v>2275</v>
      </c>
    </row>
    <row r="473" spans="1:28" ht="15.75" customHeight="1">
      <c r="A473" s="71"/>
      <c r="B473" s="66" t="str">
        <f t="shared" si="26"/>
        <v/>
      </c>
      <c r="C473" s="71"/>
      <c r="D473" s="66" t="str">
        <f t="shared" si="27"/>
        <v/>
      </c>
      <c r="E473" s="71"/>
      <c r="F473" s="66" t="str">
        <f t="shared" si="25"/>
        <v/>
      </c>
      <c r="G473" s="59"/>
      <c r="H473" s="59"/>
      <c r="I473" s="59"/>
      <c r="J473" s="77"/>
      <c r="K473" s="75"/>
      <c r="L473" s="75"/>
      <c r="M473" s="77"/>
      <c r="N473" s="77"/>
      <c r="O473" s="44"/>
      <c r="P473" s="44" t="str">
        <f t="shared" si="2"/>
        <v/>
      </c>
      <c r="Q473" s="44" t="str">
        <f t="shared" si="3"/>
        <v/>
      </c>
      <c r="R473" s="44"/>
      <c r="S473" s="44"/>
      <c r="T473" s="44"/>
      <c r="U473" s="44"/>
      <c r="V473" s="44"/>
      <c r="W473" s="44"/>
      <c r="X473" s="44"/>
      <c r="Y473" s="44"/>
      <c r="Z473" s="44"/>
      <c r="AA473" s="44" t="s">
        <v>2276</v>
      </c>
      <c r="AB473" s="44" t="s">
        <v>2277</v>
      </c>
    </row>
    <row r="474" spans="1:28" ht="15.75" customHeight="1">
      <c r="A474" s="71"/>
      <c r="B474" s="66" t="str">
        <f t="shared" si="26"/>
        <v/>
      </c>
      <c r="C474" s="71"/>
      <c r="D474" s="66" t="str">
        <f t="shared" si="27"/>
        <v/>
      </c>
      <c r="E474" s="71"/>
      <c r="F474" s="66" t="str">
        <f t="shared" si="25"/>
        <v/>
      </c>
      <c r="G474" s="59"/>
      <c r="H474" s="59"/>
      <c r="I474" s="59"/>
      <c r="J474" s="77"/>
      <c r="K474" s="75"/>
      <c r="L474" s="75"/>
      <c r="M474" s="77"/>
      <c r="N474" s="77"/>
      <c r="O474" s="44"/>
      <c r="P474" s="44" t="str">
        <f t="shared" si="2"/>
        <v/>
      </c>
      <c r="Q474" s="44" t="str">
        <f t="shared" si="3"/>
        <v/>
      </c>
      <c r="R474" s="44"/>
      <c r="S474" s="44"/>
      <c r="T474" s="44"/>
      <c r="U474" s="44"/>
      <c r="V474" s="44"/>
      <c r="W474" s="44"/>
      <c r="X474" s="44"/>
      <c r="Y474" s="44"/>
      <c r="Z474" s="44"/>
      <c r="AA474" s="44" t="s">
        <v>2278</v>
      </c>
      <c r="AB474" s="44" t="s">
        <v>2279</v>
      </c>
    </row>
    <row r="475" spans="1:28" ht="15.75" customHeight="1">
      <c r="A475" s="71"/>
      <c r="B475" s="66" t="str">
        <f t="shared" si="26"/>
        <v/>
      </c>
      <c r="C475" s="71"/>
      <c r="D475" s="66" t="str">
        <f t="shared" si="27"/>
        <v/>
      </c>
      <c r="E475" s="71"/>
      <c r="F475" s="66" t="str">
        <f t="shared" si="25"/>
        <v/>
      </c>
      <c r="G475" s="59"/>
      <c r="H475" s="59"/>
      <c r="I475" s="59"/>
      <c r="J475" s="77"/>
      <c r="K475" s="75"/>
      <c r="L475" s="75"/>
      <c r="M475" s="77"/>
      <c r="N475" s="77"/>
      <c r="O475" s="44"/>
      <c r="P475" s="44" t="str">
        <f t="shared" si="2"/>
        <v/>
      </c>
      <c r="Q475" s="44" t="str">
        <f t="shared" si="3"/>
        <v/>
      </c>
      <c r="R475" s="44"/>
      <c r="S475" s="44"/>
      <c r="T475" s="44"/>
      <c r="U475" s="44"/>
      <c r="V475" s="44"/>
      <c r="W475" s="44"/>
      <c r="X475" s="44"/>
      <c r="Y475" s="44"/>
      <c r="Z475" s="44"/>
      <c r="AA475" s="44" t="s">
        <v>2280</v>
      </c>
      <c r="AB475" s="44" t="s">
        <v>2281</v>
      </c>
    </row>
    <row r="476" spans="1:28" ht="15.75" customHeight="1">
      <c r="A476" s="71"/>
      <c r="B476" s="66" t="str">
        <f t="shared" si="26"/>
        <v/>
      </c>
      <c r="C476" s="71"/>
      <c r="D476" s="66" t="str">
        <f t="shared" si="27"/>
        <v/>
      </c>
      <c r="E476" s="71"/>
      <c r="F476" s="66" t="str">
        <f t="shared" si="25"/>
        <v/>
      </c>
      <c r="G476" s="59"/>
      <c r="H476" s="59"/>
      <c r="I476" s="59"/>
      <c r="J476" s="77"/>
      <c r="K476" s="75"/>
      <c r="L476" s="75"/>
      <c r="M476" s="77"/>
      <c r="N476" s="77"/>
      <c r="O476" s="44"/>
      <c r="P476" s="44" t="str">
        <f t="shared" si="2"/>
        <v/>
      </c>
      <c r="Q476" s="44" t="str">
        <f t="shared" si="3"/>
        <v/>
      </c>
      <c r="R476" s="44"/>
      <c r="S476" s="44"/>
      <c r="T476" s="44"/>
      <c r="U476" s="44"/>
      <c r="V476" s="44"/>
      <c r="W476" s="44"/>
      <c r="X476" s="44"/>
      <c r="Y476" s="44"/>
      <c r="Z476" s="44"/>
      <c r="AA476" s="44" t="s">
        <v>2282</v>
      </c>
      <c r="AB476" s="44" t="s">
        <v>2283</v>
      </c>
    </row>
    <row r="477" spans="1:28" ht="15.75" customHeight="1">
      <c r="A477" s="71"/>
      <c r="B477" s="66" t="str">
        <f t="shared" si="26"/>
        <v/>
      </c>
      <c r="C477" s="71"/>
      <c r="D477" s="66" t="str">
        <f t="shared" si="27"/>
        <v/>
      </c>
      <c r="E477" s="71"/>
      <c r="F477" s="66" t="str">
        <f t="shared" si="25"/>
        <v/>
      </c>
      <c r="G477" s="59"/>
      <c r="H477" s="59"/>
      <c r="I477" s="59"/>
      <c r="J477" s="77"/>
      <c r="K477" s="75"/>
      <c r="L477" s="75"/>
      <c r="M477" s="77"/>
      <c r="N477" s="77"/>
      <c r="O477" s="44"/>
      <c r="P477" s="44" t="str">
        <f t="shared" si="2"/>
        <v/>
      </c>
      <c r="Q477" s="44" t="str">
        <f t="shared" si="3"/>
        <v/>
      </c>
      <c r="R477" s="44"/>
      <c r="S477" s="44"/>
      <c r="T477" s="44"/>
      <c r="U477" s="44"/>
      <c r="V477" s="44"/>
      <c r="W477" s="44"/>
      <c r="X477" s="44"/>
      <c r="Y477" s="44"/>
      <c r="Z477" s="44"/>
      <c r="AA477" s="44" t="s">
        <v>2284</v>
      </c>
      <c r="AB477" s="44" t="s">
        <v>2285</v>
      </c>
    </row>
    <row r="478" spans="1:28" ht="15.75" customHeight="1">
      <c r="A478" s="71"/>
      <c r="B478" s="66" t="str">
        <f t="shared" si="26"/>
        <v/>
      </c>
      <c r="C478" s="71"/>
      <c r="D478" s="66" t="str">
        <f t="shared" si="27"/>
        <v/>
      </c>
      <c r="E478" s="71"/>
      <c r="F478" s="66" t="str">
        <f t="shared" si="25"/>
        <v/>
      </c>
      <c r="G478" s="59"/>
      <c r="H478" s="59"/>
      <c r="I478" s="59"/>
      <c r="J478" s="77"/>
      <c r="K478" s="75"/>
      <c r="L478" s="75"/>
      <c r="M478" s="77"/>
      <c r="N478" s="77"/>
      <c r="O478" s="44"/>
      <c r="P478" s="44" t="str">
        <f t="shared" si="2"/>
        <v/>
      </c>
      <c r="Q478" s="44" t="str">
        <f t="shared" si="3"/>
        <v/>
      </c>
      <c r="R478" s="44"/>
      <c r="S478" s="44"/>
      <c r="T478" s="44"/>
      <c r="U478" s="44"/>
      <c r="V478" s="44"/>
      <c r="W478" s="44"/>
      <c r="X478" s="44"/>
      <c r="Y478" s="44"/>
      <c r="Z478" s="44"/>
      <c r="AA478" s="44" t="s">
        <v>2286</v>
      </c>
      <c r="AB478" s="44" t="s">
        <v>2287</v>
      </c>
    </row>
    <row r="479" spans="1:28" ht="15.75" customHeight="1">
      <c r="A479" s="71"/>
      <c r="B479" s="66" t="str">
        <f t="shared" si="26"/>
        <v/>
      </c>
      <c r="C479" s="71"/>
      <c r="D479" s="66" t="str">
        <f t="shared" si="27"/>
        <v/>
      </c>
      <c r="E479" s="71"/>
      <c r="F479" s="66" t="str">
        <f t="shared" si="25"/>
        <v/>
      </c>
      <c r="G479" s="59"/>
      <c r="H479" s="59"/>
      <c r="I479" s="59"/>
      <c r="J479" s="77"/>
      <c r="K479" s="75"/>
      <c r="L479" s="75"/>
      <c r="M479" s="77"/>
      <c r="N479" s="77"/>
      <c r="O479" s="44"/>
      <c r="P479" s="44" t="str">
        <f t="shared" si="2"/>
        <v/>
      </c>
      <c r="Q479" s="44" t="str">
        <f t="shared" si="3"/>
        <v/>
      </c>
      <c r="R479" s="44"/>
      <c r="S479" s="44"/>
      <c r="T479" s="44"/>
      <c r="U479" s="44"/>
      <c r="V479" s="44"/>
      <c r="W479" s="44"/>
      <c r="X479" s="44"/>
      <c r="Y479" s="44"/>
      <c r="Z479" s="44"/>
      <c r="AA479" s="44" t="s">
        <v>2288</v>
      </c>
      <c r="AB479" s="44" t="s">
        <v>2289</v>
      </c>
    </row>
    <row r="480" spans="1:28" ht="15.75" customHeight="1">
      <c r="A480" s="71"/>
      <c r="B480" s="66" t="str">
        <f t="shared" si="26"/>
        <v/>
      </c>
      <c r="C480" s="71"/>
      <c r="D480" s="66" t="str">
        <f t="shared" si="27"/>
        <v/>
      </c>
      <c r="E480" s="71"/>
      <c r="F480" s="66" t="str">
        <f t="shared" si="25"/>
        <v/>
      </c>
      <c r="G480" s="59"/>
      <c r="H480" s="59"/>
      <c r="I480" s="59"/>
      <c r="J480" s="77"/>
      <c r="K480" s="75"/>
      <c r="L480" s="75"/>
      <c r="M480" s="77"/>
      <c r="N480" s="77"/>
      <c r="O480" s="44"/>
      <c r="P480" s="44" t="str">
        <f t="shared" si="2"/>
        <v/>
      </c>
      <c r="Q480" s="44" t="str">
        <f t="shared" si="3"/>
        <v/>
      </c>
      <c r="R480" s="44"/>
      <c r="S480" s="44"/>
      <c r="T480" s="44"/>
      <c r="U480" s="44"/>
      <c r="V480" s="44"/>
      <c r="W480" s="44"/>
      <c r="X480" s="44"/>
      <c r="Y480" s="44"/>
      <c r="Z480" s="44"/>
      <c r="AA480" s="44" t="s">
        <v>2290</v>
      </c>
      <c r="AB480" s="44" t="s">
        <v>2291</v>
      </c>
    </row>
    <row r="481" spans="1:28" ht="15.75" customHeight="1">
      <c r="A481" s="71"/>
      <c r="B481" s="66" t="str">
        <f t="shared" si="26"/>
        <v/>
      </c>
      <c r="C481" s="71"/>
      <c r="D481" s="66" t="str">
        <f t="shared" si="27"/>
        <v/>
      </c>
      <c r="E481" s="71"/>
      <c r="F481" s="66" t="str">
        <f t="shared" si="25"/>
        <v/>
      </c>
      <c r="G481" s="59"/>
      <c r="H481" s="59"/>
      <c r="I481" s="59"/>
      <c r="J481" s="77"/>
      <c r="K481" s="75"/>
      <c r="L481" s="75"/>
      <c r="M481" s="77"/>
      <c r="N481" s="77"/>
      <c r="O481" s="44"/>
      <c r="P481" s="44" t="str">
        <f t="shared" si="2"/>
        <v/>
      </c>
      <c r="Q481" s="44" t="str">
        <f t="shared" si="3"/>
        <v/>
      </c>
      <c r="R481" s="44"/>
      <c r="S481" s="44"/>
      <c r="T481" s="44"/>
      <c r="U481" s="44"/>
      <c r="V481" s="44"/>
      <c r="W481" s="44"/>
      <c r="X481" s="44"/>
      <c r="Y481" s="44"/>
      <c r="Z481" s="44"/>
      <c r="AA481" s="44" t="s">
        <v>2292</v>
      </c>
      <c r="AB481" s="44" t="s">
        <v>2293</v>
      </c>
    </row>
    <row r="482" spans="1:28" ht="15.75" customHeight="1">
      <c r="A482" s="71"/>
      <c r="B482" s="66" t="str">
        <f t="shared" si="26"/>
        <v/>
      </c>
      <c r="C482" s="71"/>
      <c r="D482" s="66" t="str">
        <f t="shared" si="27"/>
        <v/>
      </c>
      <c r="E482" s="71"/>
      <c r="F482" s="66" t="str">
        <f t="shared" si="25"/>
        <v/>
      </c>
      <c r="G482" s="59"/>
      <c r="H482" s="59"/>
      <c r="I482" s="59"/>
      <c r="J482" s="77"/>
      <c r="K482" s="75"/>
      <c r="L482" s="75"/>
      <c r="M482" s="77"/>
      <c r="N482" s="77"/>
      <c r="O482" s="44"/>
      <c r="P482" s="44" t="str">
        <f t="shared" si="2"/>
        <v/>
      </c>
      <c r="Q482" s="44" t="str">
        <f t="shared" si="3"/>
        <v/>
      </c>
      <c r="R482" s="44"/>
      <c r="S482" s="44"/>
      <c r="T482" s="44"/>
      <c r="U482" s="44"/>
      <c r="V482" s="44"/>
      <c r="W482" s="44"/>
      <c r="X482" s="44"/>
      <c r="Y482" s="44"/>
      <c r="Z482" s="44"/>
      <c r="AA482" s="44" t="s">
        <v>2294</v>
      </c>
      <c r="AB482" s="44" t="s">
        <v>2295</v>
      </c>
    </row>
    <row r="483" spans="1:28" ht="15.75" customHeight="1">
      <c r="A483" s="71"/>
      <c r="B483" s="66" t="str">
        <f t="shared" si="26"/>
        <v/>
      </c>
      <c r="C483" s="71"/>
      <c r="D483" s="66" t="str">
        <f t="shared" si="27"/>
        <v/>
      </c>
      <c r="E483" s="71"/>
      <c r="F483" s="66" t="str">
        <f t="shared" si="25"/>
        <v/>
      </c>
      <c r="G483" s="59"/>
      <c r="H483" s="59"/>
      <c r="I483" s="59"/>
      <c r="J483" s="77"/>
      <c r="K483" s="75"/>
      <c r="L483" s="75"/>
      <c r="M483" s="77"/>
      <c r="N483" s="77"/>
      <c r="O483" s="44"/>
      <c r="P483" s="44" t="str">
        <f t="shared" si="2"/>
        <v/>
      </c>
      <c r="Q483" s="44" t="str">
        <f t="shared" si="3"/>
        <v/>
      </c>
      <c r="R483" s="44"/>
      <c r="S483" s="44"/>
      <c r="T483" s="44"/>
      <c r="U483" s="44"/>
      <c r="V483" s="44"/>
      <c r="W483" s="44"/>
      <c r="X483" s="44"/>
      <c r="Y483" s="44"/>
      <c r="Z483" s="44"/>
      <c r="AA483" s="44" t="s">
        <v>2296</v>
      </c>
      <c r="AB483" s="44" t="s">
        <v>2297</v>
      </c>
    </row>
    <row r="484" spans="1:28" ht="15.75" customHeight="1">
      <c r="A484" s="71"/>
      <c r="B484" s="66" t="str">
        <f t="shared" si="26"/>
        <v/>
      </c>
      <c r="C484" s="71"/>
      <c r="D484" s="66" t="str">
        <f t="shared" si="27"/>
        <v/>
      </c>
      <c r="E484" s="71"/>
      <c r="F484" s="66" t="str">
        <f t="shared" si="25"/>
        <v/>
      </c>
      <c r="G484" s="59"/>
      <c r="H484" s="59"/>
      <c r="I484" s="59"/>
      <c r="J484" s="77"/>
      <c r="K484" s="75"/>
      <c r="L484" s="75"/>
      <c r="M484" s="77"/>
      <c r="N484" s="77"/>
      <c r="O484" s="44"/>
      <c r="P484" s="44" t="str">
        <f t="shared" si="2"/>
        <v/>
      </c>
      <c r="Q484" s="44" t="str">
        <f t="shared" si="3"/>
        <v/>
      </c>
      <c r="R484" s="44"/>
      <c r="S484" s="44"/>
      <c r="T484" s="44"/>
      <c r="U484" s="44"/>
      <c r="V484" s="44"/>
      <c r="W484" s="44"/>
      <c r="X484" s="44"/>
      <c r="Y484" s="44"/>
      <c r="Z484" s="44"/>
      <c r="AA484" s="44" t="s">
        <v>2298</v>
      </c>
      <c r="AB484" s="44" t="s">
        <v>2299</v>
      </c>
    </row>
    <row r="485" spans="1:28" ht="15.75" customHeight="1">
      <c r="A485" s="71"/>
      <c r="B485" s="66" t="str">
        <f t="shared" si="26"/>
        <v/>
      </c>
      <c r="C485" s="71"/>
      <c r="D485" s="66" t="str">
        <f t="shared" si="27"/>
        <v/>
      </c>
      <c r="E485" s="71"/>
      <c r="F485" s="66" t="str">
        <f t="shared" si="25"/>
        <v/>
      </c>
      <c r="G485" s="59"/>
      <c r="H485" s="59"/>
      <c r="I485" s="59"/>
      <c r="J485" s="77"/>
      <c r="K485" s="75"/>
      <c r="L485" s="75"/>
      <c r="M485" s="77"/>
      <c r="N485" s="77"/>
      <c r="O485" s="44"/>
      <c r="P485" s="44" t="str">
        <f t="shared" si="2"/>
        <v/>
      </c>
      <c r="Q485" s="44" t="str">
        <f t="shared" si="3"/>
        <v/>
      </c>
      <c r="R485" s="44"/>
      <c r="S485" s="44"/>
      <c r="T485" s="44"/>
      <c r="U485" s="44"/>
      <c r="V485" s="44"/>
      <c r="W485" s="44"/>
      <c r="X485" s="44"/>
      <c r="Y485" s="44"/>
      <c r="Z485" s="44"/>
      <c r="AA485" s="44" t="s">
        <v>2300</v>
      </c>
      <c r="AB485" s="44" t="s">
        <v>2301</v>
      </c>
    </row>
    <row r="486" spans="1:28" ht="15.75" customHeight="1">
      <c r="A486" s="71"/>
      <c r="B486" s="66" t="str">
        <f t="shared" si="26"/>
        <v/>
      </c>
      <c r="C486" s="71"/>
      <c r="D486" s="66" t="str">
        <f t="shared" si="27"/>
        <v/>
      </c>
      <c r="E486" s="71"/>
      <c r="F486" s="66" t="str">
        <f t="shared" si="25"/>
        <v/>
      </c>
      <c r="G486" s="59"/>
      <c r="H486" s="59"/>
      <c r="I486" s="59"/>
      <c r="J486" s="77"/>
      <c r="K486" s="75"/>
      <c r="L486" s="75"/>
      <c r="M486" s="77"/>
      <c r="N486" s="77"/>
      <c r="O486" s="44"/>
      <c r="P486" s="44" t="str">
        <f t="shared" si="2"/>
        <v/>
      </c>
      <c r="Q486" s="44" t="str">
        <f t="shared" si="3"/>
        <v/>
      </c>
      <c r="R486" s="44"/>
      <c r="S486" s="44"/>
      <c r="T486" s="44"/>
      <c r="U486" s="44"/>
      <c r="V486" s="44"/>
      <c r="W486" s="44"/>
      <c r="X486" s="44"/>
      <c r="Y486" s="44"/>
      <c r="Z486" s="44"/>
      <c r="AA486" s="44" t="s">
        <v>2302</v>
      </c>
      <c r="AB486" s="44" t="s">
        <v>2303</v>
      </c>
    </row>
    <row r="487" spans="1:28" ht="15.75" customHeight="1">
      <c r="A487" s="71"/>
      <c r="B487" s="66" t="str">
        <f t="shared" si="26"/>
        <v/>
      </c>
      <c r="C487" s="71"/>
      <c r="D487" s="66" t="str">
        <f t="shared" si="27"/>
        <v/>
      </c>
      <c r="E487" s="71"/>
      <c r="F487" s="66" t="str">
        <f t="shared" si="25"/>
        <v/>
      </c>
      <c r="G487" s="59"/>
      <c r="H487" s="59"/>
      <c r="I487" s="59"/>
      <c r="J487" s="77"/>
      <c r="K487" s="75"/>
      <c r="L487" s="75"/>
      <c r="M487" s="77"/>
      <c r="N487" s="77"/>
      <c r="O487" s="44"/>
      <c r="P487" s="44" t="str">
        <f t="shared" si="2"/>
        <v/>
      </c>
      <c r="Q487" s="44" t="str">
        <f t="shared" si="3"/>
        <v/>
      </c>
      <c r="R487" s="44"/>
      <c r="S487" s="44"/>
      <c r="T487" s="44"/>
      <c r="U487" s="44"/>
      <c r="V487" s="44"/>
      <c r="W487" s="44"/>
      <c r="X487" s="44"/>
      <c r="Y487" s="44"/>
      <c r="Z487" s="44"/>
      <c r="AA487" s="44" t="s">
        <v>2304</v>
      </c>
      <c r="AB487" s="44" t="s">
        <v>2305</v>
      </c>
    </row>
    <row r="488" spans="1:28" ht="15.75" customHeight="1">
      <c r="A488" s="71"/>
      <c r="B488" s="66" t="str">
        <f t="shared" si="26"/>
        <v/>
      </c>
      <c r="C488" s="71"/>
      <c r="D488" s="66" t="str">
        <f t="shared" si="27"/>
        <v/>
      </c>
      <c r="E488" s="71"/>
      <c r="F488" s="66" t="str">
        <f t="shared" si="25"/>
        <v/>
      </c>
      <c r="G488" s="59"/>
      <c r="H488" s="59"/>
      <c r="I488" s="59"/>
      <c r="J488" s="77"/>
      <c r="K488" s="75"/>
      <c r="L488" s="75"/>
      <c r="M488" s="77"/>
      <c r="N488" s="77"/>
      <c r="O488" s="44"/>
      <c r="P488" s="44" t="str">
        <f t="shared" si="2"/>
        <v/>
      </c>
      <c r="Q488" s="44" t="str">
        <f t="shared" si="3"/>
        <v/>
      </c>
      <c r="R488" s="44"/>
      <c r="S488" s="44"/>
      <c r="T488" s="44"/>
      <c r="U488" s="44"/>
      <c r="V488" s="44"/>
      <c r="W488" s="44"/>
      <c r="X488" s="44"/>
      <c r="Y488" s="44"/>
      <c r="Z488" s="44"/>
      <c r="AA488" s="44" t="s">
        <v>2306</v>
      </c>
      <c r="AB488" s="44" t="s">
        <v>2307</v>
      </c>
    </row>
    <row r="489" spans="1:28" ht="15.75" customHeight="1">
      <c r="A489" s="71"/>
      <c r="B489" s="66" t="str">
        <f t="shared" si="26"/>
        <v/>
      </c>
      <c r="C489" s="71"/>
      <c r="D489" s="66" t="str">
        <f t="shared" si="27"/>
        <v/>
      </c>
      <c r="E489" s="71"/>
      <c r="F489" s="66" t="str">
        <f t="shared" si="25"/>
        <v/>
      </c>
      <c r="G489" s="59"/>
      <c r="H489" s="59"/>
      <c r="I489" s="59"/>
      <c r="J489" s="77"/>
      <c r="K489" s="75"/>
      <c r="L489" s="75"/>
      <c r="M489" s="77"/>
      <c r="N489" s="77"/>
      <c r="O489" s="44"/>
      <c r="P489" s="44" t="str">
        <f t="shared" si="2"/>
        <v/>
      </c>
      <c r="Q489" s="44" t="str">
        <f t="shared" si="3"/>
        <v/>
      </c>
      <c r="R489" s="44"/>
      <c r="S489" s="44"/>
      <c r="T489" s="44"/>
      <c r="U489" s="44"/>
      <c r="V489" s="44"/>
      <c r="W489" s="44"/>
      <c r="X489" s="44"/>
      <c r="Y489" s="44"/>
      <c r="Z489" s="44"/>
      <c r="AA489" s="44" t="s">
        <v>2308</v>
      </c>
      <c r="AB489" s="44" t="s">
        <v>2309</v>
      </c>
    </row>
    <row r="490" spans="1:28" ht="15.75" customHeight="1">
      <c r="A490" s="71"/>
      <c r="B490" s="66" t="str">
        <f t="shared" si="26"/>
        <v/>
      </c>
      <c r="C490" s="71"/>
      <c r="D490" s="66" t="str">
        <f t="shared" si="27"/>
        <v/>
      </c>
      <c r="E490" s="71"/>
      <c r="F490" s="66" t="str">
        <f t="shared" si="25"/>
        <v/>
      </c>
      <c r="G490" s="59"/>
      <c r="H490" s="59"/>
      <c r="I490" s="59"/>
      <c r="J490" s="77"/>
      <c r="K490" s="75"/>
      <c r="L490" s="75"/>
      <c r="M490" s="77"/>
      <c r="N490" s="77"/>
      <c r="O490" s="44"/>
      <c r="P490" s="44" t="str">
        <f t="shared" si="2"/>
        <v/>
      </c>
      <c r="Q490" s="44" t="str">
        <f t="shared" si="3"/>
        <v/>
      </c>
      <c r="R490" s="44"/>
      <c r="S490" s="44"/>
      <c r="T490" s="44"/>
      <c r="U490" s="44"/>
      <c r="V490" s="44"/>
      <c r="W490" s="44"/>
      <c r="X490" s="44"/>
      <c r="Y490" s="44"/>
      <c r="Z490" s="44"/>
      <c r="AA490" s="44" t="s">
        <v>2310</v>
      </c>
      <c r="AB490" s="44" t="s">
        <v>2311</v>
      </c>
    </row>
    <row r="491" spans="1:28" ht="15.75" customHeight="1">
      <c r="A491" s="71"/>
      <c r="B491" s="66" t="str">
        <f t="shared" si="26"/>
        <v/>
      </c>
      <c r="C491" s="71"/>
      <c r="D491" s="66" t="str">
        <f t="shared" si="27"/>
        <v/>
      </c>
      <c r="E491" s="71"/>
      <c r="F491" s="66" t="str">
        <f t="shared" si="25"/>
        <v/>
      </c>
      <c r="G491" s="59"/>
      <c r="H491" s="59"/>
      <c r="I491" s="59"/>
      <c r="J491" s="77"/>
      <c r="K491" s="75"/>
      <c r="L491" s="75"/>
      <c r="M491" s="77"/>
      <c r="N491" s="77"/>
      <c r="O491" s="44"/>
      <c r="P491" s="44" t="str">
        <f t="shared" si="2"/>
        <v/>
      </c>
      <c r="Q491" s="44" t="str">
        <f t="shared" si="3"/>
        <v/>
      </c>
      <c r="R491" s="44"/>
      <c r="S491" s="44"/>
      <c r="T491" s="44"/>
      <c r="U491" s="44"/>
      <c r="V491" s="44"/>
      <c r="W491" s="44"/>
      <c r="X491" s="44"/>
      <c r="Y491" s="44"/>
      <c r="Z491" s="44"/>
      <c r="AA491" s="44" t="s">
        <v>2312</v>
      </c>
      <c r="AB491" s="44" t="s">
        <v>2313</v>
      </c>
    </row>
    <row r="492" spans="1:28" ht="15.75" customHeight="1">
      <c r="A492" s="71"/>
      <c r="B492" s="66" t="str">
        <f t="shared" si="26"/>
        <v/>
      </c>
      <c r="C492" s="71"/>
      <c r="D492" s="66" t="str">
        <f t="shared" si="27"/>
        <v/>
      </c>
      <c r="E492" s="71"/>
      <c r="F492" s="66" t="str">
        <f t="shared" si="25"/>
        <v/>
      </c>
      <c r="G492" s="59"/>
      <c r="H492" s="59"/>
      <c r="I492" s="59"/>
      <c r="J492" s="77"/>
      <c r="K492" s="75"/>
      <c r="L492" s="75"/>
      <c r="M492" s="77"/>
      <c r="N492" s="77"/>
      <c r="O492" s="44"/>
      <c r="P492" s="44" t="str">
        <f t="shared" si="2"/>
        <v/>
      </c>
      <c r="Q492" s="44" t="str">
        <f t="shared" si="3"/>
        <v/>
      </c>
      <c r="R492" s="44"/>
      <c r="S492" s="44"/>
      <c r="T492" s="44"/>
      <c r="U492" s="44"/>
      <c r="V492" s="44"/>
      <c r="W492" s="44"/>
      <c r="X492" s="44"/>
      <c r="Y492" s="44"/>
      <c r="Z492" s="44"/>
      <c r="AA492" s="44" t="s">
        <v>2314</v>
      </c>
      <c r="AB492" s="44" t="s">
        <v>2315</v>
      </c>
    </row>
    <row r="493" spans="1:28" ht="15.75" customHeight="1">
      <c r="A493" s="71"/>
      <c r="B493" s="66" t="str">
        <f t="shared" si="26"/>
        <v/>
      </c>
      <c r="C493" s="71"/>
      <c r="D493" s="66" t="str">
        <f t="shared" si="27"/>
        <v/>
      </c>
      <c r="E493" s="71"/>
      <c r="F493" s="66" t="str">
        <f t="shared" si="25"/>
        <v/>
      </c>
      <c r="G493" s="59"/>
      <c r="H493" s="59"/>
      <c r="I493" s="59"/>
      <c r="J493" s="77"/>
      <c r="K493" s="75"/>
      <c r="L493" s="75"/>
      <c r="M493" s="77"/>
      <c r="N493" s="77"/>
      <c r="O493" s="44"/>
      <c r="P493" s="44" t="str">
        <f t="shared" si="2"/>
        <v/>
      </c>
      <c r="Q493" s="44" t="str">
        <f t="shared" si="3"/>
        <v/>
      </c>
      <c r="R493" s="44"/>
      <c r="S493" s="44"/>
      <c r="T493" s="44"/>
      <c r="U493" s="44"/>
      <c r="V493" s="44"/>
      <c r="W493" s="44"/>
      <c r="X493" s="44"/>
      <c r="Y493" s="44"/>
      <c r="Z493" s="44"/>
      <c r="AA493" s="44" t="s">
        <v>2316</v>
      </c>
      <c r="AB493" s="44" t="s">
        <v>2317</v>
      </c>
    </row>
    <row r="494" spans="1:28" ht="15.75" customHeight="1">
      <c r="A494" s="71"/>
      <c r="B494" s="66" t="str">
        <f t="shared" si="26"/>
        <v/>
      </c>
      <c r="C494" s="71"/>
      <c r="D494" s="66" t="str">
        <f t="shared" si="27"/>
        <v/>
      </c>
      <c r="E494" s="71"/>
      <c r="F494" s="66" t="str">
        <f t="shared" si="25"/>
        <v/>
      </c>
      <c r="G494" s="59"/>
      <c r="H494" s="59"/>
      <c r="I494" s="59"/>
      <c r="J494" s="77"/>
      <c r="K494" s="75"/>
      <c r="L494" s="75"/>
      <c r="M494" s="77"/>
      <c r="N494" s="77"/>
      <c r="O494" s="44"/>
      <c r="P494" s="44" t="str">
        <f t="shared" si="2"/>
        <v/>
      </c>
      <c r="Q494" s="44" t="str">
        <f t="shared" si="3"/>
        <v/>
      </c>
      <c r="R494" s="44"/>
      <c r="S494" s="44"/>
      <c r="T494" s="44"/>
      <c r="U494" s="44"/>
      <c r="V494" s="44"/>
      <c r="W494" s="44"/>
      <c r="X494" s="44"/>
      <c r="Y494" s="44"/>
      <c r="Z494" s="44"/>
      <c r="AA494" s="44" t="s">
        <v>2318</v>
      </c>
      <c r="AB494" s="44" t="s">
        <v>2319</v>
      </c>
    </row>
    <row r="495" spans="1:28" ht="15.75" customHeight="1">
      <c r="A495" s="71"/>
      <c r="B495" s="66" t="str">
        <f t="shared" si="26"/>
        <v/>
      </c>
      <c r="C495" s="71"/>
      <c r="D495" s="66" t="str">
        <f t="shared" si="27"/>
        <v/>
      </c>
      <c r="E495" s="71"/>
      <c r="F495" s="66" t="str">
        <f t="shared" si="25"/>
        <v/>
      </c>
      <c r="G495" s="59"/>
      <c r="H495" s="59"/>
      <c r="I495" s="59"/>
      <c r="J495" s="77"/>
      <c r="K495" s="75"/>
      <c r="L495" s="75"/>
      <c r="M495" s="77"/>
      <c r="N495" s="77"/>
      <c r="O495" s="44"/>
      <c r="P495" s="44" t="str">
        <f t="shared" si="2"/>
        <v/>
      </c>
      <c r="Q495" s="44" t="str">
        <f t="shared" si="3"/>
        <v/>
      </c>
      <c r="R495" s="44"/>
      <c r="S495" s="44"/>
      <c r="T495" s="44"/>
      <c r="U495" s="44"/>
      <c r="V495" s="44"/>
      <c r="W495" s="44"/>
      <c r="X495" s="44"/>
      <c r="Y495" s="44"/>
      <c r="Z495" s="44"/>
      <c r="AA495" s="44" t="s">
        <v>2320</v>
      </c>
      <c r="AB495" s="44" t="s">
        <v>2321</v>
      </c>
    </row>
    <row r="496" spans="1:28" ht="15.75" customHeight="1">
      <c r="A496" s="71"/>
      <c r="B496" s="66" t="str">
        <f t="shared" si="26"/>
        <v/>
      </c>
      <c r="C496" s="71"/>
      <c r="D496" s="66" t="str">
        <f t="shared" si="27"/>
        <v/>
      </c>
      <c r="E496" s="71"/>
      <c r="F496" s="66" t="str">
        <f t="shared" si="25"/>
        <v/>
      </c>
      <c r="G496" s="59"/>
      <c r="H496" s="59"/>
      <c r="I496" s="59"/>
      <c r="J496" s="77"/>
      <c r="K496" s="75"/>
      <c r="L496" s="75"/>
      <c r="M496" s="77"/>
      <c r="N496" s="77"/>
      <c r="O496" s="44"/>
      <c r="P496" s="44" t="str">
        <f t="shared" si="2"/>
        <v/>
      </c>
      <c r="Q496" s="44" t="str">
        <f t="shared" si="3"/>
        <v/>
      </c>
      <c r="R496" s="44"/>
      <c r="S496" s="44"/>
      <c r="T496" s="44"/>
      <c r="U496" s="44"/>
      <c r="V496" s="44"/>
      <c r="W496" s="44"/>
      <c r="X496" s="44"/>
      <c r="Y496" s="44"/>
      <c r="Z496" s="44"/>
      <c r="AA496" s="44" t="s">
        <v>2322</v>
      </c>
      <c r="AB496" s="44" t="s">
        <v>2323</v>
      </c>
    </row>
    <row r="497" spans="1:28" ht="15.75" customHeight="1">
      <c r="A497" s="71"/>
      <c r="B497" s="66" t="str">
        <f t="shared" si="26"/>
        <v/>
      </c>
      <c r="C497" s="71"/>
      <c r="D497" s="66" t="str">
        <f t="shared" si="27"/>
        <v/>
      </c>
      <c r="E497" s="71"/>
      <c r="F497" s="66" t="str">
        <f t="shared" si="25"/>
        <v/>
      </c>
      <c r="G497" s="59"/>
      <c r="H497" s="59"/>
      <c r="I497" s="59"/>
      <c r="J497" s="77"/>
      <c r="K497" s="75"/>
      <c r="L497" s="75"/>
      <c r="M497" s="77"/>
      <c r="N497" s="77"/>
      <c r="O497" s="44"/>
      <c r="P497" s="44" t="str">
        <f t="shared" si="2"/>
        <v/>
      </c>
      <c r="Q497" s="44" t="str">
        <f t="shared" si="3"/>
        <v/>
      </c>
      <c r="R497" s="44"/>
      <c r="S497" s="44"/>
      <c r="T497" s="44"/>
      <c r="U497" s="44"/>
      <c r="V497" s="44"/>
      <c r="W497" s="44"/>
      <c r="X497" s="44"/>
      <c r="Y497" s="44"/>
      <c r="Z497" s="44"/>
      <c r="AA497" s="44" t="s">
        <v>2324</v>
      </c>
      <c r="AB497" s="44" t="s">
        <v>2325</v>
      </c>
    </row>
    <row r="498" spans="1:28" ht="15.75" customHeight="1">
      <c r="A498" s="71"/>
      <c r="B498" s="66" t="str">
        <f t="shared" si="26"/>
        <v/>
      </c>
      <c r="C498" s="71"/>
      <c r="D498" s="66" t="str">
        <f t="shared" si="27"/>
        <v/>
      </c>
      <c r="E498" s="71"/>
      <c r="F498" s="66" t="str">
        <f t="shared" si="25"/>
        <v/>
      </c>
      <c r="G498" s="59"/>
      <c r="H498" s="59"/>
      <c r="I498" s="59"/>
      <c r="J498" s="77"/>
      <c r="K498" s="75"/>
      <c r="L498" s="75"/>
      <c r="M498" s="77"/>
      <c r="N498" s="77"/>
      <c r="O498" s="44"/>
      <c r="P498" s="44" t="str">
        <f t="shared" si="2"/>
        <v/>
      </c>
      <c r="Q498" s="44" t="str">
        <f t="shared" si="3"/>
        <v/>
      </c>
      <c r="R498" s="44"/>
      <c r="S498" s="44"/>
      <c r="T498" s="44"/>
      <c r="U498" s="44"/>
      <c r="V498" s="44"/>
      <c r="W498" s="44"/>
      <c r="X498" s="44"/>
      <c r="Y498" s="44"/>
      <c r="Z498" s="44"/>
      <c r="AA498" s="44" t="s">
        <v>2326</v>
      </c>
      <c r="AB498" s="44" t="s">
        <v>2327</v>
      </c>
    </row>
    <row r="499" spans="1:28" ht="15.75" customHeight="1">
      <c r="A499" s="71"/>
      <c r="B499" s="66" t="str">
        <f t="shared" si="26"/>
        <v/>
      </c>
      <c r="C499" s="71"/>
      <c r="D499" s="66" t="str">
        <f t="shared" si="27"/>
        <v/>
      </c>
      <c r="E499" s="71"/>
      <c r="F499" s="66" t="str">
        <f t="shared" si="25"/>
        <v/>
      </c>
      <c r="G499" s="59"/>
      <c r="H499" s="59"/>
      <c r="I499" s="59"/>
      <c r="J499" s="77"/>
      <c r="K499" s="75"/>
      <c r="L499" s="75"/>
      <c r="M499" s="77"/>
      <c r="N499" s="77"/>
      <c r="O499" s="44"/>
      <c r="P499" s="44" t="str">
        <f t="shared" si="2"/>
        <v/>
      </c>
      <c r="Q499" s="44" t="str">
        <f t="shared" si="3"/>
        <v/>
      </c>
      <c r="R499" s="44"/>
      <c r="S499" s="44"/>
      <c r="T499" s="44"/>
      <c r="U499" s="44"/>
      <c r="V499" s="44"/>
      <c r="W499" s="44"/>
      <c r="X499" s="44"/>
      <c r="Y499" s="44"/>
      <c r="Z499" s="44"/>
      <c r="AA499" s="44" t="s">
        <v>2328</v>
      </c>
      <c r="AB499" s="44" t="s">
        <v>2329</v>
      </c>
    </row>
    <row r="500" spans="1:28" ht="15.75" customHeight="1">
      <c r="A500" s="44"/>
      <c r="B500" s="44"/>
      <c r="C500" s="44"/>
      <c r="D500" s="44"/>
      <c r="E500" s="44"/>
      <c r="F500" s="44"/>
      <c r="G500" s="48"/>
      <c r="H500" s="48"/>
      <c r="I500" s="48"/>
      <c r="J500" s="48"/>
      <c r="K500" s="48"/>
      <c r="L500" s="48"/>
      <c r="M500" s="48"/>
      <c r="N500" s="48"/>
      <c r="O500" s="44"/>
      <c r="P500" s="44"/>
      <c r="Q500" s="44"/>
      <c r="R500" s="44"/>
      <c r="S500" s="44"/>
      <c r="T500" s="44"/>
      <c r="U500" s="44"/>
      <c r="V500" s="44"/>
      <c r="W500" s="44"/>
      <c r="X500" s="44"/>
      <c r="Y500" s="44"/>
      <c r="Z500" s="44"/>
      <c r="AA500" s="44" t="s">
        <v>2330</v>
      </c>
      <c r="AB500" s="44" t="s">
        <v>2331</v>
      </c>
    </row>
    <row r="501" spans="1:28" ht="15.75" hidden="1" customHeight="1">
      <c r="A501" s="44"/>
      <c r="B501" s="44"/>
      <c r="C501" s="44"/>
      <c r="D501" s="44"/>
      <c r="E501" s="44"/>
      <c r="F501" s="44"/>
      <c r="G501" s="48"/>
      <c r="H501" s="48"/>
      <c r="I501" s="48"/>
      <c r="J501" s="48"/>
      <c r="K501" s="48"/>
      <c r="L501" s="48"/>
      <c r="M501" s="48"/>
      <c r="N501" s="48"/>
      <c r="O501" s="44"/>
      <c r="P501" s="44"/>
      <c r="Q501" s="44"/>
      <c r="R501" s="44"/>
      <c r="S501" s="44"/>
      <c r="T501" s="44"/>
      <c r="U501" s="44"/>
      <c r="V501" s="44"/>
      <c r="W501" s="44"/>
      <c r="X501" s="44"/>
      <c r="Y501" s="44"/>
      <c r="Z501" s="44"/>
      <c r="AA501" s="44" t="s">
        <v>2332</v>
      </c>
      <c r="AB501" s="44" t="s">
        <v>2333</v>
      </c>
    </row>
    <row r="502" spans="1:28" ht="15.75" hidden="1" customHeight="1">
      <c r="A502" s="44"/>
      <c r="B502" s="44"/>
      <c r="C502" s="44"/>
      <c r="D502" s="44"/>
      <c r="E502" s="44"/>
      <c r="F502" s="44"/>
      <c r="G502" s="48"/>
      <c r="H502" s="48"/>
      <c r="I502" s="48"/>
      <c r="J502" s="48"/>
      <c r="K502" s="48"/>
      <c r="L502" s="48"/>
      <c r="M502" s="48"/>
      <c r="N502" s="48"/>
      <c r="O502" s="44"/>
      <c r="P502" s="44"/>
      <c r="Q502" s="44"/>
      <c r="R502" s="44"/>
      <c r="S502" s="44"/>
      <c r="T502" s="44"/>
      <c r="U502" s="44"/>
      <c r="V502" s="44"/>
      <c r="W502" s="44"/>
      <c r="X502" s="44"/>
      <c r="Y502" s="44"/>
      <c r="Z502" s="44"/>
      <c r="AA502" s="44" t="s">
        <v>2334</v>
      </c>
      <c r="AB502" s="44" t="s">
        <v>2335</v>
      </c>
    </row>
    <row r="503" spans="1:28" ht="15.75" hidden="1" customHeight="1">
      <c r="A503" s="44"/>
      <c r="B503" s="44"/>
      <c r="C503" s="44"/>
      <c r="D503" s="44"/>
      <c r="E503" s="44"/>
      <c r="F503" s="44"/>
      <c r="G503" s="48"/>
      <c r="H503" s="48"/>
      <c r="I503" s="48"/>
      <c r="J503" s="48"/>
      <c r="K503" s="48"/>
      <c r="L503" s="48"/>
      <c r="M503" s="48"/>
      <c r="N503" s="48"/>
      <c r="O503" s="44"/>
      <c r="P503" s="44"/>
      <c r="Q503" s="44"/>
      <c r="R503" s="44"/>
      <c r="S503" s="44"/>
      <c r="T503" s="44"/>
      <c r="U503" s="44"/>
      <c r="V503" s="44"/>
      <c r="W503" s="44"/>
      <c r="X503" s="44"/>
      <c r="Y503" s="44"/>
      <c r="Z503" s="44"/>
      <c r="AA503" s="44" t="s">
        <v>2336</v>
      </c>
      <c r="AB503" s="44" t="s">
        <v>2337</v>
      </c>
    </row>
    <row r="504" spans="1:28" ht="15.75" hidden="1" customHeight="1">
      <c r="A504" s="44"/>
      <c r="B504" s="44"/>
      <c r="C504" s="44"/>
      <c r="D504" s="44"/>
      <c r="E504" s="44"/>
      <c r="F504" s="44"/>
      <c r="G504" s="48"/>
      <c r="H504" s="48"/>
      <c r="I504" s="48"/>
      <c r="J504" s="48"/>
      <c r="K504" s="48"/>
      <c r="L504" s="48"/>
      <c r="M504" s="48"/>
      <c r="N504" s="48"/>
      <c r="O504" s="44"/>
      <c r="P504" s="44"/>
      <c r="Q504" s="44"/>
      <c r="R504" s="44"/>
      <c r="S504" s="44"/>
      <c r="T504" s="44"/>
      <c r="U504" s="44"/>
      <c r="V504" s="44"/>
      <c r="W504" s="44"/>
      <c r="X504" s="44"/>
      <c r="Y504" s="44"/>
      <c r="Z504" s="44"/>
      <c r="AA504" s="44" t="s">
        <v>2338</v>
      </c>
      <c r="AB504" s="44" t="s">
        <v>2339</v>
      </c>
    </row>
    <row r="505" spans="1:28" ht="15.75" hidden="1" customHeight="1">
      <c r="A505" s="44"/>
      <c r="B505" s="44"/>
      <c r="C505" s="44"/>
      <c r="D505" s="44"/>
      <c r="E505" s="44"/>
      <c r="F505" s="44"/>
      <c r="G505" s="48"/>
      <c r="H505" s="48"/>
      <c r="I505" s="48"/>
      <c r="J505" s="48"/>
      <c r="K505" s="48"/>
      <c r="L505" s="48"/>
      <c r="M505" s="48"/>
      <c r="N505" s="48"/>
      <c r="O505" s="44"/>
      <c r="P505" s="44"/>
      <c r="Q505" s="44"/>
      <c r="R505" s="44"/>
      <c r="S505" s="44"/>
      <c r="T505" s="44"/>
      <c r="U505" s="44"/>
      <c r="V505" s="44"/>
      <c r="W505" s="44"/>
      <c r="X505" s="44"/>
      <c r="Y505" s="44"/>
      <c r="Z505" s="44"/>
      <c r="AA505" s="44" t="s">
        <v>2340</v>
      </c>
      <c r="AB505" s="44" t="s">
        <v>2341</v>
      </c>
    </row>
    <row r="506" spans="1:28" ht="15.75" hidden="1" customHeight="1">
      <c r="A506" s="44"/>
      <c r="B506" s="44"/>
      <c r="C506" s="44"/>
      <c r="D506" s="44"/>
      <c r="E506" s="44"/>
      <c r="F506" s="44"/>
      <c r="G506" s="48"/>
      <c r="H506" s="48"/>
      <c r="I506" s="48"/>
      <c r="J506" s="48"/>
      <c r="K506" s="48"/>
      <c r="L506" s="48"/>
      <c r="M506" s="48"/>
      <c r="N506" s="48"/>
      <c r="O506" s="44"/>
      <c r="P506" s="44"/>
      <c r="Q506" s="44"/>
      <c r="R506" s="44"/>
      <c r="S506" s="44"/>
      <c r="T506" s="44"/>
      <c r="U506" s="44"/>
      <c r="V506" s="44"/>
      <c r="W506" s="44"/>
      <c r="X506" s="44"/>
      <c r="Y506" s="44"/>
      <c r="Z506" s="44"/>
      <c r="AA506" s="44" t="s">
        <v>2342</v>
      </c>
      <c r="AB506" s="44" t="s">
        <v>2343</v>
      </c>
    </row>
    <row r="507" spans="1:28" ht="15.75" hidden="1" customHeight="1">
      <c r="A507" s="44"/>
      <c r="B507" s="44"/>
      <c r="C507" s="44"/>
      <c r="D507" s="44"/>
      <c r="E507" s="44"/>
      <c r="F507" s="44"/>
      <c r="G507" s="48"/>
      <c r="H507" s="48"/>
      <c r="I507" s="48"/>
      <c r="J507" s="48"/>
      <c r="K507" s="48"/>
      <c r="L507" s="48"/>
      <c r="M507" s="48"/>
      <c r="N507" s="48"/>
      <c r="O507" s="44"/>
      <c r="P507" s="44"/>
      <c r="Q507" s="44"/>
      <c r="R507" s="44"/>
      <c r="S507" s="44"/>
      <c r="T507" s="44"/>
      <c r="U507" s="44"/>
      <c r="V507" s="44"/>
      <c r="W507" s="44"/>
      <c r="X507" s="44"/>
      <c r="Y507" s="44"/>
      <c r="Z507" s="44"/>
      <c r="AA507" s="44" t="s">
        <v>2344</v>
      </c>
      <c r="AB507" s="44" t="s">
        <v>2345</v>
      </c>
    </row>
    <row r="508" spans="1:28" ht="15.75" hidden="1" customHeight="1">
      <c r="A508" s="44"/>
      <c r="B508" s="44"/>
      <c r="C508" s="44"/>
      <c r="D508" s="44"/>
      <c r="E508" s="44"/>
      <c r="F508" s="44"/>
      <c r="G508" s="48"/>
      <c r="H508" s="48"/>
      <c r="I508" s="48"/>
      <c r="J508" s="48"/>
      <c r="K508" s="48"/>
      <c r="L508" s="48"/>
      <c r="M508" s="48"/>
      <c r="N508" s="48"/>
      <c r="O508" s="44"/>
      <c r="P508" s="44"/>
      <c r="Q508" s="44"/>
      <c r="R508" s="44"/>
      <c r="S508" s="44"/>
      <c r="T508" s="44"/>
      <c r="U508" s="44"/>
      <c r="V508" s="44"/>
      <c r="W508" s="44"/>
      <c r="X508" s="44"/>
      <c r="Y508" s="44"/>
      <c r="Z508" s="44"/>
      <c r="AA508" s="44" t="s">
        <v>2346</v>
      </c>
      <c r="AB508" s="44" t="s">
        <v>2347</v>
      </c>
    </row>
    <row r="509" spans="1:28" ht="15.75" hidden="1" customHeight="1">
      <c r="A509" s="44"/>
      <c r="B509" s="44"/>
      <c r="C509" s="44"/>
      <c r="D509" s="44"/>
      <c r="E509" s="44"/>
      <c r="F509" s="44"/>
      <c r="G509" s="48"/>
      <c r="H509" s="48"/>
      <c r="I509" s="48"/>
      <c r="J509" s="48"/>
      <c r="K509" s="48"/>
      <c r="L509" s="48"/>
      <c r="M509" s="48"/>
      <c r="N509" s="48"/>
      <c r="O509" s="44"/>
      <c r="P509" s="44"/>
      <c r="Q509" s="44"/>
      <c r="R509" s="44"/>
      <c r="S509" s="44"/>
      <c r="T509" s="44"/>
      <c r="U509" s="44"/>
      <c r="V509" s="44"/>
      <c r="W509" s="44"/>
      <c r="X509" s="44"/>
      <c r="Y509" s="44"/>
      <c r="Z509" s="44"/>
      <c r="AA509" s="44" t="s">
        <v>2348</v>
      </c>
      <c r="AB509" s="44" t="s">
        <v>2349</v>
      </c>
    </row>
    <row r="510" spans="1:28" ht="15.75" hidden="1" customHeight="1">
      <c r="A510" s="44"/>
      <c r="B510" s="44"/>
      <c r="C510" s="44"/>
      <c r="D510" s="44"/>
      <c r="E510" s="44"/>
      <c r="F510" s="44"/>
      <c r="G510" s="48"/>
      <c r="H510" s="48"/>
      <c r="I510" s="48"/>
      <c r="J510" s="48"/>
      <c r="K510" s="48"/>
      <c r="L510" s="48"/>
      <c r="M510" s="48"/>
      <c r="N510" s="48"/>
      <c r="O510" s="44"/>
      <c r="P510" s="44"/>
      <c r="Q510" s="44"/>
      <c r="R510" s="44"/>
      <c r="S510" s="44"/>
      <c r="T510" s="44"/>
      <c r="U510" s="44"/>
      <c r="V510" s="44"/>
      <c r="W510" s="44"/>
      <c r="X510" s="44"/>
      <c r="Y510" s="44"/>
      <c r="Z510" s="44"/>
      <c r="AA510" s="44" t="s">
        <v>2350</v>
      </c>
      <c r="AB510" s="44" t="s">
        <v>2351</v>
      </c>
    </row>
    <row r="511" spans="1:28" ht="15.75" hidden="1" customHeight="1">
      <c r="A511" s="44"/>
      <c r="B511" s="44"/>
      <c r="C511" s="44"/>
      <c r="D511" s="44"/>
      <c r="E511" s="44"/>
      <c r="F511" s="44"/>
      <c r="G511" s="48"/>
      <c r="H511" s="48"/>
      <c r="I511" s="48"/>
      <c r="J511" s="48"/>
      <c r="K511" s="48"/>
      <c r="L511" s="48"/>
      <c r="M511" s="48"/>
      <c r="N511" s="48"/>
      <c r="O511" s="44"/>
      <c r="P511" s="44"/>
      <c r="Q511" s="44"/>
      <c r="R511" s="44"/>
      <c r="S511" s="44"/>
      <c r="T511" s="44"/>
      <c r="U511" s="44"/>
      <c r="V511" s="44"/>
      <c r="W511" s="44"/>
      <c r="X511" s="44"/>
      <c r="Y511" s="44"/>
      <c r="Z511" s="44"/>
      <c r="AA511" s="44" t="s">
        <v>2352</v>
      </c>
      <c r="AB511" s="44" t="s">
        <v>2353</v>
      </c>
    </row>
    <row r="512" spans="1:28" ht="15.75" hidden="1" customHeight="1">
      <c r="A512" s="44"/>
      <c r="B512" s="44"/>
      <c r="C512" s="44"/>
      <c r="D512" s="44"/>
      <c r="E512" s="44"/>
      <c r="F512" s="44"/>
      <c r="G512" s="48"/>
      <c r="H512" s="48"/>
      <c r="I512" s="48"/>
      <c r="J512" s="48"/>
      <c r="K512" s="48"/>
      <c r="L512" s="48"/>
      <c r="M512" s="48"/>
      <c r="N512" s="48"/>
      <c r="O512" s="44"/>
      <c r="P512" s="44"/>
      <c r="Q512" s="44"/>
      <c r="R512" s="44"/>
      <c r="S512" s="44"/>
      <c r="T512" s="44"/>
      <c r="U512" s="44"/>
      <c r="V512" s="44"/>
      <c r="W512" s="44"/>
      <c r="X512" s="44"/>
      <c r="Y512" s="44"/>
      <c r="Z512" s="44"/>
      <c r="AA512" s="44" t="s">
        <v>2354</v>
      </c>
      <c r="AB512" s="44" t="s">
        <v>2355</v>
      </c>
    </row>
    <row r="513" spans="1:28" ht="15.75" hidden="1" customHeight="1">
      <c r="A513" s="44"/>
      <c r="B513" s="44"/>
      <c r="C513" s="44"/>
      <c r="D513" s="44"/>
      <c r="E513" s="44"/>
      <c r="F513" s="44"/>
      <c r="G513" s="48"/>
      <c r="H513" s="48"/>
      <c r="I513" s="48"/>
      <c r="J513" s="48"/>
      <c r="K513" s="48"/>
      <c r="L513" s="48"/>
      <c r="M513" s="48"/>
      <c r="N513" s="48"/>
      <c r="O513" s="44"/>
      <c r="P513" s="44"/>
      <c r="Q513" s="44"/>
      <c r="R513" s="44"/>
      <c r="S513" s="44"/>
      <c r="T513" s="44"/>
      <c r="U513" s="44"/>
      <c r="V513" s="44"/>
      <c r="W513" s="44"/>
      <c r="X513" s="44"/>
      <c r="Y513" s="44"/>
      <c r="Z513" s="44"/>
      <c r="AA513" s="44" t="s">
        <v>2356</v>
      </c>
      <c r="AB513" s="44" t="s">
        <v>2357</v>
      </c>
    </row>
    <row r="514" spans="1:28" ht="15.75" hidden="1" customHeight="1">
      <c r="A514" s="44"/>
      <c r="B514" s="44"/>
      <c r="C514" s="44"/>
      <c r="D514" s="44"/>
      <c r="E514" s="44"/>
      <c r="F514" s="44"/>
      <c r="G514" s="48"/>
      <c r="H514" s="48"/>
      <c r="I514" s="48"/>
      <c r="J514" s="48"/>
      <c r="K514" s="48"/>
      <c r="L514" s="48"/>
      <c r="M514" s="48"/>
      <c r="N514" s="48"/>
      <c r="O514" s="44"/>
      <c r="P514" s="44"/>
      <c r="Q514" s="44"/>
      <c r="R514" s="44"/>
      <c r="S514" s="44"/>
      <c r="T514" s="44"/>
      <c r="U514" s="44"/>
      <c r="V514" s="44"/>
      <c r="W514" s="44"/>
      <c r="X514" s="44"/>
      <c r="Y514" s="44"/>
      <c r="Z514" s="44"/>
      <c r="AA514" s="44" t="s">
        <v>2358</v>
      </c>
      <c r="AB514" s="44" t="s">
        <v>2359</v>
      </c>
    </row>
    <row r="515" spans="1:28" ht="15.75" hidden="1" customHeight="1">
      <c r="A515" s="44"/>
      <c r="B515" s="44"/>
      <c r="C515" s="44"/>
      <c r="D515" s="44"/>
      <c r="E515" s="44"/>
      <c r="F515" s="44"/>
      <c r="G515" s="48"/>
      <c r="H515" s="48"/>
      <c r="I515" s="48"/>
      <c r="J515" s="48"/>
      <c r="K515" s="48"/>
      <c r="L515" s="48"/>
      <c r="M515" s="48"/>
      <c r="N515" s="48"/>
      <c r="O515" s="44"/>
      <c r="P515" s="44"/>
      <c r="Q515" s="44"/>
      <c r="R515" s="44"/>
      <c r="S515" s="44"/>
      <c r="T515" s="44"/>
      <c r="U515" s="44"/>
      <c r="V515" s="44"/>
      <c r="W515" s="44"/>
      <c r="X515" s="44"/>
      <c r="Y515" s="44"/>
      <c r="Z515" s="44"/>
      <c r="AA515" s="44" t="s">
        <v>2360</v>
      </c>
      <c r="AB515" s="44" t="s">
        <v>2361</v>
      </c>
    </row>
    <row r="516" spans="1:28" ht="15.75" hidden="1" customHeight="1">
      <c r="A516" s="44"/>
      <c r="B516" s="44"/>
      <c r="C516" s="44"/>
      <c r="D516" s="44"/>
      <c r="E516" s="44"/>
      <c r="F516" s="44"/>
      <c r="G516" s="48"/>
      <c r="H516" s="48"/>
      <c r="I516" s="48"/>
      <c r="J516" s="48"/>
      <c r="K516" s="48"/>
      <c r="L516" s="48"/>
      <c r="M516" s="48"/>
      <c r="N516" s="48"/>
      <c r="O516" s="44"/>
      <c r="P516" s="44"/>
      <c r="Q516" s="44"/>
      <c r="R516" s="44"/>
      <c r="S516" s="44"/>
      <c r="T516" s="44"/>
      <c r="U516" s="44"/>
      <c r="V516" s="44"/>
      <c r="W516" s="44"/>
      <c r="X516" s="44"/>
      <c r="Y516" s="44"/>
      <c r="Z516" s="44"/>
      <c r="AA516" s="44" t="s">
        <v>2362</v>
      </c>
      <c r="AB516" s="44" t="s">
        <v>2363</v>
      </c>
    </row>
    <row r="517" spans="1:28" ht="15.75" hidden="1" customHeight="1">
      <c r="A517" s="44"/>
      <c r="B517" s="44"/>
      <c r="C517" s="44"/>
      <c r="D517" s="44"/>
      <c r="E517" s="44"/>
      <c r="F517" s="44"/>
      <c r="G517" s="48"/>
      <c r="H517" s="48"/>
      <c r="I517" s="48"/>
      <c r="J517" s="48"/>
      <c r="K517" s="48"/>
      <c r="L517" s="48"/>
      <c r="M517" s="48"/>
      <c r="N517" s="48"/>
      <c r="O517" s="44"/>
      <c r="P517" s="44"/>
      <c r="Q517" s="44"/>
      <c r="R517" s="44"/>
      <c r="S517" s="44"/>
      <c r="T517" s="44"/>
      <c r="U517" s="44"/>
      <c r="V517" s="44"/>
      <c r="W517" s="44"/>
      <c r="X517" s="44"/>
      <c r="Y517" s="44"/>
      <c r="Z517" s="44"/>
      <c r="AA517" s="44" t="s">
        <v>2364</v>
      </c>
      <c r="AB517" s="44" t="s">
        <v>2365</v>
      </c>
    </row>
    <row r="518" spans="1:28" ht="15.75" hidden="1" customHeight="1">
      <c r="A518" s="44"/>
      <c r="B518" s="44"/>
      <c r="C518" s="44"/>
      <c r="D518" s="44"/>
      <c r="E518" s="44"/>
      <c r="F518" s="44"/>
      <c r="G518" s="48"/>
      <c r="H518" s="48"/>
      <c r="I518" s="48"/>
      <c r="J518" s="48"/>
      <c r="K518" s="48"/>
      <c r="L518" s="48"/>
      <c r="M518" s="48"/>
      <c r="N518" s="48"/>
      <c r="O518" s="44"/>
      <c r="P518" s="44"/>
      <c r="Q518" s="44"/>
      <c r="R518" s="44"/>
      <c r="S518" s="44"/>
      <c r="T518" s="44"/>
      <c r="U518" s="44"/>
      <c r="V518" s="44"/>
      <c r="W518" s="44"/>
      <c r="X518" s="44"/>
      <c r="Y518" s="44"/>
      <c r="Z518" s="44"/>
      <c r="AA518" s="44" t="s">
        <v>2366</v>
      </c>
      <c r="AB518" s="44" t="s">
        <v>2367</v>
      </c>
    </row>
    <row r="519" spans="1:28" ht="15.75" hidden="1" customHeight="1">
      <c r="A519" s="44"/>
      <c r="B519" s="44"/>
      <c r="C519" s="44"/>
      <c r="D519" s="44"/>
      <c r="E519" s="44"/>
      <c r="F519" s="44"/>
      <c r="G519" s="48"/>
      <c r="H519" s="48"/>
      <c r="I519" s="48"/>
      <c r="J519" s="48"/>
      <c r="K519" s="48"/>
      <c r="L519" s="48"/>
      <c r="M519" s="48"/>
      <c r="N519" s="48"/>
      <c r="O519" s="44"/>
      <c r="P519" s="44"/>
      <c r="Q519" s="44"/>
      <c r="R519" s="44"/>
      <c r="S519" s="44"/>
      <c r="T519" s="44"/>
      <c r="U519" s="44"/>
      <c r="V519" s="44"/>
      <c r="W519" s="44"/>
      <c r="X519" s="44"/>
      <c r="Y519" s="44"/>
      <c r="Z519" s="44"/>
      <c r="AA519" s="44" t="s">
        <v>2368</v>
      </c>
      <c r="AB519" s="44" t="s">
        <v>2369</v>
      </c>
    </row>
    <row r="520" spans="1:28" ht="15.75" hidden="1" customHeight="1">
      <c r="A520" s="44"/>
      <c r="B520" s="44"/>
      <c r="C520" s="44"/>
      <c r="D520" s="44"/>
      <c r="E520" s="44"/>
      <c r="F520" s="44"/>
      <c r="G520" s="48"/>
      <c r="H520" s="48"/>
      <c r="I520" s="48"/>
      <c r="J520" s="48"/>
      <c r="K520" s="48"/>
      <c r="L520" s="48"/>
      <c r="M520" s="48"/>
      <c r="N520" s="48"/>
      <c r="O520" s="44"/>
      <c r="P520" s="44"/>
      <c r="Q520" s="44"/>
      <c r="R520" s="44"/>
      <c r="S520" s="44"/>
      <c r="T520" s="44"/>
      <c r="U520" s="44"/>
      <c r="V520" s="44"/>
      <c r="W520" s="44"/>
      <c r="X520" s="44"/>
      <c r="Y520" s="44"/>
      <c r="Z520" s="44"/>
      <c r="AA520" s="44" t="s">
        <v>2370</v>
      </c>
      <c r="AB520" s="44" t="s">
        <v>2371</v>
      </c>
    </row>
    <row r="521" spans="1:28" ht="15.75" hidden="1" customHeight="1">
      <c r="A521" s="44"/>
      <c r="B521" s="44"/>
      <c r="C521" s="44"/>
      <c r="D521" s="44"/>
      <c r="E521" s="44"/>
      <c r="F521" s="44"/>
      <c r="G521" s="48"/>
      <c r="H521" s="48"/>
      <c r="I521" s="48"/>
      <c r="J521" s="48"/>
      <c r="K521" s="48"/>
      <c r="L521" s="48"/>
      <c r="M521" s="48"/>
      <c r="N521" s="48"/>
      <c r="O521" s="44"/>
      <c r="P521" s="44"/>
      <c r="Q521" s="44"/>
      <c r="R521" s="44"/>
      <c r="S521" s="44"/>
      <c r="T521" s="44"/>
      <c r="U521" s="44"/>
      <c r="V521" s="44"/>
      <c r="W521" s="44"/>
      <c r="X521" s="44"/>
      <c r="Y521" s="44"/>
      <c r="Z521" s="44"/>
      <c r="AA521" s="44" t="s">
        <v>2372</v>
      </c>
      <c r="AB521" s="44" t="s">
        <v>2373</v>
      </c>
    </row>
    <row r="522" spans="1:28" ht="15.75" hidden="1" customHeight="1">
      <c r="A522" s="44"/>
      <c r="B522" s="44"/>
      <c r="C522" s="44"/>
      <c r="D522" s="44"/>
      <c r="E522" s="44"/>
      <c r="F522" s="44"/>
      <c r="G522" s="48"/>
      <c r="H522" s="48"/>
      <c r="I522" s="48"/>
      <c r="J522" s="48"/>
      <c r="K522" s="48"/>
      <c r="L522" s="48"/>
      <c r="M522" s="48"/>
      <c r="N522" s="48"/>
      <c r="O522" s="44"/>
      <c r="P522" s="44"/>
      <c r="Q522" s="44"/>
      <c r="R522" s="44"/>
      <c r="S522" s="44"/>
      <c r="T522" s="44"/>
      <c r="U522" s="44"/>
      <c r="V522" s="44"/>
      <c r="W522" s="44"/>
      <c r="X522" s="44"/>
      <c r="Y522" s="44"/>
      <c r="Z522" s="44"/>
      <c r="AA522" s="44" t="s">
        <v>2374</v>
      </c>
      <c r="AB522" s="44" t="s">
        <v>2375</v>
      </c>
    </row>
    <row r="523" spans="1:28" ht="15.75" hidden="1" customHeight="1">
      <c r="A523" s="44"/>
      <c r="B523" s="44"/>
      <c r="C523" s="44"/>
      <c r="D523" s="44"/>
      <c r="E523" s="44"/>
      <c r="F523" s="44"/>
      <c r="G523" s="48"/>
      <c r="H523" s="48"/>
      <c r="I523" s="48"/>
      <c r="J523" s="48"/>
      <c r="K523" s="48"/>
      <c r="L523" s="48"/>
      <c r="M523" s="48"/>
      <c r="N523" s="48"/>
      <c r="O523" s="44"/>
      <c r="P523" s="44"/>
      <c r="Q523" s="44"/>
      <c r="R523" s="44"/>
      <c r="S523" s="44"/>
      <c r="T523" s="44"/>
      <c r="U523" s="44"/>
      <c r="V523" s="44"/>
      <c r="W523" s="44"/>
      <c r="X523" s="44"/>
      <c r="Y523" s="44"/>
      <c r="Z523" s="44"/>
      <c r="AA523" s="44" t="s">
        <v>2376</v>
      </c>
      <c r="AB523" s="44" t="s">
        <v>2377</v>
      </c>
    </row>
    <row r="524" spans="1:28" ht="15.75" hidden="1" customHeight="1">
      <c r="A524" s="44"/>
      <c r="B524" s="44"/>
      <c r="C524" s="44"/>
      <c r="D524" s="44"/>
      <c r="E524" s="44"/>
      <c r="F524" s="44"/>
      <c r="G524" s="48"/>
      <c r="H524" s="48"/>
      <c r="I524" s="48"/>
      <c r="J524" s="48"/>
      <c r="K524" s="48"/>
      <c r="L524" s="48"/>
      <c r="M524" s="48"/>
      <c r="N524" s="48"/>
      <c r="O524" s="44"/>
      <c r="P524" s="44"/>
      <c r="Q524" s="44"/>
      <c r="R524" s="44"/>
      <c r="S524" s="44"/>
      <c r="T524" s="44"/>
      <c r="U524" s="44"/>
      <c r="V524" s="44"/>
      <c r="W524" s="44"/>
      <c r="X524" s="44"/>
      <c r="Y524" s="44"/>
      <c r="Z524" s="44"/>
      <c r="AA524" s="44" t="s">
        <v>2378</v>
      </c>
      <c r="AB524" s="44" t="s">
        <v>2379</v>
      </c>
    </row>
    <row r="525" spans="1:28" ht="15.75" hidden="1" customHeight="1">
      <c r="A525" s="44"/>
      <c r="B525" s="44"/>
      <c r="C525" s="44"/>
      <c r="D525" s="44"/>
      <c r="E525" s="44"/>
      <c r="F525" s="44"/>
      <c r="G525" s="48"/>
      <c r="H525" s="48"/>
      <c r="I525" s="48"/>
      <c r="J525" s="48"/>
      <c r="K525" s="48"/>
      <c r="L525" s="48"/>
      <c r="M525" s="48"/>
      <c r="N525" s="48"/>
      <c r="O525" s="44"/>
      <c r="P525" s="44"/>
      <c r="Q525" s="44"/>
      <c r="R525" s="44"/>
      <c r="S525" s="44"/>
      <c r="T525" s="44"/>
      <c r="U525" s="44"/>
      <c r="V525" s="44"/>
      <c r="W525" s="44"/>
      <c r="X525" s="44"/>
      <c r="Y525" s="44"/>
      <c r="Z525" s="44"/>
      <c r="AA525" s="44" t="s">
        <v>2380</v>
      </c>
      <c r="AB525" s="44" t="s">
        <v>2381</v>
      </c>
    </row>
    <row r="526" spans="1:28" ht="15.75" hidden="1" customHeight="1">
      <c r="A526" s="44"/>
      <c r="B526" s="44"/>
      <c r="C526" s="44"/>
      <c r="D526" s="44"/>
      <c r="E526" s="44"/>
      <c r="F526" s="44"/>
      <c r="G526" s="48"/>
      <c r="H526" s="48"/>
      <c r="I526" s="48"/>
      <c r="J526" s="48"/>
      <c r="K526" s="48"/>
      <c r="L526" s="48"/>
      <c r="M526" s="48"/>
      <c r="N526" s="48"/>
      <c r="O526" s="44"/>
      <c r="P526" s="44"/>
      <c r="Q526" s="44"/>
      <c r="R526" s="44"/>
      <c r="S526" s="44"/>
      <c r="T526" s="44"/>
      <c r="U526" s="44"/>
      <c r="V526" s="44"/>
      <c r="W526" s="44"/>
      <c r="X526" s="44"/>
      <c r="Y526" s="44"/>
      <c r="Z526" s="44"/>
      <c r="AA526" s="44" t="s">
        <v>2382</v>
      </c>
      <c r="AB526" s="44" t="s">
        <v>2383</v>
      </c>
    </row>
    <row r="527" spans="1:28" ht="15.75" hidden="1" customHeight="1">
      <c r="A527" s="44"/>
      <c r="B527" s="44"/>
      <c r="C527" s="44"/>
      <c r="D527" s="44"/>
      <c r="E527" s="44"/>
      <c r="F527" s="44"/>
      <c r="G527" s="48"/>
      <c r="H527" s="48"/>
      <c r="I527" s="48"/>
      <c r="J527" s="48"/>
      <c r="K527" s="48"/>
      <c r="L527" s="48"/>
      <c r="M527" s="48"/>
      <c r="N527" s="48"/>
      <c r="O527" s="44"/>
      <c r="P527" s="44"/>
      <c r="Q527" s="44"/>
      <c r="R527" s="44"/>
      <c r="S527" s="44"/>
      <c r="T527" s="44"/>
      <c r="U527" s="44"/>
      <c r="V527" s="44"/>
      <c r="W527" s="44"/>
      <c r="X527" s="44"/>
      <c r="Y527" s="44"/>
      <c r="Z527" s="44"/>
      <c r="AA527" s="44" t="s">
        <v>2384</v>
      </c>
      <c r="AB527" s="44" t="s">
        <v>2133</v>
      </c>
    </row>
    <row r="528" spans="1:28" ht="15.75" hidden="1" customHeight="1">
      <c r="A528" s="44"/>
      <c r="B528" s="44"/>
      <c r="C528" s="44"/>
      <c r="D528" s="44"/>
      <c r="E528" s="44"/>
      <c r="F528" s="44"/>
      <c r="G528" s="48"/>
      <c r="H528" s="48"/>
      <c r="I528" s="48"/>
      <c r="J528" s="48"/>
      <c r="K528" s="48"/>
      <c r="L528" s="48"/>
      <c r="M528" s="48"/>
      <c r="N528" s="48"/>
      <c r="O528" s="44"/>
      <c r="P528" s="44"/>
      <c r="Q528" s="44"/>
      <c r="R528" s="44"/>
      <c r="S528" s="44"/>
      <c r="T528" s="44"/>
      <c r="U528" s="44"/>
      <c r="V528" s="44"/>
      <c r="W528" s="44"/>
      <c r="X528" s="44"/>
      <c r="Y528" s="44"/>
      <c r="Z528" s="44"/>
      <c r="AA528" s="44" t="s">
        <v>2385</v>
      </c>
      <c r="AB528" s="44" t="s">
        <v>2386</v>
      </c>
    </row>
    <row r="529" spans="1:28" ht="15.75" hidden="1" customHeight="1">
      <c r="A529" s="44"/>
      <c r="B529" s="44"/>
      <c r="C529" s="44"/>
      <c r="D529" s="44"/>
      <c r="E529" s="44"/>
      <c r="F529" s="44"/>
      <c r="G529" s="48"/>
      <c r="H529" s="48"/>
      <c r="I529" s="48"/>
      <c r="J529" s="48"/>
      <c r="K529" s="48"/>
      <c r="L529" s="48"/>
      <c r="M529" s="48"/>
      <c r="N529" s="48"/>
      <c r="O529" s="44"/>
      <c r="P529" s="44"/>
      <c r="Q529" s="44"/>
      <c r="R529" s="44"/>
      <c r="S529" s="44"/>
      <c r="T529" s="44"/>
      <c r="U529" s="44"/>
      <c r="V529" s="44"/>
      <c r="W529" s="44"/>
      <c r="X529" s="44"/>
      <c r="Y529" s="44"/>
      <c r="Z529" s="44"/>
      <c r="AA529" s="44" t="s">
        <v>2387</v>
      </c>
      <c r="AB529" s="44" t="s">
        <v>2388</v>
      </c>
    </row>
    <row r="530" spans="1:28" ht="15.75" hidden="1" customHeight="1">
      <c r="A530" s="44"/>
      <c r="B530" s="44"/>
      <c r="C530" s="44"/>
      <c r="D530" s="44"/>
      <c r="E530" s="44"/>
      <c r="F530" s="44"/>
      <c r="G530" s="48"/>
      <c r="H530" s="48"/>
      <c r="I530" s="48"/>
      <c r="J530" s="48"/>
      <c r="K530" s="48"/>
      <c r="L530" s="48"/>
      <c r="M530" s="48"/>
      <c r="N530" s="48"/>
      <c r="O530" s="44"/>
      <c r="P530" s="44"/>
      <c r="Q530" s="44"/>
      <c r="R530" s="44"/>
      <c r="S530" s="44"/>
      <c r="T530" s="44"/>
      <c r="U530" s="44"/>
      <c r="V530" s="44"/>
      <c r="W530" s="44"/>
      <c r="X530" s="44"/>
      <c r="Y530" s="44"/>
      <c r="Z530" s="44"/>
      <c r="AA530" s="44" t="s">
        <v>2389</v>
      </c>
      <c r="AB530" s="44" t="s">
        <v>2390</v>
      </c>
    </row>
    <row r="531" spans="1:28" ht="15.75" hidden="1" customHeight="1">
      <c r="A531" s="44"/>
      <c r="B531" s="44"/>
      <c r="C531" s="44"/>
      <c r="D531" s="44"/>
      <c r="E531" s="44"/>
      <c r="F531" s="44"/>
      <c r="G531" s="48"/>
      <c r="H531" s="48"/>
      <c r="I531" s="48"/>
      <c r="J531" s="48"/>
      <c r="K531" s="48"/>
      <c r="L531" s="48"/>
      <c r="M531" s="48"/>
      <c r="N531" s="48"/>
      <c r="O531" s="44"/>
      <c r="P531" s="44"/>
      <c r="Q531" s="44"/>
      <c r="R531" s="44"/>
      <c r="S531" s="44"/>
      <c r="T531" s="44"/>
      <c r="U531" s="44"/>
      <c r="V531" s="44"/>
      <c r="W531" s="44"/>
      <c r="X531" s="44"/>
      <c r="Y531" s="44"/>
      <c r="Z531" s="44"/>
      <c r="AA531" s="44" t="s">
        <v>2391</v>
      </c>
      <c r="AB531" s="44" t="s">
        <v>2392</v>
      </c>
    </row>
    <row r="532" spans="1:28" ht="15.75" hidden="1" customHeight="1">
      <c r="A532" s="44"/>
      <c r="B532" s="44"/>
      <c r="C532" s="44"/>
      <c r="D532" s="44"/>
      <c r="E532" s="44"/>
      <c r="F532" s="44"/>
      <c r="G532" s="48"/>
      <c r="H532" s="48"/>
      <c r="I532" s="48"/>
      <c r="J532" s="48"/>
      <c r="K532" s="48"/>
      <c r="L532" s="48"/>
      <c r="M532" s="48"/>
      <c r="N532" s="48"/>
      <c r="O532" s="44"/>
      <c r="P532" s="44"/>
      <c r="Q532" s="44"/>
      <c r="R532" s="44"/>
      <c r="S532" s="44"/>
      <c r="T532" s="44"/>
      <c r="U532" s="44"/>
      <c r="V532" s="44"/>
      <c r="W532" s="44"/>
      <c r="X532" s="44"/>
      <c r="Y532" s="44"/>
      <c r="Z532" s="44"/>
      <c r="AA532" s="44" t="s">
        <v>2393</v>
      </c>
      <c r="AB532" s="44" t="s">
        <v>2394</v>
      </c>
    </row>
    <row r="533" spans="1:28" ht="15.75" hidden="1" customHeight="1">
      <c r="A533" s="44"/>
      <c r="B533" s="44"/>
      <c r="C533" s="44"/>
      <c r="D533" s="44"/>
      <c r="E533" s="44"/>
      <c r="F533" s="44"/>
      <c r="G533" s="48"/>
      <c r="H533" s="48"/>
      <c r="I533" s="48"/>
      <c r="J533" s="48"/>
      <c r="K533" s="48"/>
      <c r="L533" s="48"/>
      <c r="M533" s="48"/>
      <c r="N533" s="48"/>
      <c r="O533" s="44"/>
      <c r="P533" s="44"/>
      <c r="Q533" s="44"/>
      <c r="R533" s="44"/>
      <c r="S533" s="44"/>
      <c r="T533" s="44"/>
      <c r="U533" s="44"/>
      <c r="V533" s="44"/>
      <c r="W533" s="44"/>
      <c r="X533" s="44"/>
      <c r="Y533" s="44"/>
      <c r="Z533" s="44"/>
      <c r="AA533" s="44" t="s">
        <v>2395</v>
      </c>
      <c r="AB533" s="44" t="s">
        <v>2396</v>
      </c>
    </row>
    <row r="534" spans="1:28" ht="15.75" hidden="1" customHeight="1">
      <c r="A534" s="44"/>
      <c r="B534" s="44"/>
      <c r="C534" s="44"/>
      <c r="D534" s="44"/>
      <c r="E534" s="44"/>
      <c r="F534" s="44"/>
      <c r="G534" s="48"/>
      <c r="H534" s="48"/>
      <c r="I534" s="48"/>
      <c r="J534" s="48"/>
      <c r="K534" s="48"/>
      <c r="L534" s="48"/>
      <c r="M534" s="48"/>
      <c r="N534" s="48"/>
      <c r="O534" s="44"/>
      <c r="P534" s="44"/>
      <c r="Q534" s="44"/>
      <c r="R534" s="44"/>
      <c r="S534" s="44"/>
      <c r="T534" s="44"/>
      <c r="U534" s="44"/>
      <c r="V534" s="44"/>
      <c r="W534" s="44"/>
      <c r="X534" s="44"/>
      <c r="Y534" s="44"/>
      <c r="Z534" s="44"/>
      <c r="AA534" s="44" t="s">
        <v>2397</v>
      </c>
      <c r="AB534" s="44" t="s">
        <v>2398</v>
      </c>
    </row>
    <row r="535" spans="1:28" ht="15.75" hidden="1" customHeight="1">
      <c r="A535" s="44"/>
      <c r="B535" s="44"/>
      <c r="C535" s="44"/>
      <c r="D535" s="44"/>
      <c r="E535" s="44"/>
      <c r="F535" s="44"/>
      <c r="G535" s="48"/>
      <c r="H535" s="48"/>
      <c r="I535" s="48"/>
      <c r="J535" s="48"/>
      <c r="K535" s="48"/>
      <c r="L535" s="48"/>
      <c r="M535" s="48"/>
      <c r="N535" s="48"/>
      <c r="O535" s="44"/>
      <c r="P535" s="44"/>
      <c r="Q535" s="44"/>
      <c r="R535" s="44"/>
      <c r="S535" s="44"/>
      <c r="T535" s="44"/>
      <c r="U535" s="44"/>
      <c r="V535" s="44"/>
      <c r="W535" s="44"/>
      <c r="X535" s="44"/>
      <c r="Y535" s="44"/>
      <c r="Z535" s="44"/>
      <c r="AA535" s="44" t="s">
        <v>2399</v>
      </c>
      <c r="AB535" s="44" t="s">
        <v>2400</v>
      </c>
    </row>
    <row r="536" spans="1:28" ht="15.75" hidden="1" customHeight="1">
      <c r="A536" s="44"/>
      <c r="B536" s="44"/>
      <c r="C536" s="44"/>
      <c r="D536" s="44"/>
      <c r="E536" s="44"/>
      <c r="F536" s="44"/>
      <c r="G536" s="48"/>
      <c r="H536" s="48"/>
      <c r="I536" s="48"/>
      <c r="J536" s="48"/>
      <c r="K536" s="48"/>
      <c r="L536" s="48"/>
      <c r="M536" s="48"/>
      <c r="N536" s="48"/>
      <c r="O536" s="44"/>
      <c r="P536" s="44"/>
      <c r="Q536" s="44"/>
      <c r="R536" s="44"/>
      <c r="S536" s="44"/>
      <c r="T536" s="44"/>
      <c r="U536" s="44"/>
      <c r="V536" s="44"/>
      <c r="W536" s="44"/>
      <c r="X536" s="44"/>
      <c r="Y536" s="44"/>
      <c r="Z536" s="44"/>
      <c r="AA536" s="44" t="s">
        <v>2401</v>
      </c>
      <c r="AB536" s="44" t="s">
        <v>2402</v>
      </c>
    </row>
    <row r="537" spans="1:28" ht="15.75" hidden="1" customHeight="1">
      <c r="A537" s="44"/>
      <c r="B537" s="44"/>
      <c r="C537" s="44"/>
      <c r="D537" s="44"/>
      <c r="E537" s="44"/>
      <c r="F537" s="44"/>
      <c r="G537" s="48"/>
      <c r="H537" s="48"/>
      <c r="I537" s="48"/>
      <c r="J537" s="48"/>
      <c r="K537" s="48"/>
      <c r="L537" s="48"/>
      <c r="M537" s="48"/>
      <c r="N537" s="48"/>
      <c r="O537" s="44"/>
      <c r="P537" s="44"/>
      <c r="Q537" s="44"/>
      <c r="R537" s="44"/>
      <c r="S537" s="44"/>
      <c r="T537" s="44"/>
      <c r="U537" s="44"/>
      <c r="V537" s="44"/>
      <c r="W537" s="44"/>
      <c r="X537" s="44"/>
      <c r="Y537" s="44"/>
      <c r="Z537" s="44"/>
      <c r="AA537" s="44" t="s">
        <v>2403</v>
      </c>
      <c r="AB537" s="44" t="s">
        <v>2404</v>
      </c>
    </row>
    <row r="538" spans="1:28" ht="15.75" hidden="1" customHeight="1">
      <c r="A538" s="44"/>
      <c r="B538" s="44"/>
      <c r="C538" s="44"/>
      <c r="D538" s="44"/>
      <c r="E538" s="44"/>
      <c r="F538" s="44"/>
      <c r="G538" s="48"/>
      <c r="H538" s="48"/>
      <c r="I538" s="48"/>
      <c r="J538" s="48"/>
      <c r="K538" s="48"/>
      <c r="L538" s="48"/>
      <c r="M538" s="48"/>
      <c r="N538" s="48"/>
      <c r="O538" s="44"/>
      <c r="P538" s="44"/>
      <c r="Q538" s="44"/>
      <c r="R538" s="44"/>
      <c r="S538" s="44"/>
      <c r="T538" s="44"/>
      <c r="U538" s="44"/>
      <c r="V538" s="44"/>
      <c r="W538" s="44"/>
      <c r="X538" s="44"/>
      <c r="Y538" s="44"/>
      <c r="Z538" s="44"/>
      <c r="AA538" s="44" t="s">
        <v>2405</v>
      </c>
      <c r="AB538" s="44" t="s">
        <v>2406</v>
      </c>
    </row>
    <row r="539" spans="1:28" ht="15.75" hidden="1" customHeight="1">
      <c r="A539" s="44"/>
      <c r="B539" s="44"/>
      <c r="C539" s="44"/>
      <c r="D539" s="44"/>
      <c r="E539" s="44"/>
      <c r="F539" s="44"/>
      <c r="G539" s="48"/>
      <c r="H539" s="48"/>
      <c r="I539" s="48"/>
      <c r="J539" s="48"/>
      <c r="K539" s="48"/>
      <c r="L539" s="48"/>
      <c r="M539" s="48"/>
      <c r="N539" s="48"/>
      <c r="O539" s="44"/>
      <c r="P539" s="44"/>
      <c r="Q539" s="44"/>
      <c r="R539" s="44"/>
      <c r="S539" s="44"/>
      <c r="T539" s="44"/>
      <c r="U539" s="44"/>
      <c r="V539" s="44"/>
      <c r="W539" s="44"/>
      <c r="X539" s="44"/>
      <c r="Y539" s="44"/>
      <c r="Z539" s="44"/>
      <c r="AA539" s="44" t="s">
        <v>2407</v>
      </c>
      <c r="AB539" s="44" t="s">
        <v>2408</v>
      </c>
    </row>
    <row r="540" spans="1:28" ht="15.75" hidden="1" customHeight="1">
      <c r="A540" s="44"/>
      <c r="B540" s="44"/>
      <c r="C540" s="44"/>
      <c r="D540" s="44"/>
      <c r="E540" s="44"/>
      <c r="F540" s="44"/>
      <c r="G540" s="48"/>
      <c r="H540" s="48"/>
      <c r="I540" s="48"/>
      <c r="J540" s="48"/>
      <c r="K540" s="48"/>
      <c r="L540" s="48"/>
      <c r="M540" s="48"/>
      <c r="N540" s="48"/>
      <c r="O540" s="44"/>
      <c r="P540" s="44"/>
      <c r="Q540" s="44"/>
      <c r="R540" s="44"/>
      <c r="S540" s="44"/>
      <c r="T540" s="44"/>
      <c r="U540" s="44"/>
      <c r="V540" s="44"/>
      <c r="W540" s="44"/>
      <c r="X540" s="44"/>
      <c r="Y540" s="44"/>
      <c r="Z540" s="44"/>
      <c r="AA540" s="44" t="s">
        <v>2409</v>
      </c>
      <c r="AB540" s="44" t="s">
        <v>2410</v>
      </c>
    </row>
    <row r="541" spans="1:28" ht="15.75" hidden="1" customHeight="1">
      <c r="A541" s="44"/>
      <c r="B541" s="44"/>
      <c r="C541" s="44"/>
      <c r="D541" s="44"/>
      <c r="E541" s="44"/>
      <c r="F541" s="44"/>
      <c r="G541" s="48"/>
      <c r="H541" s="48"/>
      <c r="I541" s="48"/>
      <c r="J541" s="48"/>
      <c r="K541" s="48"/>
      <c r="L541" s="48"/>
      <c r="M541" s="48"/>
      <c r="N541" s="48"/>
      <c r="O541" s="44"/>
      <c r="P541" s="44"/>
      <c r="Q541" s="44"/>
      <c r="R541" s="44"/>
      <c r="S541" s="44"/>
      <c r="T541" s="44"/>
      <c r="U541" s="44"/>
      <c r="V541" s="44"/>
      <c r="W541" s="44"/>
      <c r="X541" s="44"/>
      <c r="Y541" s="44"/>
      <c r="Z541" s="44"/>
      <c r="AA541" s="44" t="s">
        <v>2411</v>
      </c>
      <c r="AB541" s="44" t="s">
        <v>2412</v>
      </c>
    </row>
    <row r="542" spans="1:28" ht="15.75" hidden="1" customHeight="1">
      <c r="A542" s="44"/>
      <c r="B542" s="44"/>
      <c r="C542" s="44"/>
      <c r="D542" s="44"/>
      <c r="E542" s="44"/>
      <c r="F542" s="44"/>
      <c r="G542" s="48"/>
      <c r="H542" s="48"/>
      <c r="I542" s="48"/>
      <c r="J542" s="48"/>
      <c r="K542" s="48"/>
      <c r="L542" s="48"/>
      <c r="M542" s="48"/>
      <c r="N542" s="48"/>
      <c r="O542" s="44"/>
      <c r="P542" s="44"/>
      <c r="Q542" s="44"/>
      <c r="R542" s="44"/>
      <c r="S542" s="44"/>
      <c r="T542" s="44"/>
      <c r="U542" s="44"/>
      <c r="V542" s="44"/>
      <c r="W542" s="44"/>
      <c r="X542" s="44"/>
      <c r="Y542" s="44"/>
      <c r="Z542" s="44"/>
      <c r="AA542" s="44" t="s">
        <v>2413</v>
      </c>
      <c r="AB542" s="44" t="s">
        <v>2414</v>
      </c>
    </row>
    <row r="543" spans="1:28" ht="15.75" hidden="1" customHeight="1">
      <c r="A543" s="44"/>
      <c r="B543" s="44"/>
      <c r="C543" s="44"/>
      <c r="D543" s="44"/>
      <c r="E543" s="44"/>
      <c r="F543" s="44"/>
      <c r="G543" s="48"/>
      <c r="H543" s="48"/>
      <c r="I543" s="48"/>
      <c r="J543" s="48"/>
      <c r="K543" s="48"/>
      <c r="L543" s="48"/>
      <c r="M543" s="48"/>
      <c r="N543" s="48"/>
      <c r="O543" s="44"/>
      <c r="P543" s="44"/>
      <c r="Q543" s="44"/>
      <c r="R543" s="44"/>
      <c r="S543" s="44"/>
      <c r="T543" s="44"/>
      <c r="U543" s="44"/>
      <c r="V543" s="44"/>
      <c r="W543" s="44"/>
      <c r="X543" s="44"/>
      <c r="Y543" s="44"/>
      <c r="Z543" s="44"/>
      <c r="AA543" s="44" t="s">
        <v>2415</v>
      </c>
      <c r="AB543" s="44" t="s">
        <v>2416</v>
      </c>
    </row>
    <row r="544" spans="1:28" ht="15.75" hidden="1" customHeight="1">
      <c r="A544" s="44"/>
      <c r="B544" s="44"/>
      <c r="C544" s="44"/>
      <c r="D544" s="44"/>
      <c r="E544" s="44"/>
      <c r="F544" s="44"/>
      <c r="G544" s="48"/>
      <c r="H544" s="48"/>
      <c r="I544" s="48"/>
      <c r="J544" s="48"/>
      <c r="K544" s="48"/>
      <c r="L544" s="48"/>
      <c r="M544" s="48"/>
      <c r="N544" s="48"/>
      <c r="O544" s="44"/>
      <c r="P544" s="44"/>
      <c r="Q544" s="44"/>
      <c r="R544" s="44"/>
      <c r="S544" s="44"/>
      <c r="T544" s="44"/>
      <c r="U544" s="44"/>
      <c r="V544" s="44"/>
      <c r="W544" s="44"/>
      <c r="X544" s="44"/>
      <c r="Y544" s="44"/>
      <c r="Z544" s="44"/>
      <c r="AA544" s="44" t="s">
        <v>2417</v>
      </c>
      <c r="AB544" s="44" t="s">
        <v>2418</v>
      </c>
    </row>
    <row r="545" spans="1:28" ht="15.75" hidden="1" customHeight="1">
      <c r="A545" s="44"/>
      <c r="B545" s="44"/>
      <c r="C545" s="44"/>
      <c r="D545" s="44"/>
      <c r="E545" s="44"/>
      <c r="F545" s="44"/>
      <c r="G545" s="48"/>
      <c r="H545" s="48"/>
      <c r="I545" s="48"/>
      <c r="J545" s="48"/>
      <c r="K545" s="48"/>
      <c r="L545" s="48"/>
      <c r="M545" s="48"/>
      <c r="N545" s="48"/>
      <c r="O545" s="44"/>
      <c r="P545" s="44"/>
      <c r="Q545" s="44"/>
      <c r="R545" s="44"/>
      <c r="S545" s="44"/>
      <c r="T545" s="44"/>
      <c r="U545" s="44"/>
      <c r="V545" s="44"/>
      <c r="W545" s="44"/>
      <c r="X545" s="44"/>
      <c r="Y545" s="44"/>
      <c r="Z545" s="44"/>
      <c r="AA545" s="44" t="s">
        <v>2419</v>
      </c>
      <c r="AB545" s="44" t="s">
        <v>2420</v>
      </c>
    </row>
    <row r="546" spans="1:28" ht="15.75" hidden="1" customHeight="1">
      <c r="A546" s="44"/>
      <c r="B546" s="44"/>
      <c r="C546" s="44"/>
      <c r="D546" s="44"/>
      <c r="E546" s="44"/>
      <c r="F546" s="44"/>
      <c r="G546" s="48"/>
      <c r="H546" s="48"/>
      <c r="I546" s="48"/>
      <c r="J546" s="48"/>
      <c r="K546" s="48"/>
      <c r="L546" s="48"/>
      <c r="M546" s="48"/>
      <c r="N546" s="48"/>
      <c r="O546" s="44"/>
      <c r="P546" s="44"/>
      <c r="Q546" s="44"/>
      <c r="R546" s="44"/>
      <c r="S546" s="44"/>
      <c r="T546" s="44"/>
      <c r="U546" s="44"/>
      <c r="V546" s="44"/>
      <c r="W546" s="44"/>
      <c r="X546" s="44"/>
      <c r="Y546" s="44"/>
      <c r="Z546" s="44"/>
      <c r="AA546" s="44" t="s">
        <v>2421</v>
      </c>
      <c r="AB546" s="44" t="s">
        <v>2422</v>
      </c>
    </row>
    <row r="547" spans="1:28" ht="15.75" hidden="1" customHeight="1">
      <c r="A547" s="44"/>
      <c r="B547" s="44"/>
      <c r="C547" s="44"/>
      <c r="D547" s="44"/>
      <c r="E547" s="44"/>
      <c r="F547" s="44"/>
      <c r="G547" s="48"/>
      <c r="H547" s="48"/>
      <c r="I547" s="48"/>
      <c r="J547" s="48"/>
      <c r="K547" s="48"/>
      <c r="L547" s="48"/>
      <c r="M547" s="48"/>
      <c r="N547" s="48"/>
      <c r="O547" s="44"/>
      <c r="P547" s="44"/>
      <c r="Q547" s="44"/>
      <c r="R547" s="44"/>
      <c r="S547" s="44"/>
      <c r="T547" s="44"/>
      <c r="U547" s="44"/>
      <c r="V547" s="44"/>
      <c r="W547" s="44"/>
      <c r="X547" s="44"/>
      <c r="Y547" s="44"/>
      <c r="Z547" s="44"/>
      <c r="AA547" s="44" t="s">
        <v>2423</v>
      </c>
      <c r="AB547" s="44" t="s">
        <v>2424</v>
      </c>
    </row>
    <row r="548" spans="1:28" ht="15.75" hidden="1" customHeight="1">
      <c r="A548" s="44"/>
      <c r="B548" s="44"/>
      <c r="C548" s="44"/>
      <c r="D548" s="44"/>
      <c r="E548" s="44"/>
      <c r="F548" s="44"/>
      <c r="G548" s="48"/>
      <c r="H548" s="48"/>
      <c r="I548" s="48"/>
      <c r="J548" s="48"/>
      <c r="K548" s="48"/>
      <c r="L548" s="48"/>
      <c r="M548" s="48"/>
      <c r="N548" s="48"/>
      <c r="O548" s="44"/>
      <c r="P548" s="44"/>
      <c r="Q548" s="44"/>
      <c r="R548" s="44"/>
      <c r="S548" s="44"/>
      <c r="T548" s="44"/>
      <c r="U548" s="44"/>
      <c r="V548" s="44"/>
      <c r="W548" s="44"/>
      <c r="X548" s="44"/>
      <c r="Y548" s="44"/>
      <c r="Z548" s="44"/>
      <c r="AA548" s="44" t="s">
        <v>2425</v>
      </c>
      <c r="AB548" s="44" t="s">
        <v>2426</v>
      </c>
    </row>
    <row r="549" spans="1:28" ht="15.75" hidden="1" customHeight="1">
      <c r="A549" s="44"/>
      <c r="B549" s="44"/>
      <c r="C549" s="44"/>
      <c r="D549" s="44"/>
      <c r="E549" s="44"/>
      <c r="F549" s="44"/>
      <c r="G549" s="48"/>
      <c r="H549" s="48"/>
      <c r="I549" s="48"/>
      <c r="J549" s="48"/>
      <c r="K549" s="48"/>
      <c r="L549" s="48"/>
      <c r="M549" s="48"/>
      <c r="N549" s="48"/>
      <c r="O549" s="44"/>
      <c r="P549" s="44"/>
      <c r="Q549" s="44"/>
      <c r="R549" s="44"/>
      <c r="S549" s="44"/>
      <c r="T549" s="44"/>
      <c r="U549" s="44"/>
      <c r="V549" s="44"/>
      <c r="W549" s="44"/>
      <c r="X549" s="44"/>
      <c r="Y549" s="44"/>
      <c r="Z549" s="44"/>
      <c r="AA549" s="44" t="s">
        <v>2427</v>
      </c>
      <c r="AB549" s="44" t="s">
        <v>2428</v>
      </c>
    </row>
    <row r="550" spans="1:28" ht="15.75" hidden="1" customHeight="1">
      <c r="A550" s="44"/>
      <c r="B550" s="44"/>
      <c r="C550" s="44"/>
      <c r="D550" s="44"/>
      <c r="E550" s="44"/>
      <c r="F550" s="44"/>
      <c r="G550" s="48"/>
      <c r="H550" s="48"/>
      <c r="I550" s="48"/>
      <c r="J550" s="48"/>
      <c r="K550" s="48"/>
      <c r="L550" s="48"/>
      <c r="M550" s="48"/>
      <c r="N550" s="48"/>
      <c r="O550" s="44"/>
      <c r="P550" s="44"/>
      <c r="Q550" s="44"/>
      <c r="R550" s="44"/>
      <c r="S550" s="44"/>
      <c r="T550" s="44"/>
      <c r="U550" s="44"/>
      <c r="V550" s="44"/>
      <c r="W550" s="44"/>
      <c r="X550" s="44"/>
      <c r="Y550" s="44"/>
      <c r="Z550" s="44"/>
      <c r="AA550" s="44" t="s">
        <v>2429</v>
      </c>
      <c r="AB550" s="44" t="s">
        <v>2430</v>
      </c>
    </row>
    <row r="551" spans="1:28" ht="15.75" hidden="1" customHeight="1">
      <c r="A551" s="44"/>
      <c r="B551" s="44"/>
      <c r="C551" s="44"/>
      <c r="D551" s="44"/>
      <c r="E551" s="44"/>
      <c r="F551" s="44"/>
      <c r="G551" s="48"/>
      <c r="H551" s="48"/>
      <c r="I551" s="48"/>
      <c r="J551" s="48"/>
      <c r="K551" s="48"/>
      <c r="L551" s="48"/>
      <c r="M551" s="48"/>
      <c r="N551" s="48"/>
      <c r="O551" s="44"/>
      <c r="P551" s="44"/>
      <c r="Q551" s="44"/>
      <c r="R551" s="44"/>
      <c r="S551" s="44"/>
      <c r="T551" s="44"/>
      <c r="U551" s="44"/>
      <c r="V551" s="44"/>
      <c r="W551" s="44"/>
      <c r="X551" s="44"/>
      <c r="Y551" s="44"/>
      <c r="Z551" s="44"/>
      <c r="AA551" s="44" t="s">
        <v>2431</v>
      </c>
      <c r="AB551" s="44" t="s">
        <v>2432</v>
      </c>
    </row>
    <row r="552" spans="1:28" ht="15.75" hidden="1" customHeight="1">
      <c r="A552" s="44"/>
      <c r="B552" s="44"/>
      <c r="C552" s="44"/>
      <c r="D552" s="44"/>
      <c r="E552" s="44"/>
      <c r="F552" s="44"/>
      <c r="G552" s="48"/>
      <c r="H552" s="48"/>
      <c r="I552" s="48"/>
      <c r="J552" s="48"/>
      <c r="K552" s="48"/>
      <c r="L552" s="48"/>
      <c r="M552" s="48"/>
      <c r="N552" s="48"/>
      <c r="O552" s="44"/>
      <c r="P552" s="44"/>
      <c r="Q552" s="44"/>
      <c r="R552" s="44"/>
      <c r="S552" s="44"/>
      <c r="T552" s="44"/>
      <c r="U552" s="44"/>
      <c r="V552" s="44"/>
      <c r="W552" s="44"/>
      <c r="X552" s="44"/>
      <c r="Y552" s="44"/>
      <c r="Z552" s="44"/>
      <c r="AA552" s="44" t="s">
        <v>2433</v>
      </c>
      <c r="AB552" s="44" t="s">
        <v>2434</v>
      </c>
    </row>
    <row r="553" spans="1:28" ht="15.75" hidden="1" customHeight="1">
      <c r="A553" s="44"/>
      <c r="B553" s="44"/>
      <c r="C553" s="44"/>
      <c r="D553" s="44"/>
      <c r="E553" s="44"/>
      <c r="F553" s="44"/>
      <c r="G553" s="48"/>
      <c r="H553" s="48"/>
      <c r="I553" s="48"/>
      <c r="J553" s="48"/>
      <c r="K553" s="48"/>
      <c r="L553" s="48"/>
      <c r="M553" s="48"/>
      <c r="N553" s="48"/>
      <c r="O553" s="44"/>
      <c r="P553" s="44"/>
      <c r="Q553" s="44"/>
      <c r="R553" s="44"/>
      <c r="S553" s="44"/>
      <c r="T553" s="44"/>
      <c r="U553" s="44"/>
      <c r="V553" s="44"/>
      <c r="W553" s="44"/>
      <c r="X553" s="44"/>
      <c r="Y553" s="44"/>
      <c r="Z553" s="44"/>
      <c r="AA553" s="44" t="s">
        <v>2435</v>
      </c>
      <c r="AB553" s="44" t="s">
        <v>2436</v>
      </c>
    </row>
    <row r="554" spans="1:28" ht="15.75" hidden="1" customHeight="1">
      <c r="A554" s="44"/>
      <c r="B554" s="44"/>
      <c r="C554" s="44"/>
      <c r="D554" s="44"/>
      <c r="E554" s="44"/>
      <c r="F554" s="44"/>
      <c r="G554" s="48"/>
      <c r="H554" s="48"/>
      <c r="I554" s="48"/>
      <c r="J554" s="48"/>
      <c r="K554" s="48"/>
      <c r="L554" s="48"/>
      <c r="M554" s="48"/>
      <c r="N554" s="48"/>
      <c r="O554" s="44"/>
      <c r="P554" s="44"/>
      <c r="Q554" s="44"/>
      <c r="R554" s="44"/>
      <c r="S554" s="44"/>
      <c r="T554" s="44"/>
      <c r="U554" s="44"/>
      <c r="V554" s="44"/>
      <c r="W554" s="44"/>
      <c r="X554" s="44"/>
      <c r="Y554" s="44"/>
      <c r="Z554" s="44"/>
      <c r="AA554" s="44" t="s">
        <v>2437</v>
      </c>
      <c r="AB554" s="44" t="s">
        <v>2438</v>
      </c>
    </row>
    <row r="555" spans="1:28" ht="15.75" hidden="1" customHeight="1">
      <c r="A555" s="44"/>
      <c r="B555" s="44"/>
      <c r="C555" s="44"/>
      <c r="D555" s="44"/>
      <c r="E555" s="44"/>
      <c r="F555" s="44"/>
      <c r="G555" s="48"/>
      <c r="H555" s="48"/>
      <c r="I555" s="48"/>
      <c r="J555" s="48"/>
      <c r="K555" s="48"/>
      <c r="L555" s="48"/>
      <c r="M555" s="48"/>
      <c r="N555" s="48"/>
      <c r="O555" s="44"/>
      <c r="P555" s="44"/>
      <c r="Q555" s="44"/>
      <c r="R555" s="44"/>
      <c r="S555" s="44"/>
      <c r="T555" s="44"/>
      <c r="U555" s="44"/>
      <c r="V555" s="44"/>
      <c r="W555" s="44"/>
      <c r="X555" s="44"/>
      <c r="Y555" s="44"/>
      <c r="Z555" s="44"/>
      <c r="AA555" s="44" t="s">
        <v>2439</v>
      </c>
      <c r="AB555" s="44" t="s">
        <v>2440</v>
      </c>
    </row>
    <row r="556" spans="1:28" ht="15.75" hidden="1" customHeight="1">
      <c r="A556" s="44"/>
      <c r="B556" s="44"/>
      <c r="C556" s="44"/>
      <c r="D556" s="44"/>
      <c r="E556" s="44"/>
      <c r="F556" s="44"/>
      <c r="G556" s="48"/>
      <c r="H556" s="48"/>
      <c r="I556" s="48"/>
      <c r="J556" s="48"/>
      <c r="K556" s="48"/>
      <c r="L556" s="48"/>
      <c r="M556" s="48"/>
      <c r="N556" s="48"/>
      <c r="O556" s="44"/>
      <c r="P556" s="44"/>
      <c r="Q556" s="44"/>
      <c r="R556" s="44"/>
      <c r="S556" s="44"/>
      <c r="T556" s="44"/>
      <c r="U556" s="44"/>
      <c r="V556" s="44"/>
      <c r="W556" s="44"/>
      <c r="X556" s="44"/>
      <c r="Y556" s="44"/>
      <c r="Z556" s="44"/>
      <c r="AA556" s="44" t="s">
        <v>2441</v>
      </c>
      <c r="AB556" s="44" t="s">
        <v>2442</v>
      </c>
    </row>
    <row r="557" spans="1:28" ht="15.75" hidden="1" customHeight="1">
      <c r="A557" s="44"/>
      <c r="B557" s="44"/>
      <c r="C557" s="44"/>
      <c r="D557" s="44"/>
      <c r="E557" s="44"/>
      <c r="F557" s="44"/>
      <c r="G557" s="48"/>
      <c r="H557" s="48"/>
      <c r="I557" s="48"/>
      <c r="J557" s="48"/>
      <c r="K557" s="48"/>
      <c r="L557" s="48"/>
      <c r="M557" s="48"/>
      <c r="N557" s="48"/>
      <c r="O557" s="44"/>
      <c r="P557" s="44"/>
      <c r="Q557" s="44"/>
      <c r="R557" s="44"/>
      <c r="S557" s="44"/>
      <c r="T557" s="44"/>
      <c r="U557" s="44"/>
      <c r="V557" s="44"/>
      <c r="W557" s="44"/>
      <c r="X557" s="44"/>
      <c r="Y557" s="44"/>
      <c r="Z557" s="44"/>
      <c r="AA557" s="44" t="s">
        <v>2443</v>
      </c>
      <c r="AB557" s="44" t="s">
        <v>2444</v>
      </c>
    </row>
    <row r="558" spans="1:28" ht="15.75" hidden="1" customHeight="1">
      <c r="A558" s="44"/>
      <c r="B558" s="44"/>
      <c r="C558" s="44"/>
      <c r="D558" s="44"/>
      <c r="E558" s="44"/>
      <c r="F558" s="44"/>
      <c r="G558" s="48"/>
      <c r="H558" s="48"/>
      <c r="I558" s="48"/>
      <c r="J558" s="48"/>
      <c r="K558" s="48"/>
      <c r="L558" s="48"/>
      <c r="M558" s="48"/>
      <c r="N558" s="48"/>
      <c r="O558" s="44"/>
      <c r="P558" s="44"/>
      <c r="Q558" s="44"/>
      <c r="R558" s="44"/>
      <c r="S558" s="44"/>
      <c r="T558" s="44"/>
      <c r="U558" s="44"/>
      <c r="V558" s="44"/>
      <c r="W558" s="44"/>
      <c r="X558" s="44"/>
      <c r="Y558" s="44"/>
      <c r="Z558" s="44"/>
      <c r="AA558" s="44" t="s">
        <v>2445</v>
      </c>
      <c r="AB558" s="44" t="s">
        <v>2446</v>
      </c>
    </row>
    <row r="559" spans="1:28" ht="15.75" hidden="1" customHeight="1">
      <c r="A559" s="44"/>
      <c r="B559" s="44"/>
      <c r="C559" s="44"/>
      <c r="D559" s="44"/>
      <c r="E559" s="44"/>
      <c r="F559" s="44"/>
      <c r="G559" s="48"/>
      <c r="H559" s="48"/>
      <c r="I559" s="48"/>
      <c r="J559" s="48"/>
      <c r="K559" s="48"/>
      <c r="L559" s="48"/>
      <c r="M559" s="48"/>
      <c r="N559" s="48"/>
      <c r="O559" s="44"/>
      <c r="P559" s="44"/>
      <c r="Q559" s="44"/>
      <c r="R559" s="44"/>
      <c r="S559" s="44"/>
      <c r="T559" s="44"/>
      <c r="U559" s="44"/>
      <c r="V559" s="44"/>
      <c r="W559" s="44"/>
      <c r="X559" s="44"/>
      <c r="Y559" s="44"/>
      <c r="Z559" s="44"/>
      <c r="AA559" s="44" t="s">
        <v>2447</v>
      </c>
      <c r="AB559" s="44" t="s">
        <v>2448</v>
      </c>
    </row>
    <row r="560" spans="1:28" ht="15.75" hidden="1" customHeight="1">
      <c r="A560" s="44"/>
      <c r="B560" s="44"/>
      <c r="C560" s="44"/>
      <c r="D560" s="44"/>
      <c r="E560" s="44"/>
      <c r="F560" s="44"/>
      <c r="G560" s="48"/>
      <c r="H560" s="48"/>
      <c r="I560" s="48"/>
      <c r="J560" s="48"/>
      <c r="K560" s="48"/>
      <c r="L560" s="48"/>
      <c r="M560" s="48"/>
      <c r="N560" s="48"/>
      <c r="O560" s="44"/>
      <c r="P560" s="44"/>
      <c r="Q560" s="44"/>
      <c r="R560" s="44"/>
      <c r="S560" s="44"/>
      <c r="T560" s="44"/>
      <c r="U560" s="44"/>
      <c r="V560" s="44"/>
      <c r="W560" s="44"/>
      <c r="X560" s="44"/>
      <c r="Y560" s="44"/>
      <c r="Z560" s="44"/>
      <c r="AA560" s="44" t="s">
        <v>2449</v>
      </c>
      <c r="AB560" s="44" t="s">
        <v>2450</v>
      </c>
    </row>
    <row r="561" spans="1:28" ht="15.75" hidden="1" customHeight="1">
      <c r="A561" s="44"/>
      <c r="B561" s="44"/>
      <c r="C561" s="44"/>
      <c r="D561" s="44"/>
      <c r="E561" s="44"/>
      <c r="F561" s="44"/>
      <c r="G561" s="48"/>
      <c r="H561" s="48"/>
      <c r="I561" s="48"/>
      <c r="J561" s="48"/>
      <c r="K561" s="48"/>
      <c r="L561" s="48"/>
      <c r="M561" s="48"/>
      <c r="N561" s="48"/>
      <c r="O561" s="44"/>
      <c r="P561" s="44"/>
      <c r="Q561" s="44"/>
      <c r="R561" s="44"/>
      <c r="S561" s="44"/>
      <c r="T561" s="44"/>
      <c r="U561" s="44"/>
      <c r="V561" s="44"/>
      <c r="W561" s="44"/>
      <c r="X561" s="44"/>
      <c r="Y561" s="44"/>
      <c r="Z561" s="44"/>
      <c r="AA561" s="44" t="s">
        <v>2451</v>
      </c>
      <c r="AB561" s="44" t="s">
        <v>2297</v>
      </c>
    </row>
    <row r="562" spans="1:28" ht="15.75" hidden="1" customHeight="1">
      <c r="A562" s="44"/>
      <c r="B562" s="44"/>
      <c r="C562" s="44"/>
      <c r="D562" s="44"/>
      <c r="E562" s="44"/>
      <c r="F562" s="44"/>
      <c r="G562" s="48"/>
      <c r="H562" s="48"/>
      <c r="I562" s="48"/>
      <c r="J562" s="48"/>
      <c r="K562" s="48"/>
      <c r="L562" s="48"/>
      <c r="M562" s="48"/>
      <c r="N562" s="48"/>
      <c r="O562" s="44"/>
      <c r="P562" s="44"/>
      <c r="Q562" s="44"/>
      <c r="R562" s="44"/>
      <c r="S562" s="44"/>
      <c r="T562" s="44"/>
      <c r="U562" s="44"/>
      <c r="V562" s="44"/>
      <c r="W562" s="44"/>
      <c r="X562" s="44"/>
      <c r="Y562" s="44"/>
      <c r="Z562" s="44"/>
      <c r="AA562" s="44" t="s">
        <v>2452</v>
      </c>
      <c r="AB562" s="44" t="s">
        <v>2453</v>
      </c>
    </row>
    <row r="563" spans="1:28" ht="15.75" hidden="1" customHeight="1">
      <c r="A563" s="44"/>
      <c r="B563" s="44"/>
      <c r="C563" s="44"/>
      <c r="D563" s="44"/>
      <c r="E563" s="44"/>
      <c r="F563" s="44"/>
      <c r="G563" s="48"/>
      <c r="H563" s="48"/>
      <c r="I563" s="48"/>
      <c r="J563" s="48"/>
      <c r="K563" s="48"/>
      <c r="L563" s="48"/>
      <c r="M563" s="48"/>
      <c r="N563" s="48"/>
      <c r="O563" s="44"/>
      <c r="P563" s="44"/>
      <c r="Q563" s="44"/>
      <c r="R563" s="44"/>
      <c r="S563" s="44"/>
      <c r="T563" s="44"/>
      <c r="U563" s="44"/>
      <c r="V563" s="44"/>
      <c r="W563" s="44"/>
      <c r="X563" s="44"/>
      <c r="Y563" s="44"/>
      <c r="Z563" s="44"/>
      <c r="AA563" s="44" t="s">
        <v>2454</v>
      </c>
      <c r="AB563" s="44" t="s">
        <v>2455</v>
      </c>
    </row>
    <row r="564" spans="1:28" ht="15.75" hidden="1" customHeight="1">
      <c r="A564" s="44"/>
      <c r="B564" s="44"/>
      <c r="C564" s="44"/>
      <c r="D564" s="44"/>
      <c r="E564" s="44"/>
      <c r="F564" s="44"/>
      <c r="G564" s="48"/>
      <c r="H564" s="48"/>
      <c r="I564" s="48"/>
      <c r="J564" s="48"/>
      <c r="K564" s="48"/>
      <c r="L564" s="48"/>
      <c r="M564" s="48"/>
      <c r="N564" s="48"/>
      <c r="O564" s="44"/>
      <c r="P564" s="44"/>
      <c r="Q564" s="44"/>
      <c r="R564" s="44"/>
      <c r="S564" s="44"/>
      <c r="T564" s="44"/>
      <c r="U564" s="44"/>
      <c r="V564" s="44"/>
      <c r="W564" s="44"/>
      <c r="X564" s="44"/>
      <c r="Y564" s="44"/>
      <c r="Z564" s="44"/>
      <c r="AA564" s="44" t="s">
        <v>2456</v>
      </c>
      <c r="AB564" s="44" t="s">
        <v>2457</v>
      </c>
    </row>
    <row r="565" spans="1:28" ht="15.75" hidden="1" customHeight="1">
      <c r="A565" s="44"/>
      <c r="B565" s="44"/>
      <c r="C565" s="44"/>
      <c r="D565" s="44"/>
      <c r="E565" s="44"/>
      <c r="F565" s="44"/>
      <c r="G565" s="48"/>
      <c r="H565" s="48"/>
      <c r="I565" s="48"/>
      <c r="J565" s="48"/>
      <c r="K565" s="48"/>
      <c r="L565" s="48"/>
      <c r="M565" s="48"/>
      <c r="N565" s="48"/>
      <c r="O565" s="44"/>
      <c r="P565" s="44"/>
      <c r="Q565" s="44"/>
      <c r="R565" s="44"/>
      <c r="S565" s="44"/>
      <c r="T565" s="44"/>
      <c r="U565" s="44"/>
      <c r="V565" s="44"/>
      <c r="W565" s="44"/>
      <c r="X565" s="44"/>
      <c r="Y565" s="44"/>
      <c r="Z565" s="44"/>
      <c r="AA565" s="44" t="s">
        <v>2458</v>
      </c>
      <c r="AB565" s="44" t="s">
        <v>2459</v>
      </c>
    </row>
    <row r="566" spans="1:28" ht="15.75" hidden="1" customHeight="1">
      <c r="A566" s="44"/>
      <c r="B566" s="44"/>
      <c r="C566" s="44"/>
      <c r="D566" s="44"/>
      <c r="E566" s="44"/>
      <c r="F566" s="44"/>
      <c r="G566" s="48"/>
      <c r="H566" s="48"/>
      <c r="I566" s="48"/>
      <c r="J566" s="48"/>
      <c r="K566" s="48"/>
      <c r="L566" s="48"/>
      <c r="M566" s="48"/>
      <c r="N566" s="48"/>
      <c r="O566" s="44"/>
      <c r="P566" s="44"/>
      <c r="Q566" s="44"/>
      <c r="R566" s="44"/>
      <c r="S566" s="44"/>
      <c r="T566" s="44"/>
      <c r="U566" s="44"/>
      <c r="V566" s="44"/>
      <c r="W566" s="44"/>
      <c r="X566" s="44"/>
      <c r="Y566" s="44"/>
      <c r="Z566" s="44"/>
      <c r="AA566" s="44" t="s">
        <v>2460</v>
      </c>
      <c r="AB566" s="44" t="s">
        <v>2461</v>
      </c>
    </row>
    <row r="567" spans="1:28" ht="15.75" hidden="1" customHeight="1">
      <c r="A567" s="44"/>
      <c r="B567" s="44"/>
      <c r="C567" s="44"/>
      <c r="D567" s="44"/>
      <c r="E567" s="44"/>
      <c r="F567" s="44"/>
      <c r="G567" s="48"/>
      <c r="H567" s="48"/>
      <c r="I567" s="48"/>
      <c r="J567" s="48"/>
      <c r="K567" s="48"/>
      <c r="L567" s="48"/>
      <c r="M567" s="48"/>
      <c r="N567" s="48"/>
      <c r="O567" s="44"/>
      <c r="P567" s="44"/>
      <c r="Q567" s="44"/>
      <c r="R567" s="44"/>
      <c r="S567" s="44"/>
      <c r="T567" s="44"/>
      <c r="U567" s="44"/>
      <c r="V567" s="44"/>
      <c r="W567" s="44"/>
      <c r="X567" s="44"/>
      <c r="Y567" s="44"/>
      <c r="Z567" s="44"/>
      <c r="AA567" s="44" t="s">
        <v>2462</v>
      </c>
      <c r="AB567" s="44" t="s">
        <v>2463</v>
      </c>
    </row>
    <row r="568" spans="1:28" ht="15.75" hidden="1" customHeight="1">
      <c r="A568" s="44"/>
      <c r="B568" s="44"/>
      <c r="C568" s="44"/>
      <c r="D568" s="44"/>
      <c r="E568" s="44"/>
      <c r="F568" s="44"/>
      <c r="G568" s="48"/>
      <c r="H568" s="48"/>
      <c r="I568" s="48"/>
      <c r="J568" s="48"/>
      <c r="K568" s="48"/>
      <c r="L568" s="48"/>
      <c r="M568" s="48"/>
      <c r="N568" s="48"/>
      <c r="O568" s="44"/>
      <c r="P568" s="44"/>
      <c r="Q568" s="44"/>
      <c r="R568" s="44"/>
      <c r="S568" s="44"/>
      <c r="T568" s="44"/>
      <c r="U568" s="44"/>
      <c r="V568" s="44"/>
      <c r="W568" s="44"/>
      <c r="X568" s="44"/>
      <c r="Y568" s="44"/>
      <c r="Z568" s="44"/>
      <c r="AA568" s="44" t="s">
        <v>2464</v>
      </c>
      <c r="AB568" s="44" t="s">
        <v>2465</v>
      </c>
    </row>
    <row r="569" spans="1:28" ht="15.75" hidden="1" customHeight="1">
      <c r="A569" s="44"/>
      <c r="B569" s="44"/>
      <c r="C569" s="44"/>
      <c r="D569" s="44"/>
      <c r="E569" s="44"/>
      <c r="F569" s="44"/>
      <c r="G569" s="48"/>
      <c r="H569" s="48"/>
      <c r="I569" s="48"/>
      <c r="J569" s="48"/>
      <c r="K569" s="48"/>
      <c r="L569" s="48"/>
      <c r="M569" s="48"/>
      <c r="N569" s="48"/>
      <c r="O569" s="44"/>
      <c r="P569" s="44"/>
      <c r="Q569" s="44"/>
      <c r="R569" s="44"/>
      <c r="S569" s="44"/>
      <c r="T569" s="44"/>
      <c r="U569" s="44"/>
      <c r="V569" s="44"/>
      <c r="W569" s="44"/>
      <c r="X569" s="44"/>
      <c r="Y569" s="44"/>
      <c r="Z569" s="44"/>
      <c r="AA569" s="44" t="s">
        <v>2466</v>
      </c>
      <c r="AB569" s="44" t="s">
        <v>2467</v>
      </c>
    </row>
    <row r="570" spans="1:28" ht="15.75" hidden="1" customHeight="1">
      <c r="A570" s="44"/>
      <c r="B570" s="44"/>
      <c r="C570" s="44"/>
      <c r="D570" s="44"/>
      <c r="E570" s="44"/>
      <c r="F570" s="44"/>
      <c r="G570" s="48"/>
      <c r="H570" s="48"/>
      <c r="I570" s="48"/>
      <c r="J570" s="48"/>
      <c r="K570" s="48"/>
      <c r="L570" s="48"/>
      <c r="M570" s="48"/>
      <c r="N570" s="48"/>
      <c r="O570" s="44"/>
      <c r="P570" s="44"/>
      <c r="Q570" s="44"/>
      <c r="R570" s="44"/>
      <c r="S570" s="44"/>
      <c r="T570" s="44"/>
      <c r="U570" s="44"/>
      <c r="V570" s="44"/>
      <c r="W570" s="44"/>
      <c r="X570" s="44"/>
      <c r="Y570" s="44"/>
      <c r="Z570" s="44"/>
      <c r="AA570" s="44" t="s">
        <v>2468</v>
      </c>
      <c r="AB570" s="44" t="s">
        <v>2469</v>
      </c>
    </row>
    <row r="571" spans="1:28" ht="15.75" hidden="1" customHeight="1">
      <c r="A571" s="44"/>
      <c r="B571" s="44"/>
      <c r="C571" s="44"/>
      <c r="D571" s="44"/>
      <c r="E571" s="44"/>
      <c r="F571" s="44"/>
      <c r="G571" s="48"/>
      <c r="H571" s="48"/>
      <c r="I571" s="48"/>
      <c r="J571" s="48"/>
      <c r="K571" s="48"/>
      <c r="L571" s="48"/>
      <c r="M571" s="48"/>
      <c r="N571" s="48"/>
      <c r="O571" s="44"/>
      <c r="P571" s="44"/>
      <c r="Q571" s="44"/>
      <c r="R571" s="44"/>
      <c r="S571" s="44"/>
      <c r="T571" s="44"/>
      <c r="U571" s="44"/>
      <c r="V571" s="44"/>
      <c r="W571" s="44"/>
      <c r="X571" s="44"/>
      <c r="Y571" s="44"/>
      <c r="Z571" s="44"/>
      <c r="AA571" s="44" t="s">
        <v>2470</v>
      </c>
      <c r="AB571" s="44" t="s">
        <v>2471</v>
      </c>
    </row>
    <row r="572" spans="1:28" ht="15.75" hidden="1" customHeight="1">
      <c r="A572" s="44"/>
      <c r="B572" s="44"/>
      <c r="C572" s="44"/>
      <c r="D572" s="44"/>
      <c r="E572" s="44"/>
      <c r="F572" s="44"/>
      <c r="G572" s="48"/>
      <c r="H572" s="48"/>
      <c r="I572" s="48"/>
      <c r="J572" s="48"/>
      <c r="K572" s="48"/>
      <c r="L572" s="48"/>
      <c r="M572" s="48"/>
      <c r="N572" s="48"/>
      <c r="O572" s="44"/>
      <c r="P572" s="44"/>
      <c r="Q572" s="44"/>
      <c r="R572" s="44"/>
      <c r="S572" s="44"/>
      <c r="T572" s="44"/>
      <c r="U572" s="44"/>
      <c r="V572" s="44"/>
      <c r="W572" s="44"/>
      <c r="X572" s="44"/>
      <c r="Y572" s="44"/>
      <c r="Z572" s="44"/>
      <c r="AA572" s="44" t="s">
        <v>2472</v>
      </c>
      <c r="AB572" s="44" t="s">
        <v>2473</v>
      </c>
    </row>
    <row r="573" spans="1:28" ht="15.75" hidden="1" customHeight="1">
      <c r="A573" s="44"/>
      <c r="B573" s="44"/>
      <c r="C573" s="44"/>
      <c r="D573" s="44"/>
      <c r="E573" s="44"/>
      <c r="F573" s="44"/>
      <c r="G573" s="48"/>
      <c r="H573" s="48"/>
      <c r="I573" s="48"/>
      <c r="J573" s="48"/>
      <c r="K573" s="48"/>
      <c r="L573" s="48"/>
      <c r="M573" s="48"/>
      <c r="N573" s="48"/>
      <c r="O573" s="44"/>
      <c r="P573" s="44"/>
      <c r="Q573" s="44"/>
      <c r="R573" s="44"/>
      <c r="S573" s="44"/>
      <c r="T573" s="44"/>
      <c r="U573" s="44"/>
      <c r="V573" s="44"/>
      <c r="W573" s="44"/>
      <c r="X573" s="44"/>
      <c r="Y573" s="44"/>
      <c r="Z573" s="44"/>
      <c r="AA573" s="44" t="s">
        <v>2474</v>
      </c>
      <c r="AB573" s="44" t="s">
        <v>2475</v>
      </c>
    </row>
    <row r="574" spans="1:28" ht="15.75" hidden="1" customHeight="1">
      <c r="A574" s="44"/>
      <c r="B574" s="44"/>
      <c r="C574" s="44"/>
      <c r="D574" s="44"/>
      <c r="E574" s="44"/>
      <c r="F574" s="44"/>
      <c r="G574" s="48"/>
      <c r="H574" s="48"/>
      <c r="I574" s="48"/>
      <c r="J574" s="48"/>
      <c r="K574" s="48"/>
      <c r="L574" s="48"/>
      <c r="M574" s="48"/>
      <c r="N574" s="48"/>
      <c r="O574" s="44"/>
      <c r="P574" s="44"/>
      <c r="Q574" s="44"/>
      <c r="R574" s="44"/>
      <c r="S574" s="44"/>
      <c r="T574" s="44"/>
      <c r="U574" s="44"/>
      <c r="V574" s="44"/>
      <c r="W574" s="44"/>
      <c r="X574" s="44"/>
      <c r="Y574" s="44"/>
      <c r="Z574" s="44"/>
      <c r="AA574" s="44" t="s">
        <v>2476</v>
      </c>
      <c r="AB574" s="44" t="s">
        <v>2477</v>
      </c>
    </row>
    <row r="575" spans="1:28" ht="15.75" hidden="1" customHeight="1">
      <c r="A575" s="44"/>
      <c r="B575" s="44"/>
      <c r="C575" s="44"/>
      <c r="D575" s="44"/>
      <c r="E575" s="44"/>
      <c r="F575" s="44"/>
      <c r="G575" s="48"/>
      <c r="H575" s="48"/>
      <c r="I575" s="48"/>
      <c r="J575" s="48"/>
      <c r="K575" s="48"/>
      <c r="L575" s="48"/>
      <c r="M575" s="48"/>
      <c r="N575" s="48"/>
      <c r="O575" s="44"/>
      <c r="P575" s="44"/>
      <c r="Q575" s="44"/>
      <c r="R575" s="44"/>
      <c r="S575" s="44"/>
      <c r="T575" s="44"/>
      <c r="U575" s="44"/>
      <c r="V575" s="44"/>
      <c r="W575" s="44"/>
      <c r="X575" s="44"/>
      <c r="Y575" s="44"/>
      <c r="Z575" s="44"/>
      <c r="AA575" s="44" t="s">
        <v>2478</v>
      </c>
      <c r="AB575" s="44" t="s">
        <v>2479</v>
      </c>
    </row>
    <row r="576" spans="1:28" ht="15.75" hidden="1" customHeight="1">
      <c r="A576" s="44"/>
      <c r="B576" s="44"/>
      <c r="C576" s="44"/>
      <c r="D576" s="44"/>
      <c r="E576" s="44"/>
      <c r="F576" s="44"/>
      <c r="G576" s="48"/>
      <c r="H576" s="48"/>
      <c r="I576" s="48"/>
      <c r="J576" s="48"/>
      <c r="K576" s="48"/>
      <c r="L576" s="48"/>
      <c r="M576" s="48"/>
      <c r="N576" s="48"/>
      <c r="O576" s="44"/>
      <c r="P576" s="44"/>
      <c r="Q576" s="44"/>
      <c r="R576" s="44"/>
      <c r="S576" s="44"/>
      <c r="T576" s="44"/>
      <c r="U576" s="44"/>
      <c r="V576" s="44"/>
      <c r="W576" s="44"/>
      <c r="X576" s="44"/>
      <c r="Y576" s="44"/>
      <c r="Z576" s="44"/>
      <c r="AA576" s="44" t="s">
        <v>1312</v>
      </c>
      <c r="AB576" s="44" t="s">
        <v>2480</v>
      </c>
    </row>
    <row r="577" spans="1:28" ht="15.75" hidden="1" customHeight="1">
      <c r="A577" s="44"/>
      <c r="B577" s="44"/>
      <c r="C577" s="44"/>
      <c r="D577" s="44"/>
      <c r="E577" s="44"/>
      <c r="F577" s="44"/>
      <c r="G577" s="48"/>
      <c r="H577" s="48"/>
      <c r="I577" s="48"/>
      <c r="J577" s="48"/>
      <c r="K577" s="48"/>
      <c r="L577" s="48"/>
      <c r="M577" s="48"/>
      <c r="N577" s="48"/>
      <c r="O577" s="44"/>
      <c r="P577" s="44"/>
      <c r="Q577" s="44"/>
      <c r="R577" s="44"/>
      <c r="S577" s="44"/>
      <c r="T577" s="44"/>
      <c r="U577" s="44"/>
      <c r="V577" s="44"/>
      <c r="W577" s="44"/>
      <c r="X577" s="44"/>
      <c r="Y577" s="44"/>
      <c r="Z577" s="44"/>
      <c r="AA577" s="44" t="s">
        <v>1282</v>
      </c>
      <c r="AB577" s="44" t="s">
        <v>2481</v>
      </c>
    </row>
    <row r="578" spans="1:28" ht="15.75" hidden="1" customHeight="1">
      <c r="A578" s="44"/>
      <c r="B578" s="44"/>
      <c r="C578" s="44"/>
      <c r="D578" s="44"/>
      <c r="E578" s="44"/>
      <c r="F578" s="44"/>
      <c r="G578" s="48"/>
      <c r="H578" s="48"/>
      <c r="I578" s="48"/>
      <c r="J578" s="48"/>
      <c r="K578" s="48"/>
      <c r="L578" s="48"/>
      <c r="M578" s="48"/>
      <c r="N578" s="48"/>
      <c r="O578" s="44"/>
      <c r="P578" s="44"/>
      <c r="Q578" s="44"/>
      <c r="R578" s="44"/>
      <c r="S578" s="44"/>
      <c r="T578" s="44"/>
      <c r="U578" s="44"/>
      <c r="V578" s="44"/>
      <c r="W578" s="44"/>
      <c r="X578" s="44"/>
      <c r="Y578" s="44"/>
      <c r="Z578" s="44"/>
      <c r="AA578" s="44" t="s">
        <v>2482</v>
      </c>
      <c r="AB578" s="44" t="s">
        <v>1438</v>
      </c>
    </row>
    <row r="579" spans="1:28" ht="15.75" hidden="1" customHeight="1">
      <c r="A579" s="44"/>
      <c r="B579" s="44"/>
      <c r="C579" s="44"/>
      <c r="D579" s="44"/>
      <c r="E579" s="44"/>
      <c r="F579" s="44"/>
      <c r="G579" s="48"/>
      <c r="H579" s="48"/>
      <c r="I579" s="48"/>
      <c r="J579" s="48"/>
      <c r="K579" s="48"/>
      <c r="L579" s="48"/>
      <c r="M579" s="48"/>
      <c r="N579" s="48"/>
      <c r="O579" s="44"/>
      <c r="P579" s="44"/>
      <c r="Q579" s="44"/>
      <c r="R579" s="44"/>
      <c r="S579" s="44"/>
      <c r="T579" s="44"/>
      <c r="U579" s="44"/>
      <c r="V579" s="44"/>
      <c r="W579" s="44"/>
      <c r="X579" s="44"/>
      <c r="Y579" s="44"/>
      <c r="Z579" s="44"/>
      <c r="AA579" s="44" t="s">
        <v>2483</v>
      </c>
      <c r="AB579" s="44" t="s">
        <v>2484</v>
      </c>
    </row>
    <row r="580" spans="1:28" ht="15.75" hidden="1" customHeight="1">
      <c r="A580" s="44"/>
      <c r="B580" s="44"/>
      <c r="C580" s="44"/>
      <c r="D580" s="44"/>
      <c r="E580" s="44"/>
      <c r="F580" s="44"/>
      <c r="G580" s="48"/>
      <c r="H580" s="48"/>
      <c r="I580" s="48"/>
      <c r="J580" s="48"/>
      <c r="K580" s="48"/>
      <c r="L580" s="48"/>
      <c r="M580" s="48"/>
      <c r="N580" s="48"/>
      <c r="O580" s="44"/>
      <c r="P580" s="44"/>
      <c r="Q580" s="44"/>
      <c r="R580" s="44"/>
      <c r="S580" s="44"/>
      <c r="T580" s="44"/>
      <c r="U580" s="44"/>
      <c r="V580" s="44"/>
      <c r="W580" s="44"/>
      <c r="X580" s="44"/>
      <c r="Y580" s="44"/>
      <c r="Z580" s="44"/>
      <c r="AA580" s="44" t="s">
        <v>2485</v>
      </c>
      <c r="AB580" s="44" t="s">
        <v>1418</v>
      </c>
    </row>
    <row r="581" spans="1:28" ht="15.75" hidden="1" customHeight="1">
      <c r="A581" s="44"/>
      <c r="B581" s="44"/>
      <c r="C581" s="44"/>
      <c r="D581" s="44"/>
      <c r="E581" s="44"/>
      <c r="F581" s="44"/>
      <c r="G581" s="48"/>
      <c r="H581" s="48"/>
      <c r="I581" s="48"/>
      <c r="J581" s="48"/>
      <c r="K581" s="48"/>
      <c r="L581" s="48"/>
      <c r="M581" s="48"/>
      <c r="N581" s="48"/>
      <c r="O581" s="44"/>
      <c r="P581" s="44"/>
      <c r="Q581" s="44"/>
      <c r="R581" s="44"/>
      <c r="S581" s="44"/>
      <c r="T581" s="44"/>
      <c r="U581" s="44"/>
      <c r="V581" s="44"/>
      <c r="W581" s="44"/>
      <c r="X581" s="44"/>
      <c r="Y581" s="44"/>
      <c r="Z581" s="44"/>
      <c r="AA581" s="44" t="s">
        <v>2486</v>
      </c>
      <c r="AB581" s="44" t="s">
        <v>2487</v>
      </c>
    </row>
    <row r="582" spans="1:28" ht="15.75" hidden="1" customHeight="1">
      <c r="A582" s="44"/>
      <c r="B582" s="44"/>
      <c r="C582" s="44"/>
      <c r="D582" s="44"/>
      <c r="E582" s="44"/>
      <c r="F582" s="44"/>
      <c r="G582" s="48"/>
      <c r="H582" s="48"/>
      <c r="I582" s="48"/>
      <c r="J582" s="48"/>
      <c r="K582" s="48"/>
      <c r="L582" s="48"/>
      <c r="M582" s="48"/>
      <c r="N582" s="48"/>
      <c r="O582" s="44"/>
      <c r="P582" s="44"/>
      <c r="Q582" s="44"/>
      <c r="R582" s="44"/>
      <c r="S582" s="44"/>
      <c r="T582" s="44"/>
      <c r="U582" s="44"/>
      <c r="V582" s="44"/>
      <c r="W582" s="44"/>
      <c r="X582" s="44"/>
      <c r="Y582" s="44"/>
      <c r="Z582" s="44"/>
      <c r="AA582" s="44" t="s">
        <v>2488</v>
      </c>
      <c r="AB582" s="44" t="s">
        <v>2489</v>
      </c>
    </row>
    <row r="583" spans="1:28" ht="15.75" hidden="1" customHeight="1">
      <c r="A583" s="44"/>
      <c r="B583" s="44"/>
      <c r="C583" s="44"/>
      <c r="D583" s="44"/>
      <c r="E583" s="44"/>
      <c r="F583" s="44"/>
      <c r="G583" s="48"/>
      <c r="H583" s="48"/>
      <c r="I583" s="48"/>
      <c r="J583" s="48"/>
      <c r="K583" s="48"/>
      <c r="L583" s="48"/>
      <c r="M583" s="48"/>
      <c r="N583" s="48"/>
      <c r="O583" s="44"/>
      <c r="P583" s="44"/>
      <c r="Q583" s="44"/>
      <c r="R583" s="44"/>
      <c r="S583" s="44"/>
      <c r="T583" s="44"/>
      <c r="U583" s="44"/>
      <c r="V583" s="44"/>
      <c r="W583" s="44"/>
      <c r="X583" s="44"/>
      <c r="Y583" s="44"/>
      <c r="Z583" s="44"/>
      <c r="AA583" s="44" t="s">
        <v>2490</v>
      </c>
      <c r="AB583" s="44" t="s">
        <v>2491</v>
      </c>
    </row>
    <row r="584" spans="1:28" ht="15.75" hidden="1" customHeight="1">
      <c r="A584" s="44"/>
      <c r="B584" s="44"/>
      <c r="C584" s="44"/>
      <c r="D584" s="44"/>
      <c r="E584" s="44"/>
      <c r="F584" s="44"/>
      <c r="G584" s="48"/>
      <c r="H584" s="48"/>
      <c r="I584" s="48"/>
      <c r="J584" s="48"/>
      <c r="K584" s="48"/>
      <c r="L584" s="48"/>
      <c r="M584" s="48"/>
      <c r="N584" s="48"/>
      <c r="O584" s="44"/>
      <c r="P584" s="44"/>
      <c r="Q584" s="44"/>
      <c r="R584" s="44"/>
      <c r="S584" s="44"/>
      <c r="T584" s="44"/>
      <c r="U584" s="44"/>
      <c r="V584" s="44"/>
      <c r="W584" s="44"/>
      <c r="X584" s="44"/>
      <c r="Y584" s="44"/>
      <c r="Z584" s="44"/>
      <c r="AA584" s="44" t="s">
        <v>2492</v>
      </c>
      <c r="AB584" s="44" t="s">
        <v>2493</v>
      </c>
    </row>
    <row r="585" spans="1:28" ht="15.75" hidden="1" customHeight="1">
      <c r="A585" s="44"/>
      <c r="B585" s="44"/>
      <c r="C585" s="44"/>
      <c r="D585" s="44"/>
      <c r="E585" s="44"/>
      <c r="F585" s="44"/>
      <c r="G585" s="48"/>
      <c r="H585" s="48"/>
      <c r="I585" s="48"/>
      <c r="J585" s="48"/>
      <c r="K585" s="48"/>
      <c r="L585" s="48"/>
      <c r="M585" s="48"/>
      <c r="N585" s="48"/>
      <c r="O585" s="44"/>
      <c r="P585" s="44"/>
      <c r="Q585" s="44"/>
      <c r="R585" s="44"/>
      <c r="S585" s="44"/>
      <c r="T585" s="44"/>
      <c r="U585" s="44"/>
      <c r="V585" s="44"/>
      <c r="W585" s="44"/>
      <c r="X585" s="44"/>
      <c r="Y585" s="44"/>
      <c r="Z585" s="44"/>
      <c r="AA585" s="44" t="s">
        <v>2494</v>
      </c>
      <c r="AB585" s="44" t="s">
        <v>2495</v>
      </c>
    </row>
    <row r="586" spans="1:28" ht="15.75" hidden="1" customHeight="1">
      <c r="A586" s="44"/>
      <c r="B586" s="44"/>
      <c r="C586" s="44"/>
      <c r="D586" s="44"/>
      <c r="E586" s="44"/>
      <c r="F586" s="44"/>
      <c r="G586" s="48"/>
      <c r="H586" s="48"/>
      <c r="I586" s="48"/>
      <c r="J586" s="48"/>
      <c r="K586" s="48"/>
      <c r="L586" s="48"/>
      <c r="M586" s="48"/>
      <c r="N586" s="48"/>
      <c r="O586" s="44"/>
      <c r="P586" s="44"/>
      <c r="Q586" s="44"/>
      <c r="R586" s="44"/>
      <c r="S586" s="44"/>
      <c r="T586" s="44"/>
      <c r="U586" s="44"/>
      <c r="V586" s="44"/>
      <c r="W586" s="44"/>
      <c r="X586" s="44"/>
      <c r="Y586" s="44"/>
      <c r="Z586" s="44"/>
      <c r="AA586" s="44" t="s">
        <v>2496</v>
      </c>
      <c r="AB586" s="44" t="s">
        <v>2497</v>
      </c>
    </row>
    <row r="587" spans="1:28" ht="15.75" hidden="1" customHeight="1">
      <c r="A587" s="44"/>
      <c r="B587" s="44"/>
      <c r="C587" s="44"/>
      <c r="D587" s="44"/>
      <c r="E587" s="44"/>
      <c r="F587" s="44"/>
      <c r="G587" s="48"/>
      <c r="H587" s="48"/>
      <c r="I587" s="48"/>
      <c r="J587" s="48"/>
      <c r="K587" s="48"/>
      <c r="L587" s="48"/>
      <c r="M587" s="48"/>
      <c r="N587" s="48"/>
      <c r="O587" s="44"/>
      <c r="P587" s="44"/>
      <c r="Q587" s="44"/>
      <c r="R587" s="44"/>
      <c r="S587" s="44"/>
      <c r="T587" s="44"/>
      <c r="U587" s="44"/>
      <c r="V587" s="44"/>
      <c r="W587" s="44"/>
      <c r="X587" s="44"/>
      <c r="Y587" s="44"/>
      <c r="Z587" s="44"/>
      <c r="AA587" s="44" t="s">
        <v>2498</v>
      </c>
      <c r="AB587" s="44" t="s">
        <v>2499</v>
      </c>
    </row>
    <row r="588" spans="1:28" ht="15.75" hidden="1" customHeight="1">
      <c r="A588" s="44"/>
      <c r="B588" s="44"/>
      <c r="C588" s="44"/>
      <c r="D588" s="44"/>
      <c r="E588" s="44"/>
      <c r="F588" s="44"/>
      <c r="G588" s="48"/>
      <c r="H588" s="48"/>
      <c r="I588" s="48"/>
      <c r="J588" s="48"/>
      <c r="K588" s="48"/>
      <c r="L588" s="48"/>
      <c r="M588" s="48"/>
      <c r="N588" s="48"/>
      <c r="O588" s="44"/>
      <c r="P588" s="44"/>
      <c r="Q588" s="44"/>
      <c r="R588" s="44"/>
      <c r="S588" s="44"/>
      <c r="T588" s="44"/>
      <c r="U588" s="44"/>
      <c r="V588" s="44"/>
      <c r="W588" s="44"/>
      <c r="X588" s="44"/>
      <c r="Y588" s="44"/>
      <c r="Z588" s="44"/>
      <c r="AA588" s="44" t="s">
        <v>2500</v>
      </c>
      <c r="AB588" s="44" t="s">
        <v>2501</v>
      </c>
    </row>
    <row r="589" spans="1:28" ht="15.75" hidden="1" customHeight="1">
      <c r="A589" s="44"/>
      <c r="B589" s="44"/>
      <c r="C589" s="44"/>
      <c r="D589" s="44"/>
      <c r="E589" s="44"/>
      <c r="F589" s="44"/>
      <c r="G589" s="48"/>
      <c r="H589" s="48"/>
      <c r="I589" s="48"/>
      <c r="J589" s="48"/>
      <c r="K589" s="48"/>
      <c r="L589" s="48"/>
      <c r="M589" s="48"/>
      <c r="N589" s="48"/>
      <c r="O589" s="44"/>
      <c r="P589" s="44"/>
      <c r="Q589" s="44"/>
      <c r="R589" s="44"/>
      <c r="S589" s="44"/>
      <c r="T589" s="44"/>
      <c r="U589" s="44"/>
      <c r="V589" s="44"/>
      <c r="W589" s="44"/>
      <c r="X589" s="44"/>
      <c r="Y589" s="44"/>
      <c r="Z589" s="44"/>
      <c r="AA589" s="44" t="s">
        <v>2502</v>
      </c>
      <c r="AB589" s="44" t="s">
        <v>2503</v>
      </c>
    </row>
    <row r="590" spans="1:28" ht="15.75" hidden="1" customHeight="1">
      <c r="A590" s="44"/>
      <c r="B590" s="44"/>
      <c r="C590" s="44"/>
      <c r="D590" s="44"/>
      <c r="E590" s="44"/>
      <c r="F590" s="44"/>
      <c r="G590" s="48"/>
      <c r="H590" s="48"/>
      <c r="I590" s="48"/>
      <c r="J590" s="48"/>
      <c r="K590" s="48"/>
      <c r="L590" s="48"/>
      <c r="M590" s="48"/>
      <c r="N590" s="48"/>
      <c r="O590" s="44"/>
      <c r="P590" s="44"/>
      <c r="Q590" s="44"/>
      <c r="R590" s="44"/>
      <c r="S590" s="44"/>
      <c r="T590" s="44"/>
      <c r="U590" s="44"/>
      <c r="V590" s="44"/>
      <c r="W590" s="44"/>
      <c r="X590" s="44"/>
      <c r="Y590" s="44"/>
      <c r="Z590" s="44"/>
      <c r="AA590" s="44" t="s">
        <v>2504</v>
      </c>
      <c r="AB590" s="44" t="s">
        <v>2505</v>
      </c>
    </row>
    <row r="591" spans="1:28" ht="15.75" hidden="1" customHeight="1">
      <c r="A591" s="44"/>
      <c r="B591" s="44"/>
      <c r="C591" s="44"/>
      <c r="D591" s="44"/>
      <c r="E591" s="44"/>
      <c r="F591" s="44"/>
      <c r="G591" s="48"/>
      <c r="H591" s="48"/>
      <c r="I591" s="48"/>
      <c r="J591" s="48"/>
      <c r="K591" s="48"/>
      <c r="L591" s="48"/>
      <c r="M591" s="48"/>
      <c r="N591" s="48"/>
      <c r="O591" s="44"/>
      <c r="P591" s="44"/>
      <c r="Q591" s="44"/>
      <c r="R591" s="44"/>
      <c r="S591" s="44"/>
      <c r="T591" s="44"/>
      <c r="U591" s="44"/>
      <c r="V591" s="44"/>
      <c r="W591" s="44"/>
      <c r="X591" s="44"/>
      <c r="Y591" s="44"/>
      <c r="Z591" s="44"/>
      <c r="AA591" s="44" t="s">
        <v>2506</v>
      </c>
      <c r="AB591" s="44" t="s">
        <v>2507</v>
      </c>
    </row>
    <row r="592" spans="1:28" ht="15.75" hidden="1" customHeight="1">
      <c r="A592" s="44"/>
      <c r="B592" s="44"/>
      <c r="C592" s="44"/>
      <c r="D592" s="44"/>
      <c r="E592" s="44"/>
      <c r="F592" s="44"/>
      <c r="G592" s="48"/>
      <c r="H592" s="48"/>
      <c r="I592" s="48"/>
      <c r="J592" s="48"/>
      <c r="K592" s="48"/>
      <c r="L592" s="48"/>
      <c r="M592" s="48"/>
      <c r="N592" s="48"/>
      <c r="O592" s="44"/>
      <c r="P592" s="44"/>
      <c r="Q592" s="44"/>
      <c r="R592" s="44"/>
      <c r="S592" s="44"/>
      <c r="T592" s="44"/>
      <c r="U592" s="44"/>
      <c r="V592" s="44"/>
      <c r="W592" s="44"/>
      <c r="X592" s="44"/>
      <c r="Y592" s="44"/>
      <c r="Z592" s="44"/>
      <c r="AA592" s="44" t="s">
        <v>2508</v>
      </c>
      <c r="AB592" s="44" t="s">
        <v>2509</v>
      </c>
    </row>
    <row r="593" spans="1:28" ht="15.75" hidden="1" customHeight="1">
      <c r="A593" s="44"/>
      <c r="B593" s="44"/>
      <c r="C593" s="44"/>
      <c r="D593" s="44"/>
      <c r="E593" s="44"/>
      <c r="F593" s="44"/>
      <c r="G593" s="48"/>
      <c r="H593" s="48"/>
      <c r="I593" s="48"/>
      <c r="J593" s="48"/>
      <c r="K593" s="48"/>
      <c r="L593" s="48"/>
      <c r="M593" s="48"/>
      <c r="N593" s="48"/>
      <c r="O593" s="44"/>
      <c r="P593" s="44"/>
      <c r="Q593" s="44"/>
      <c r="R593" s="44"/>
      <c r="S593" s="44"/>
      <c r="T593" s="44"/>
      <c r="U593" s="44"/>
      <c r="V593" s="44"/>
      <c r="W593" s="44"/>
      <c r="X593" s="44"/>
      <c r="Y593" s="44"/>
      <c r="Z593" s="44"/>
      <c r="AA593" s="44" t="s">
        <v>2510</v>
      </c>
      <c r="AB593" s="44" t="s">
        <v>2511</v>
      </c>
    </row>
    <row r="594" spans="1:28" ht="15.75" hidden="1" customHeight="1">
      <c r="A594" s="44"/>
      <c r="B594" s="44"/>
      <c r="C594" s="44"/>
      <c r="D594" s="44"/>
      <c r="E594" s="44"/>
      <c r="F594" s="44"/>
      <c r="G594" s="48"/>
      <c r="H594" s="48"/>
      <c r="I594" s="48"/>
      <c r="J594" s="48"/>
      <c r="K594" s="48"/>
      <c r="L594" s="48"/>
      <c r="M594" s="48"/>
      <c r="N594" s="48"/>
      <c r="O594" s="44"/>
      <c r="P594" s="44"/>
      <c r="Q594" s="44"/>
      <c r="R594" s="44"/>
      <c r="S594" s="44"/>
      <c r="T594" s="44"/>
      <c r="U594" s="44"/>
      <c r="V594" s="44"/>
      <c r="W594" s="44"/>
      <c r="X594" s="44"/>
      <c r="Y594" s="44"/>
      <c r="Z594" s="44"/>
      <c r="AA594" s="44" t="s">
        <v>2512</v>
      </c>
      <c r="AB594" s="44" t="s">
        <v>2513</v>
      </c>
    </row>
    <row r="595" spans="1:28" ht="15.75" hidden="1" customHeight="1">
      <c r="A595" s="44"/>
      <c r="B595" s="44"/>
      <c r="C595" s="44"/>
      <c r="D595" s="44"/>
      <c r="E595" s="44"/>
      <c r="F595" s="44"/>
      <c r="G595" s="48"/>
      <c r="H595" s="48"/>
      <c r="I595" s="48"/>
      <c r="J595" s="48"/>
      <c r="K595" s="48"/>
      <c r="L595" s="48"/>
      <c r="M595" s="48"/>
      <c r="N595" s="48"/>
      <c r="O595" s="44"/>
      <c r="P595" s="44"/>
      <c r="Q595" s="44"/>
      <c r="R595" s="44"/>
      <c r="S595" s="44"/>
      <c r="T595" s="44"/>
      <c r="U595" s="44"/>
      <c r="V595" s="44"/>
      <c r="W595" s="44"/>
      <c r="X595" s="44"/>
      <c r="Y595" s="44"/>
      <c r="Z595" s="44"/>
      <c r="AA595" s="44" t="s">
        <v>2514</v>
      </c>
      <c r="AB595" s="44" t="s">
        <v>2515</v>
      </c>
    </row>
    <row r="596" spans="1:28" ht="15.75" hidden="1" customHeight="1">
      <c r="A596" s="44"/>
      <c r="B596" s="44"/>
      <c r="C596" s="44"/>
      <c r="D596" s="44"/>
      <c r="E596" s="44"/>
      <c r="F596" s="44"/>
      <c r="G596" s="48"/>
      <c r="H596" s="48"/>
      <c r="I596" s="48"/>
      <c r="J596" s="48"/>
      <c r="K596" s="48"/>
      <c r="L596" s="48"/>
      <c r="M596" s="48"/>
      <c r="N596" s="48"/>
      <c r="O596" s="44"/>
      <c r="P596" s="44"/>
      <c r="Q596" s="44"/>
      <c r="R596" s="44"/>
      <c r="S596" s="44"/>
      <c r="T596" s="44"/>
      <c r="U596" s="44"/>
      <c r="V596" s="44"/>
      <c r="W596" s="44"/>
      <c r="X596" s="44"/>
      <c r="Y596" s="44"/>
      <c r="Z596" s="44"/>
      <c r="AA596" s="44" t="s">
        <v>2516</v>
      </c>
      <c r="AB596" s="44" t="s">
        <v>2517</v>
      </c>
    </row>
    <row r="597" spans="1:28" ht="15.75" hidden="1" customHeight="1">
      <c r="A597" s="44"/>
      <c r="B597" s="44"/>
      <c r="C597" s="44"/>
      <c r="D597" s="44"/>
      <c r="E597" s="44"/>
      <c r="F597" s="44"/>
      <c r="G597" s="48"/>
      <c r="H597" s="48"/>
      <c r="I597" s="48"/>
      <c r="J597" s="48"/>
      <c r="K597" s="48"/>
      <c r="L597" s="48"/>
      <c r="M597" s="48"/>
      <c r="N597" s="48"/>
      <c r="O597" s="44"/>
      <c r="P597" s="44"/>
      <c r="Q597" s="44"/>
      <c r="R597" s="44"/>
      <c r="S597" s="44"/>
      <c r="T597" s="44"/>
      <c r="U597" s="44"/>
      <c r="V597" s="44"/>
      <c r="W597" s="44"/>
      <c r="X597" s="44"/>
      <c r="Y597" s="44"/>
      <c r="Z597" s="44"/>
      <c r="AA597" s="44" t="s">
        <v>2518</v>
      </c>
      <c r="AB597" s="44" t="s">
        <v>2519</v>
      </c>
    </row>
    <row r="598" spans="1:28" ht="15.75" hidden="1" customHeight="1">
      <c r="A598" s="44"/>
      <c r="B598" s="44"/>
      <c r="C598" s="44"/>
      <c r="D598" s="44"/>
      <c r="E598" s="44"/>
      <c r="F598" s="44"/>
      <c r="G598" s="48"/>
      <c r="H598" s="48"/>
      <c r="I598" s="48"/>
      <c r="J598" s="48"/>
      <c r="K598" s="48"/>
      <c r="L598" s="48"/>
      <c r="M598" s="48"/>
      <c r="N598" s="48"/>
      <c r="O598" s="44"/>
      <c r="P598" s="44"/>
      <c r="Q598" s="44"/>
      <c r="R598" s="44"/>
      <c r="S598" s="44"/>
      <c r="T598" s="44"/>
      <c r="U598" s="44"/>
      <c r="V598" s="44"/>
      <c r="W598" s="44"/>
      <c r="X598" s="44"/>
      <c r="Y598" s="44"/>
      <c r="Z598" s="44"/>
      <c r="AA598" s="44" t="s">
        <v>2520</v>
      </c>
      <c r="AB598" s="44" t="s">
        <v>2521</v>
      </c>
    </row>
    <row r="599" spans="1:28" ht="15.75" hidden="1" customHeight="1">
      <c r="A599" s="44"/>
      <c r="B599" s="44"/>
      <c r="C599" s="44"/>
      <c r="D599" s="44"/>
      <c r="E599" s="44"/>
      <c r="F599" s="44"/>
      <c r="G599" s="48"/>
      <c r="H599" s="48"/>
      <c r="I599" s="48"/>
      <c r="J599" s="48"/>
      <c r="K599" s="48"/>
      <c r="L599" s="48"/>
      <c r="M599" s="48"/>
      <c r="N599" s="48"/>
      <c r="O599" s="44"/>
      <c r="P599" s="44"/>
      <c r="Q599" s="44"/>
      <c r="R599" s="44"/>
      <c r="S599" s="44"/>
      <c r="T599" s="44"/>
      <c r="U599" s="44"/>
      <c r="V599" s="44"/>
      <c r="W599" s="44"/>
      <c r="X599" s="44"/>
      <c r="Y599" s="44"/>
      <c r="Z599" s="44"/>
      <c r="AA599" s="44" t="s">
        <v>2522</v>
      </c>
      <c r="AB599" s="44" t="s">
        <v>2523</v>
      </c>
    </row>
    <row r="600" spans="1:28" ht="15.75" hidden="1" customHeight="1">
      <c r="A600" s="44"/>
      <c r="B600" s="44"/>
      <c r="C600" s="44"/>
      <c r="D600" s="44"/>
      <c r="E600" s="44"/>
      <c r="F600" s="44"/>
      <c r="G600" s="48"/>
      <c r="H600" s="48"/>
      <c r="I600" s="48"/>
      <c r="J600" s="48"/>
      <c r="K600" s="48"/>
      <c r="L600" s="48"/>
      <c r="M600" s="48"/>
      <c r="N600" s="48"/>
      <c r="O600" s="44"/>
      <c r="P600" s="44"/>
      <c r="Q600" s="44"/>
      <c r="R600" s="44"/>
      <c r="S600" s="44"/>
      <c r="T600" s="44"/>
      <c r="U600" s="44"/>
      <c r="V600" s="44"/>
      <c r="W600" s="44"/>
      <c r="X600" s="44"/>
      <c r="Y600" s="44"/>
      <c r="Z600" s="44"/>
      <c r="AA600" s="44" t="s">
        <v>2524</v>
      </c>
      <c r="AB600" s="44" t="s">
        <v>2525</v>
      </c>
    </row>
    <row r="601" spans="1:28" ht="15.75" hidden="1" customHeight="1">
      <c r="A601" s="44"/>
      <c r="B601" s="44"/>
      <c r="C601" s="44"/>
      <c r="D601" s="44"/>
      <c r="E601" s="44"/>
      <c r="F601" s="44"/>
      <c r="G601" s="48"/>
      <c r="H601" s="48"/>
      <c r="I601" s="48"/>
      <c r="J601" s="48"/>
      <c r="K601" s="48"/>
      <c r="L601" s="48"/>
      <c r="M601" s="48"/>
      <c r="N601" s="48"/>
      <c r="O601" s="44"/>
      <c r="P601" s="44"/>
      <c r="Q601" s="44"/>
      <c r="R601" s="44"/>
      <c r="S601" s="44"/>
      <c r="T601" s="44"/>
      <c r="U601" s="44"/>
      <c r="V601" s="44"/>
      <c r="W601" s="44"/>
      <c r="X601" s="44"/>
      <c r="Y601" s="44"/>
      <c r="Z601" s="44"/>
      <c r="AA601" s="44" t="s">
        <v>2526</v>
      </c>
      <c r="AB601" s="44" t="s">
        <v>2527</v>
      </c>
    </row>
    <row r="602" spans="1:28" ht="15.75" hidden="1" customHeight="1">
      <c r="A602" s="44"/>
      <c r="B602" s="44"/>
      <c r="C602" s="44"/>
      <c r="D602" s="44"/>
      <c r="E602" s="44"/>
      <c r="F602" s="44"/>
      <c r="G602" s="48"/>
      <c r="H602" s="48"/>
      <c r="I602" s="48"/>
      <c r="J602" s="48"/>
      <c r="K602" s="48"/>
      <c r="L602" s="48"/>
      <c r="M602" s="48"/>
      <c r="N602" s="48"/>
      <c r="O602" s="44"/>
      <c r="P602" s="44"/>
      <c r="Q602" s="44"/>
      <c r="R602" s="44"/>
      <c r="S602" s="44"/>
      <c r="T602" s="44"/>
      <c r="U602" s="44"/>
      <c r="V602" s="44"/>
      <c r="W602" s="44"/>
      <c r="X602" s="44"/>
      <c r="Y602" s="44"/>
      <c r="Z602" s="44"/>
      <c r="AA602" s="44" t="s">
        <v>2528</v>
      </c>
      <c r="AB602" s="44" t="s">
        <v>2529</v>
      </c>
    </row>
    <row r="603" spans="1:28" ht="15.75" hidden="1" customHeight="1">
      <c r="A603" s="44"/>
      <c r="B603" s="44"/>
      <c r="C603" s="44"/>
      <c r="D603" s="44"/>
      <c r="E603" s="44"/>
      <c r="F603" s="44"/>
      <c r="G603" s="48"/>
      <c r="H603" s="48"/>
      <c r="I603" s="48"/>
      <c r="J603" s="48"/>
      <c r="K603" s="48"/>
      <c r="L603" s="48"/>
      <c r="M603" s="48"/>
      <c r="N603" s="48"/>
      <c r="O603" s="44"/>
      <c r="P603" s="44"/>
      <c r="Q603" s="44"/>
      <c r="R603" s="44"/>
      <c r="S603" s="44"/>
      <c r="T603" s="44"/>
      <c r="U603" s="44"/>
      <c r="V603" s="44"/>
      <c r="W603" s="44"/>
      <c r="X603" s="44"/>
      <c r="Y603" s="44"/>
      <c r="Z603" s="44"/>
      <c r="AA603" s="44" t="s">
        <v>2530</v>
      </c>
      <c r="AB603" s="44" t="s">
        <v>2531</v>
      </c>
    </row>
    <row r="604" spans="1:28" ht="15.75" hidden="1" customHeight="1">
      <c r="A604" s="44"/>
      <c r="B604" s="44"/>
      <c r="C604" s="44"/>
      <c r="D604" s="44"/>
      <c r="E604" s="44"/>
      <c r="F604" s="44"/>
      <c r="G604" s="48"/>
      <c r="H604" s="48"/>
      <c r="I604" s="48"/>
      <c r="J604" s="48"/>
      <c r="K604" s="48"/>
      <c r="L604" s="48"/>
      <c r="M604" s="48"/>
      <c r="N604" s="48"/>
      <c r="O604" s="44"/>
      <c r="P604" s="44"/>
      <c r="Q604" s="44"/>
      <c r="R604" s="44"/>
      <c r="S604" s="44"/>
      <c r="T604" s="44"/>
      <c r="U604" s="44"/>
      <c r="V604" s="44"/>
      <c r="W604" s="44"/>
      <c r="X604" s="44"/>
      <c r="Y604" s="44"/>
      <c r="Z604" s="44"/>
      <c r="AA604" s="44" t="s">
        <v>2532</v>
      </c>
      <c r="AB604" s="44" t="s">
        <v>2533</v>
      </c>
    </row>
    <row r="605" spans="1:28" ht="15.75" hidden="1" customHeight="1">
      <c r="A605" s="44"/>
      <c r="B605" s="44"/>
      <c r="C605" s="44"/>
      <c r="D605" s="44"/>
      <c r="E605" s="44"/>
      <c r="F605" s="44"/>
      <c r="G605" s="48"/>
      <c r="H605" s="48"/>
      <c r="I605" s="48"/>
      <c r="J605" s="48"/>
      <c r="K605" s="48"/>
      <c r="L605" s="48"/>
      <c r="M605" s="48"/>
      <c r="N605" s="48"/>
      <c r="O605" s="44"/>
      <c r="P605" s="44"/>
      <c r="Q605" s="44"/>
      <c r="R605" s="44"/>
      <c r="S605" s="44"/>
      <c r="T605" s="44"/>
      <c r="U605" s="44"/>
      <c r="V605" s="44"/>
      <c r="W605" s="44"/>
      <c r="X605" s="44"/>
      <c r="Y605" s="44"/>
      <c r="Z605" s="44"/>
      <c r="AA605" s="44" t="s">
        <v>2534</v>
      </c>
      <c r="AB605" s="44" t="s">
        <v>2535</v>
      </c>
    </row>
    <row r="606" spans="1:28" ht="15.75" hidden="1" customHeight="1">
      <c r="A606" s="44"/>
      <c r="B606" s="44"/>
      <c r="C606" s="44"/>
      <c r="D606" s="44"/>
      <c r="E606" s="44"/>
      <c r="F606" s="44"/>
      <c r="G606" s="48"/>
      <c r="H606" s="48"/>
      <c r="I606" s="48"/>
      <c r="J606" s="48"/>
      <c r="K606" s="48"/>
      <c r="L606" s="48"/>
      <c r="M606" s="48"/>
      <c r="N606" s="48"/>
      <c r="O606" s="44"/>
      <c r="P606" s="44"/>
      <c r="Q606" s="44"/>
      <c r="R606" s="44"/>
      <c r="S606" s="44"/>
      <c r="T606" s="44"/>
      <c r="U606" s="44"/>
      <c r="V606" s="44"/>
      <c r="W606" s="44"/>
      <c r="X606" s="44"/>
      <c r="Y606" s="44"/>
      <c r="Z606" s="44"/>
      <c r="AA606" s="44" t="s">
        <v>2536</v>
      </c>
      <c r="AB606" s="44" t="s">
        <v>2537</v>
      </c>
    </row>
    <row r="607" spans="1:28" ht="15.75" hidden="1" customHeight="1">
      <c r="A607" s="44"/>
      <c r="B607" s="44"/>
      <c r="C607" s="44"/>
      <c r="D607" s="44"/>
      <c r="E607" s="44"/>
      <c r="F607" s="44"/>
      <c r="G607" s="48"/>
      <c r="H607" s="48"/>
      <c r="I607" s="48"/>
      <c r="J607" s="48"/>
      <c r="K607" s="48"/>
      <c r="L607" s="48"/>
      <c r="M607" s="48"/>
      <c r="N607" s="48"/>
      <c r="O607" s="44"/>
      <c r="P607" s="44"/>
      <c r="Q607" s="44"/>
      <c r="R607" s="44"/>
      <c r="S607" s="44"/>
      <c r="T607" s="44"/>
      <c r="U607" s="44"/>
      <c r="V607" s="44"/>
      <c r="W607" s="44"/>
      <c r="X607" s="44"/>
      <c r="Y607" s="44"/>
      <c r="Z607" s="44"/>
      <c r="AA607" s="44" t="s">
        <v>2538</v>
      </c>
      <c r="AB607" s="44" t="s">
        <v>2539</v>
      </c>
    </row>
    <row r="608" spans="1:28" ht="15.75" hidden="1" customHeight="1">
      <c r="A608" s="44"/>
      <c r="B608" s="44"/>
      <c r="C608" s="44"/>
      <c r="D608" s="44"/>
      <c r="E608" s="44"/>
      <c r="F608" s="44"/>
      <c r="G608" s="48"/>
      <c r="H608" s="48"/>
      <c r="I608" s="48"/>
      <c r="J608" s="48"/>
      <c r="K608" s="48"/>
      <c r="L608" s="48"/>
      <c r="M608" s="48"/>
      <c r="N608" s="48"/>
      <c r="O608" s="44"/>
      <c r="P608" s="44"/>
      <c r="Q608" s="44"/>
      <c r="R608" s="44"/>
      <c r="S608" s="44"/>
      <c r="T608" s="44"/>
      <c r="U608" s="44"/>
      <c r="V608" s="44"/>
      <c r="W608" s="44"/>
      <c r="X608" s="44"/>
      <c r="Y608" s="44"/>
      <c r="Z608" s="44"/>
      <c r="AA608" s="44" t="s">
        <v>2540</v>
      </c>
      <c r="AB608" s="44" t="s">
        <v>2541</v>
      </c>
    </row>
    <row r="609" spans="1:28" ht="15.75" hidden="1" customHeight="1">
      <c r="A609" s="44"/>
      <c r="B609" s="44"/>
      <c r="C609" s="44"/>
      <c r="D609" s="44"/>
      <c r="E609" s="44"/>
      <c r="F609" s="44"/>
      <c r="G609" s="48"/>
      <c r="H609" s="48"/>
      <c r="I609" s="48"/>
      <c r="J609" s="48"/>
      <c r="K609" s="48"/>
      <c r="L609" s="48"/>
      <c r="M609" s="48"/>
      <c r="N609" s="48"/>
      <c r="O609" s="44"/>
      <c r="P609" s="44"/>
      <c r="Q609" s="44"/>
      <c r="R609" s="44"/>
      <c r="S609" s="44"/>
      <c r="T609" s="44"/>
      <c r="U609" s="44"/>
      <c r="V609" s="44"/>
      <c r="W609" s="44"/>
      <c r="X609" s="44"/>
      <c r="Y609" s="44"/>
      <c r="Z609" s="44"/>
      <c r="AA609" s="44" t="s">
        <v>2542</v>
      </c>
      <c r="AB609" s="44" t="s">
        <v>2543</v>
      </c>
    </row>
    <row r="610" spans="1:28" ht="15.75" hidden="1" customHeight="1">
      <c r="A610" s="44"/>
      <c r="B610" s="44"/>
      <c r="C610" s="44"/>
      <c r="D610" s="44"/>
      <c r="E610" s="44"/>
      <c r="F610" s="44"/>
      <c r="G610" s="48"/>
      <c r="H610" s="48"/>
      <c r="I610" s="48"/>
      <c r="J610" s="48"/>
      <c r="K610" s="48"/>
      <c r="L610" s="48"/>
      <c r="M610" s="48"/>
      <c r="N610" s="48"/>
      <c r="O610" s="44"/>
      <c r="P610" s="44"/>
      <c r="Q610" s="44"/>
      <c r="R610" s="44"/>
      <c r="S610" s="44"/>
      <c r="T610" s="44"/>
      <c r="U610" s="44"/>
      <c r="V610" s="44"/>
      <c r="W610" s="44"/>
      <c r="X610" s="44"/>
      <c r="Y610" s="44"/>
      <c r="Z610" s="44"/>
      <c r="AA610" s="44" t="s">
        <v>2544</v>
      </c>
      <c r="AB610" s="44" t="s">
        <v>2545</v>
      </c>
    </row>
    <row r="611" spans="1:28" ht="15.75" hidden="1" customHeight="1">
      <c r="A611" s="44"/>
      <c r="B611" s="44"/>
      <c r="C611" s="44"/>
      <c r="D611" s="44"/>
      <c r="E611" s="44"/>
      <c r="F611" s="44"/>
      <c r="G611" s="48"/>
      <c r="H611" s="48"/>
      <c r="I611" s="48"/>
      <c r="J611" s="48"/>
      <c r="K611" s="48"/>
      <c r="L611" s="48"/>
      <c r="M611" s="48"/>
      <c r="N611" s="48"/>
      <c r="O611" s="44"/>
      <c r="P611" s="44"/>
      <c r="Q611" s="44"/>
      <c r="R611" s="44"/>
      <c r="S611" s="44"/>
      <c r="T611" s="44"/>
      <c r="U611" s="44"/>
      <c r="V611" s="44"/>
      <c r="W611" s="44"/>
      <c r="X611" s="44"/>
      <c r="Y611" s="44"/>
      <c r="Z611" s="44"/>
      <c r="AA611" s="44" t="s">
        <v>2546</v>
      </c>
      <c r="AB611" s="44" t="s">
        <v>2547</v>
      </c>
    </row>
    <row r="612" spans="1:28" ht="15.75" hidden="1" customHeight="1">
      <c r="A612" s="44"/>
      <c r="B612" s="44"/>
      <c r="C612" s="44"/>
      <c r="D612" s="44"/>
      <c r="E612" s="44"/>
      <c r="F612" s="44"/>
      <c r="G612" s="48"/>
      <c r="H612" s="48"/>
      <c r="I612" s="48"/>
      <c r="J612" s="48"/>
      <c r="K612" s="48"/>
      <c r="L612" s="48"/>
      <c r="M612" s="48"/>
      <c r="N612" s="48"/>
      <c r="O612" s="44"/>
      <c r="P612" s="44"/>
      <c r="Q612" s="44"/>
      <c r="R612" s="44"/>
      <c r="S612" s="44"/>
      <c r="T612" s="44"/>
      <c r="U612" s="44"/>
      <c r="V612" s="44"/>
      <c r="W612" s="44"/>
      <c r="X612" s="44"/>
      <c r="Y612" s="44"/>
      <c r="Z612" s="44"/>
      <c r="AA612" s="44" t="s">
        <v>2548</v>
      </c>
      <c r="AB612" s="44" t="s">
        <v>2549</v>
      </c>
    </row>
    <row r="613" spans="1:28" ht="15.75" hidden="1" customHeight="1">
      <c r="A613" s="44"/>
      <c r="B613" s="44"/>
      <c r="C613" s="44"/>
      <c r="D613" s="44"/>
      <c r="E613" s="44"/>
      <c r="F613" s="44"/>
      <c r="G613" s="48"/>
      <c r="H613" s="48"/>
      <c r="I613" s="48"/>
      <c r="J613" s="48"/>
      <c r="K613" s="48"/>
      <c r="L613" s="48"/>
      <c r="M613" s="48"/>
      <c r="N613" s="48"/>
      <c r="O613" s="44"/>
      <c r="P613" s="44"/>
      <c r="Q613" s="44"/>
      <c r="R613" s="44"/>
      <c r="S613" s="44"/>
      <c r="T613" s="44"/>
      <c r="U613" s="44"/>
      <c r="V613" s="44"/>
      <c r="W613" s="44"/>
      <c r="X613" s="44"/>
      <c r="Y613" s="44"/>
      <c r="Z613" s="44"/>
      <c r="AA613" s="44" t="s">
        <v>2550</v>
      </c>
      <c r="AB613" s="44" t="s">
        <v>2551</v>
      </c>
    </row>
    <row r="614" spans="1:28" ht="15.75" hidden="1" customHeight="1">
      <c r="A614" s="44"/>
      <c r="B614" s="44"/>
      <c r="C614" s="44"/>
      <c r="D614" s="44"/>
      <c r="E614" s="44"/>
      <c r="F614" s="44"/>
      <c r="G614" s="48"/>
      <c r="H614" s="48"/>
      <c r="I614" s="48"/>
      <c r="J614" s="48"/>
      <c r="K614" s="48"/>
      <c r="L614" s="48"/>
      <c r="M614" s="48"/>
      <c r="N614" s="48"/>
      <c r="O614" s="44"/>
      <c r="P614" s="44"/>
      <c r="Q614" s="44"/>
      <c r="R614" s="44"/>
      <c r="S614" s="44"/>
      <c r="T614" s="44"/>
      <c r="U614" s="44"/>
      <c r="V614" s="44"/>
      <c r="W614" s="44"/>
      <c r="X614" s="44"/>
      <c r="Y614" s="44"/>
      <c r="Z614" s="44"/>
      <c r="AA614" s="44" t="s">
        <v>2552</v>
      </c>
      <c r="AB614" s="44" t="s">
        <v>2553</v>
      </c>
    </row>
    <row r="615" spans="1:28" ht="15.75" hidden="1" customHeight="1">
      <c r="A615" s="44"/>
      <c r="B615" s="44"/>
      <c r="C615" s="44"/>
      <c r="D615" s="44"/>
      <c r="E615" s="44"/>
      <c r="F615" s="44"/>
      <c r="G615" s="48"/>
      <c r="H615" s="48"/>
      <c r="I615" s="48"/>
      <c r="J615" s="48"/>
      <c r="K615" s="48"/>
      <c r="L615" s="48"/>
      <c r="M615" s="48"/>
      <c r="N615" s="48"/>
      <c r="O615" s="44"/>
      <c r="P615" s="44"/>
      <c r="Q615" s="44"/>
      <c r="R615" s="44"/>
      <c r="S615" s="44"/>
      <c r="T615" s="44"/>
      <c r="U615" s="44"/>
      <c r="V615" s="44"/>
      <c r="W615" s="44"/>
      <c r="X615" s="44"/>
      <c r="Y615" s="44"/>
      <c r="Z615" s="44"/>
      <c r="AA615" s="44" t="s">
        <v>2554</v>
      </c>
      <c r="AB615" s="44" t="s">
        <v>2555</v>
      </c>
    </row>
    <row r="616" spans="1:28" ht="15.75" hidden="1" customHeight="1">
      <c r="A616" s="44"/>
      <c r="B616" s="44"/>
      <c r="C616" s="44"/>
      <c r="D616" s="44"/>
      <c r="E616" s="44"/>
      <c r="F616" s="44"/>
      <c r="G616" s="48"/>
      <c r="H616" s="48"/>
      <c r="I616" s="48"/>
      <c r="J616" s="48"/>
      <c r="K616" s="48"/>
      <c r="L616" s="48"/>
      <c r="M616" s="48"/>
      <c r="N616" s="48"/>
      <c r="O616" s="44"/>
      <c r="P616" s="44"/>
      <c r="Q616" s="44"/>
      <c r="R616" s="44"/>
      <c r="S616" s="44"/>
      <c r="T616" s="44"/>
      <c r="U616" s="44"/>
      <c r="V616" s="44"/>
      <c r="W616" s="44"/>
      <c r="X616" s="44"/>
      <c r="Y616" s="44"/>
      <c r="Z616" s="44"/>
      <c r="AA616" s="44" t="s">
        <v>2556</v>
      </c>
      <c r="AB616" s="44" t="s">
        <v>2557</v>
      </c>
    </row>
    <row r="617" spans="1:28" ht="15.75" hidden="1" customHeight="1">
      <c r="A617" s="44"/>
      <c r="B617" s="44"/>
      <c r="C617" s="44"/>
      <c r="D617" s="44"/>
      <c r="E617" s="44"/>
      <c r="F617" s="44"/>
      <c r="G617" s="48"/>
      <c r="H617" s="48"/>
      <c r="I617" s="48"/>
      <c r="J617" s="48"/>
      <c r="K617" s="48"/>
      <c r="L617" s="48"/>
      <c r="M617" s="48"/>
      <c r="N617" s="48"/>
      <c r="O617" s="44"/>
      <c r="P617" s="44"/>
      <c r="Q617" s="44"/>
      <c r="R617" s="44"/>
      <c r="S617" s="44"/>
      <c r="T617" s="44"/>
      <c r="U617" s="44"/>
      <c r="V617" s="44"/>
      <c r="W617" s="44"/>
      <c r="X617" s="44"/>
      <c r="Y617" s="44"/>
      <c r="Z617" s="44"/>
      <c r="AA617" s="44" t="s">
        <v>2558</v>
      </c>
      <c r="AB617" s="44" t="s">
        <v>2559</v>
      </c>
    </row>
    <row r="618" spans="1:28" ht="15.75" hidden="1" customHeight="1">
      <c r="A618" s="44"/>
      <c r="B618" s="44"/>
      <c r="C618" s="44"/>
      <c r="D618" s="44"/>
      <c r="E618" s="44"/>
      <c r="F618" s="44"/>
      <c r="G618" s="48"/>
      <c r="H618" s="48"/>
      <c r="I618" s="48"/>
      <c r="J618" s="48"/>
      <c r="K618" s="48"/>
      <c r="L618" s="48"/>
      <c r="M618" s="48"/>
      <c r="N618" s="48"/>
      <c r="O618" s="44"/>
      <c r="P618" s="44"/>
      <c r="Q618" s="44"/>
      <c r="R618" s="44"/>
      <c r="S618" s="44"/>
      <c r="T618" s="44"/>
      <c r="U618" s="44"/>
      <c r="V618" s="44"/>
      <c r="W618" s="44"/>
      <c r="X618" s="44"/>
      <c r="Y618" s="44"/>
      <c r="Z618" s="44"/>
      <c r="AA618" s="44" t="s">
        <v>2560</v>
      </c>
      <c r="AB618" s="44" t="s">
        <v>2561</v>
      </c>
    </row>
    <row r="619" spans="1:28" ht="15.75" hidden="1" customHeight="1">
      <c r="A619" s="44"/>
      <c r="B619" s="44"/>
      <c r="C619" s="44"/>
      <c r="D619" s="44"/>
      <c r="E619" s="44"/>
      <c r="F619" s="44"/>
      <c r="G619" s="48"/>
      <c r="H619" s="48"/>
      <c r="I619" s="48"/>
      <c r="J619" s="48"/>
      <c r="K619" s="48"/>
      <c r="L619" s="48"/>
      <c r="M619" s="48"/>
      <c r="N619" s="48"/>
      <c r="O619" s="44"/>
      <c r="P619" s="44"/>
      <c r="Q619" s="44"/>
      <c r="R619" s="44"/>
      <c r="S619" s="44"/>
      <c r="T619" s="44"/>
      <c r="U619" s="44"/>
      <c r="V619" s="44"/>
      <c r="W619" s="44"/>
      <c r="X619" s="44"/>
      <c r="Y619" s="44"/>
      <c r="Z619" s="44"/>
      <c r="AA619" s="44" t="s">
        <v>2562</v>
      </c>
      <c r="AB619" s="44" t="s">
        <v>2563</v>
      </c>
    </row>
    <row r="620" spans="1:28" ht="15.75" hidden="1" customHeight="1">
      <c r="A620" s="44"/>
      <c r="B620" s="44"/>
      <c r="C620" s="44"/>
      <c r="D620" s="44"/>
      <c r="E620" s="44"/>
      <c r="F620" s="44"/>
      <c r="G620" s="48"/>
      <c r="H620" s="48"/>
      <c r="I620" s="48"/>
      <c r="J620" s="48"/>
      <c r="K620" s="48"/>
      <c r="L620" s="48"/>
      <c r="M620" s="48"/>
      <c r="N620" s="48"/>
      <c r="O620" s="44"/>
      <c r="P620" s="44"/>
      <c r="Q620" s="44"/>
      <c r="R620" s="44"/>
      <c r="S620" s="44"/>
      <c r="T620" s="44"/>
      <c r="U620" s="44"/>
      <c r="V620" s="44"/>
      <c r="W620" s="44"/>
      <c r="X620" s="44"/>
      <c r="Y620" s="44"/>
      <c r="Z620" s="44"/>
      <c r="AA620" s="44" t="s">
        <v>2564</v>
      </c>
      <c r="AB620" s="44" t="s">
        <v>2565</v>
      </c>
    </row>
    <row r="621" spans="1:28" ht="15.75" hidden="1" customHeight="1">
      <c r="A621" s="44"/>
      <c r="B621" s="44"/>
      <c r="C621" s="44"/>
      <c r="D621" s="44"/>
      <c r="E621" s="44"/>
      <c r="F621" s="44"/>
      <c r="G621" s="48"/>
      <c r="H621" s="48"/>
      <c r="I621" s="48"/>
      <c r="J621" s="48"/>
      <c r="K621" s="48"/>
      <c r="L621" s="48"/>
      <c r="M621" s="48"/>
      <c r="N621" s="48"/>
      <c r="O621" s="44"/>
      <c r="P621" s="44"/>
      <c r="Q621" s="44"/>
      <c r="R621" s="44"/>
      <c r="S621" s="44"/>
      <c r="T621" s="44"/>
      <c r="U621" s="44"/>
      <c r="V621" s="44"/>
      <c r="W621" s="44"/>
      <c r="X621" s="44"/>
      <c r="Y621" s="44"/>
      <c r="Z621" s="44"/>
      <c r="AA621" s="44" t="s">
        <v>2566</v>
      </c>
      <c r="AB621" s="44" t="s">
        <v>2567</v>
      </c>
    </row>
    <row r="622" spans="1:28" ht="15.75" hidden="1" customHeight="1">
      <c r="A622" s="44"/>
      <c r="B622" s="44"/>
      <c r="C622" s="44"/>
      <c r="D622" s="44"/>
      <c r="E622" s="44"/>
      <c r="F622" s="44"/>
      <c r="G622" s="48"/>
      <c r="H622" s="48"/>
      <c r="I622" s="48"/>
      <c r="J622" s="48"/>
      <c r="K622" s="48"/>
      <c r="L622" s="48"/>
      <c r="M622" s="48"/>
      <c r="N622" s="48"/>
      <c r="O622" s="44"/>
      <c r="P622" s="44"/>
      <c r="Q622" s="44"/>
      <c r="R622" s="44"/>
      <c r="S622" s="44"/>
      <c r="T622" s="44"/>
      <c r="U622" s="44"/>
      <c r="V622" s="44"/>
      <c r="W622" s="44"/>
      <c r="X622" s="44"/>
      <c r="Y622" s="44"/>
      <c r="Z622" s="44"/>
      <c r="AA622" s="44" t="s">
        <v>2568</v>
      </c>
      <c r="AB622" s="44" t="s">
        <v>2569</v>
      </c>
    </row>
    <row r="623" spans="1:28" ht="15.75" hidden="1" customHeight="1">
      <c r="A623" s="44"/>
      <c r="B623" s="44"/>
      <c r="C623" s="44"/>
      <c r="D623" s="44"/>
      <c r="E623" s="44"/>
      <c r="F623" s="44"/>
      <c r="G623" s="48"/>
      <c r="H623" s="48"/>
      <c r="I623" s="48"/>
      <c r="J623" s="48"/>
      <c r="K623" s="48"/>
      <c r="L623" s="48"/>
      <c r="M623" s="48"/>
      <c r="N623" s="48"/>
      <c r="O623" s="44"/>
      <c r="P623" s="44"/>
      <c r="Q623" s="44"/>
      <c r="R623" s="44"/>
      <c r="S623" s="44"/>
      <c r="T623" s="44"/>
      <c r="U623" s="44"/>
      <c r="V623" s="44"/>
      <c r="W623" s="44"/>
      <c r="X623" s="44"/>
      <c r="Y623" s="44"/>
      <c r="Z623" s="44"/>
      <c r="AA623" s="44" t="s">
        <v>2570</v>
      </c>
      <c r="AB623" s="44" t="s">
        <v>2571</v>
      </c>
    </row>
    <row r="624" spans="1:28" ht="15.75" hidden="1" customHeight="1">
      <c r="A624" s="44"/>
      <c r="B624" s="44"/>
      <c r="C624" s="44"/>
      <c r="D624" s="44"/>
      <c r="E624" s="44"/>
      <c r="F624" s="44"/>
      <c r="G624" s="48"/>
      <c r="H624" s="48"/>
      <c r="I624" s="48"/>
      <c r="J624" s="48"/>
      <c r="K624" s="48"/>
      <c r="L624" s="48"/>
      <c r="M624" s="48"/>
      <c r="N624" s="48"/>
      <c r="O624" s="44"/>
      <c r="P624" s="44"/>
      <c r="Q624" s="44"/>
      <c r="R624" s="44"/>
      <c r="S624" s="44"/>
      <c r="T624" s="44"/>
      <c r="U624" s="44"/>
      <c r="V624" s="44"/>
      <c r="W624" s="44"/>
      <c r="X624" s="44"/>
      <c r="Y624" s="44"/>
      <c r="Z624" s="44"/>
      <c r="AA624" s="44" t="s">
        <v>2572</v>
      </c>
      <c r="AB624" s="44" t="s">
        <v>2573</v>
      </c>
    </row>
    <row r="625" spans="1:28" ht="15.75" hidden="1" customHeight="1">
      <c r="A625" s="44"/>
      <c r="B625" s="44"/>
      <c r="C625" s="44"/>
      <c r="D625" s="44"/>
      <c r="E625" s="44"/>
      <c r="F625" s="44"/>
      <c r="G625" s="48"/>
      <c r="H625" s="48"/>
      <c r="I625" s="48"/>
      <c r="J625" s="48"/>
      <c r="K625" s="48"/>
      <c r="L625" s="48"/>
      <c r="M625" s="48"/>
      <c r="N625" s="48"/>
      <c r="O625" s="44"/>
      <c r="P625" s="44"/>
      <c r="Q625" s="44"/>
      <c r="R625" s="44"/>
      <c r="S625" s="44"/>
      <c r="T625" s="44"/>
      <c r="U625" s="44"/>
      <c r="V625" s="44"/>
      <c r="W625" s="44"/>
      <c r="X625" s="44"/>
      <c r="Y625" s="44"/>
      <c r="Z625" s="44"/>
      <c r="AA625" s="44" t="s">
        <v>2574</v>
      </c>
      <c r="AB625" s="44" t="s">
        <v>2575</v>
      </c>
    </row>
    <row r="626" spans="1:28" ht="15.75" hidden="1" customHeight="1">
      <c r="A626" s="44"/>
      <c r="B626" s="44"/>
      <c r="C626" s="44"/>
      <c r="D626" s="44"/>
      <c r="E626" s="44"/>
      <c r="F626" s="44"/>
      <c r="G626" s="48"/>
      <c r="H626" s="48"/>
      <c r="I626" s="48"/>
      <c r="J626" s="48"/>
      <c r="K626" s="48"/>
      <c r="L626" s="48"/>
      <c r="M626" s="48"/>
      <c r="N626" s="48"/>
      <c r="O626" s="44"/>
      <c r="P626" s="44"/>
      <c r="Q626" s="44"/>
      <c r="R626" s="44"/>
      <c r="S626" s="44"/>
      <c r="T626" s="44"/>
      <c r="U626" s="44"/>
      <c r="V626" s="44"/>
      <c r="W626" s="44"/>
      <c r="X626" s="44"/>
      <c r="Y626" s="44"/>
      <c r="Z626" s="44"/>
      <c r="AA626" s="44" t="s">
        <v>2576</v>
      </c>
      <c r="AB626" s="44" t="s">
        <v>2577</v>
      </c>
    </row>
    <row r="627" spans="1:28" ht="15.75" hidden="1" customHeight="1">
      <c r="A627" s="44"/>
      <c r="B627" s="44"/>
      <c r="C627" s="44"/>
      <c r="D627" s="44"/>
      <c r="E627" s="44"/>
      <c r="F627" s="44"/>
      <c r="G627" s="48"/>
      <c r="H627" s="48"/>
      <c r="I627" s="48"/>
      <c r="J627" s="48"/>
      <c r="K627" s="48"/>
      <c r="L627" s="48"/>
      <c r="M627" s="48"/>
      <c r="N627" s="48"/>
      <c r="O627" s="44"/>
      <c r="P627" s="44"/>
      <c r="Q627" s="44"/>
      <c r="R627" s="44"/>
      <c r="S627" s="44"/>
      <c r="T627" s="44"/>
      <c r="U627" s="44"/>
      <c r="V627" s="44"/>
      <c r="W627" s="44"/>
      <c r="X627" s="44"/>
      <c r="Y627" s="44"/>
      <c r="Z627" s="44"/>
      <c r="AA627" s="44" t="s">
        <v>2578</v>
      </c>
      <c r="AB627" s="44" t="s">
        <v>2579</v>
      </c>
    </row>
    <row r="628" spans="1:28" ht="15.75" hidden="1" customHeight="1">
      <c r="A628" s="44"/>
      <c r="B628" s="44"/>
      <c r="C628" s="44"/>
      <c r="D628" s="44"/>
      <c r="E628" s="44"/>
      <c r="F628" s="44"/>
      <c r="G628" s="48"/>
      <c r="H628" s="48"/>
      <c r="I628" s="48"/>
      <c r="J628" s="48"/>
      <c r="K628" s="48"/>
      <c r="L628" s="48"/>
      <c r="M628" s="48"/>
      <c r="N628" s="48"/>
      <c r="O628" s="44"/>
      <c r="P628" s="44"/>
      <c r="Q628" s="44"/>
      <c r="R628" s="44"/>
      <c r="S628" s="44"/>
      <c r="T628" s="44"/>
      <c r="U628" s="44"/>
      <c r="V628" s="44"/>
      <c r="W628" s="44"/>
      <c r="X628" s="44"/>
      <c r="Y628" s="44"/>
      <c r="Z628" s="44"/>
      <c r="AA628" s="44" t="s">
        <v>2580</v>
      </c>
      <c r="AB628" s="44" t="s">
        <v>2581</v>
      </c>
    </row>
    <row r="629" spans="1:28" ht="15.75" hidden="1" customHeight="1">
      <c r="A629" s="44"/>
      <c r="B629" s="44"/>
      <c r="C629" s="44"/>
      <c r="D629" s="44"/>
      <c r="E629" s="44"/>
      <c r="F629" s="44"/>
      <c r="G629" s="48"/>
      <c r="H629" s="48"/>
      <c r="I629" s="48"/>
      <c r="J629" s="48"/>
      <c r="K629" s="48"/>
      <c r="L629" s="48"/>
      <c r="M629" s="48"/>
      <c r="N629" s="48"/>
      <c r="O629" s="44"/>
      <c r="P629" s="44"/>
      <c r="Q629" s="44"/>
      <c r="R629" s="44"/>
      <c r="S629" s="44"/>
      <c r="T629" s="44"/>
      <c r="U629" s="44"/>
      <c r="V629" s="44"/>
      <c r="W629" s="44"/>
      <c r="X629" s="44"/>
      <c r="Y629" s="44"/>
      <c r="Z629" s="44"/>
      <c r="AA629" s="44" t="s">
        <v>2582</v>
      </c>
      <c r="AB629" s="44" t="s">
        <v>2583</v>
      </c>
    </row>
    <row r="630" spans="1:28" ht="15.75" hidden="1" customHeight="1">
      <c r="A630" s="44"/>
      <c r="B630" s="44"/>
      <c r="C630" s="44"/>
      <c r="D630" s="44"/>
      <c r="E630" s="44"/>
      <c r="F630" s="44"/>
      <c r="G630" s="48"/>
      <c r="H630" s="48"/>
      <c r="I630" s="48"/>
      <c r="J630" s="48"/>
      <c r="K630" s="48"/>
      <c r="L630" s="48"/>
      <c r="M630" s="48"/>
      <c r="N630" s="48"/>
      <c r="O630" s="44"/>
      <c r="P630" s="44"/>
      <c r="Q630" s="44"/>
      <c r="R630" s="44"/>
      <c r="S630" s="44"/>
      <c r="T630" s="44"/>
      <c r="U630" s="44"/>
      <c r="V630" s="44"/>
      <c r="W630" s="44"/>
      <c r="X630" s="44"/>
      <c r="Y630" s="44"/>
      <c r="Z630" s="44"/>
      <c r="AA630" s="44" t="s">
        <v>2584</v>
      </c>
      <c r="AB630" s="44" t="s">
        <v>2585</v>
      </c>
    </row>
    <row r="631" spans="1:28" ht="15.75" hidden="1" customHeight="1">
      <c r="A631" s="44"/>
      <c r="B631" s="44"/>
      <c r="C631" s="44"/>
      <c r="D631" s="44"/>
      <c r="E631" s="44"/>
      <c r="F631" s="44"/>
      <c r="G631" s="48"/>
      <c r="H631" s="48"/>
      <c r="I631" s="48"/>
      <c r="J631" s="48"/>
      <c r="K631" s="48"/>
      <c r="L631" s="48"/>
      <c r="M631" s="48"/>
      <c r="N631" s="48"/>
      <c r="O631" s="44"/>
      <c r="P631" s="44"/>
      <c r="Q631" s="44"/>
      <c r="R631" s="44"/>
      <c r="S631" s="44"/>
      <c r="T631" s="44"/>
      <c r="U631" s="44"/>
      <c r="V631" s="44"/>
      <c r="W631" s="44"/>
      <c r="X631" s="44"/>
      <c r="Y631" s="44"/>
      <c r="Z631" s="44"/>
      <c r="AA631" s="44" t="s">
        <v>2586</v>
      </c>
      <c r="AB631" s="44" t="s">
        <v>2587</v>
      </c>
    </row>
    <row r="632" spans="1:28" ht="15.75" hidden="1" customHeight="1">
      <c r="A632" s="44"/>
      <c r="B632" s="44"/>
      <c r="C632" s="44"/>
      <c r="D632" s="44"/>
      <c r="E632" s="44"/>
      <c r="F632" s="44"/>
      <c r="G632" s="48"/>
      <c r="H632" s="48"/>
      <c r="I632" s="48"/>
      <c r="J632" s="48"/>
      <c r="K632" s="48"/>
      <c r="L632" s="48"/>
      <c r="M632" s="48"/>
      <c r="N632" s="48"/>
      <c r="O632" s="44"/>
      <c r="P632" s="44"/>
      <c r="Q632" s="44"/>
      <c r="R632" s="44"/>
      <c r="S632" s="44"/>
      <c r="T632" s="44"/>
      <c r="U632" s="44"/>
      <c r="V632" s="44"/>
      <c r="W632" s="44"/>
      <c r="X632" s="44"/>
      <c r="Y632" s="44"/>
      <c r="Z632" s="44"/>
      <c r="AA632" s="44" t="s">
        <v>2588</v>
      </c>
      <c r="AB632" s="44" t="s">
        <v>2589</v>
      </c>
    </row>
    <row r="633" spans="1:28" ht="15.75" hidden="1" customHeight="1">
      <c r="A633" s="44"/>
      <c r="B633" s="44"/>
      <c r="C633" s="44"/>
      <c r="D633" s="44"/>
      <c r="E633" s="44"/>
      <c r="F633" s="44"/>
      <c r="G633" s="48"/>
      <c r="H633" s="48"/>
      <c r="I633" s="48"/>
      <c r="J633" s="48"/>
      <c r="K633" s="48"/>
      <c r="L633" s="48"/>
      <c r="M633" s="48"/>
      <c r="N633" s="48"/>
      <c r="O633" s="44"/>
      <c r="P633" s="44"/>
      <c r="Q633" s="44"/>
      <c r="R633" s="44"/>
      <c r="S633" s="44"/>
      <c r="T633" s="44"/>
      <c r="U633" s="44"/>
      <c r="V633" s="44"/>
      <c r="W633" s="44"/>
      <c r="X633" s="44"/>
      <c r="Y633" s="44"/>
      <c r="Z633" s="44"/>
      <c r="AA633" s="44" t="s">
        <v>2590</v>
      </c>
      <c r="AB633" s="44" t="s">
        <v>2591</v>
      </c>
    </row>
    <row r="634" spans="1:28" ht="15.75" hidden="1" customHeight="1">
      <c r="A634" s="44"/>
      <c r="B634" s="44"/>
      <c r="C634" s="44"/>
      <c r="D634" s="44"/>
      <c r="E634" s="44"/>
      <c r="F634" s="44"/>
      <c r="G634" s="48"/>
      <c r="H634" s="48"/>
      <c r="I634" s="48"/>
      <c r="J634" s="48"/>
      <c r="K634" s="48"/>
      <c r="L634" s="48"/>
      <c r="M634" s="48"/>
      <c r="N634" s="48"/>
      <c r="O634" s="44"/>
      <c r="P634" s="44"/>
      <c r="Q634" s="44"/>
      <c r="R634" s="44"/>
      <c r="S634" s="44"/>
      <c r="T634" s="44"/>
      <c r="U634" s="44"/>
      <c r="V634" s="44"/>
      <c r="W634" s="44"/>
      <c r="X634" s="44"/>
      <c r="Y634" s="44"/>
      <c r="Z634" s="44"/>
      <c r="AA634" s="44" t="s">
        <v>2592</v>
      </c>
      <c r="AB634" s="44" t="s">
        <v>2593</v>
      </c>
    </row>
    <row r="635" spans="1:28" ht="15.75" hidden="1" customHeight="1">
      <c r="A635" s="44"/>
      <c r="B635" s="44"/>
      <c r="C635" s="44"/>
      <c r="D635" s="44"/>
      <c r="E635" s="44"/>
      <c r="F635" s="44"/>
      <c r="G635" s="48"/>
      <c r="H635" s="48"/>
      <c r="I635" s="48"/>
      <c r="J635" s="48"/>
      <c r="K635" s="48"/>
      <c r="L635" s="48"/>
      <c r="M635" s="48"/>
      <c r="N635" s="48"/>
      <c r="O635" s="44"/>
      <c r="P635" s="44"/>
      <c r="Q635" s="44"/>
      <c r="R635" s="44"/>
      <c r="S635" s="44"/>
      <c r="T635" s="44"/>
      <c r="U635" s="44"/>
      <c r="V635" s="44"/>
      <c r="W635" s="44"/>
      <c r="X635" s="44"/>
      <c r="Y635" s="44"/>
      <c r="Z635" s="44"/>
      <c r="AA635" s="44" t="s">
        <v>2594</v>
      </c>
      <c r="AB635" s="44" t="s">
        <v>2595</v>
      </c>
    </row>
    <row r="636" spans="1:28" ht="15.75" hidden="1" customHeight="1">
      <c r="A636" s="44"/>
      <c r="B636" s="44"/>
      <c r="C636" s="44"/>
      <c r="D636" s="44"/>
      <c r="E636" s="44"/>
      <c r="F636" s="44"/>
      <c r="G636" s="48"/>
      <c r="H636" s="48"/>
      <c r="I636" s="48"/>
      <c r="J636" s="48"/>
      <c r="K636" s="48"/>
      <c r="L636" s="48"/>
      <c r="M636" s="48"/>
      <c r="N636" s="48"/>
      <c r="O636" s="44"/>
      <c r="P636" s="44"/>
      <c r="Q636" s="44"/>
      <c r="R636" s="44"/>
      <c r="S636" s="44"/>
      <c r="T636" s="44"/>
      <c r="U636" s="44"/>
      <c r="V636" s="44"/>
      <c r="W636" s="44"/>
      <c r="X636" s="44"/>
      <c r="Y636" s="44"/>
      <c r="Z636" s="44"/>
      <c r="AA636" s="44" t="s">
        <v>2596</v>
      </c>
      <c r="AB636" s="44" t="s">
        <v>2597</v>
      </c>
    </row>
    <row r="637" spans="1:28" ht="15.75" hidden="1" customHeight="1">
      <c r="A637" s="44"/>
      <c r="B637" s="44"/>
      <c r="C637" s="44"/>
      <c r="D637" s="44"/>
      <c r="E637" s="44"/>
      <c r="F637" s="44"/>
      <c r="G637" s="48"/>
      <c r="H637" s="48"/>
      <c r="I637" s="48"/>
      <c r="J637" s="48"/>
      <c r="K637" s="48"/>
      <c r="L637" s="48"/>
      <c r="M637" s="48"/>
      <c r="N637" s="48"/>
      <c r="O637" s="44"/>
      <c r="P637" s="44"/>
      <c r="Q637" s="44"/>
      <c r="R637" s="44"/>
      <c r="S637" s="44"/>
      <c r="T637" s="44"/>
      <c r="U637" s="44"/>
      <c r="V637" s="44"/>
      <c r="W637" s="44"/>
      <c r="X637" s="44"/>
      <c r="Y637" s="44"/>
      <c r="Z637" s="44"/>
      <c r="AA637" s="44" t="s">
        <v>2598</v>
      </c>
      <c r="AB637" s="44" t="s">
        <v>2599</v>
      </c>
    </row>
    <row r="638" spans="1:28" ht="15.75" hidden="1" customHeight="1">
      <c r="A638" s="44"/>
      <c r="B638" s="44"/>
      <c r="C638" s="44"/>
      <c r="D638" s="44"/>
      <c r="E638" s="44"/>
      <c r="F638" s="44"/>
      <c r="G638" s="48"/>
      <c r="H638" s="48"/>
      <c r="I638" s="48"/>
      <c r="J638" s="48"/>
      <c r="K638" s="48"/>
      <c r="L638" s="48"/>
      <c r="M638" s="48"/>
      <c r="N638" s="48"/>
      <c r="O638" s="44"/>
      <c r="P638" s="44"/>
      <c r="Q638" s="44"/>
      <c r="R638" s="44"/>
      <c r="S638" s="44"/>
      <c r="T638" s="44"/>
      <c r="U638" s="44"/>
      <c r="V638" s="44"/>
      <c r="W638" s="44"/>
      <c r="X638" s="44"/>
      <c r="Y638" s="44"/>
      <c r="Z638" s="44"/>
      <c r="AA638" s="44" t="s">
        <v>2600</v>
      </c>
      <c r="AB638" s="44" t="s">
        <v>2601</v>
      </c>
    </row>
    <row r="639" spans="1:28" ht="15.75" hidden="1" customHeight="1">
      <c r="A639" s="44"/>
      <c r="B639" s="44"/>
      <c r="C639" s="44"/>
      <c r="D639" s="44"/>
      <c r="E639" s="44"/>
      <c r="F639" s="44"/>
      <c r="G639" s="48"/>
      <c r="H639" s="48"/>
      <c r="I639" s="48"/>
      <c r="J639" s="48"/>
      <c r="K639" s="48"/>
      <c r="L639" s="48"/>
      <c r="M639" s="48"/>
      <c r="N639" s="48"/>
      <c r="O639" s="44"/>
      <c r="P639" s="44"/>
      <c r="Q639" s="44"/>
      <c r="R639" s="44"/>
      <c r="S639" s="44"/>
      <c r="T639" s="44"/>
      <c r="U639" s="44"/>
      <c r="V639" s="44"/>
      <c r="W639" s="44"/>
      <c r="X639" s="44"/>
      <c r="Y639" s="44"/>
      <c r="Z639" s="44"/>
      <c r="AA639" s="44" t="s">
        <v>2602</v>
      </c>
      <c r="AB639" s="44" t="s">
        <v>2603</v>
      </c>
    </row>
    <row r="640" spans="1:28" ht="15.75" hidden="1" customHeight="1">
      <c r="A640" s="44"/>
      <c r="B640" s="44"/>
      <c r="C640" s="44"/>
      <c r="D640" s="44"/>
      <c r="E640" s="44"/>
      <c r="F640" s="44"/>
      <c r="G640" s="48"/>
      <c r="H640" s="48"/>
      <c r="I640" s="48"/>
      <c r="J640" s="48"/>
      <c r="K640" s="48"/>
      <c r="L640" s="48"/>
      <c r="M640" s="48"/>
      <c r="N640" s="48"/>
      <c r="O640" s="44"/>
      <c r="P640" s="44"/>
      <c r="Q640" s="44"/>
      <c r="R640" s="44"/>
      <c r="S640" s="44"/>
      <c r="T640" s="44"/>
      <c r="U640" s="44"/>
      <c r="V640" s="44"/>
      <c r="W640" s="44"/>
      <c r="X640" s="44"/>
      <c r="Y640" s="44"/>
      <c r="Z640" s="44"/>
      <c r="AA640" s="44" t="s">
        <v>2604</v>
      </c>
      <c r="AB640" s="44" t="s">
        <v>2605</v>
      </c>
    </row>
    <row r="641" spans="1:28" ht="15.75" hidden="1" customHeight="1">
      <c r="A641" s="44"/>
      <c r="B641" s="44"/>
      <c r="C641" s="44"/>
      <c r="D641" s="44"/>
      <c r="E641" s="44"/>
      <c r="F641" s="44"/>
      <c r="G641" s="48"/>
      <c r="H641" s="48"/>
      <c r="I641" s="48"/>
      <c r="J641" s="48"/>
      <c r="K641" s="48"/>
      <c r="L641" s="48"/>
      <c r="M641" s="48"/>
      <c r="N641" s="48"/>
      <c r="O641" s="44"/>
      <c r="P641" s="44"/>
      <c r="Q641" s="44"/>
      <c r="R641" s="44"/>
      <c r="S641" s="44"/>
      <c r="T641" s="44"/>
      <c r="U641" s="44"/>
      <c r="V641" s="44"/>
      <c r="W641" s="44"/>
      <c r="X641" s="44"/>
      <c r="Y641" s="44"/>
      <c r="Z641" s="44"/>
      <c r="AA641" s="44" t="s">
        <v>2606</v>
      </c>
      <c r="AB641" s="44" t="s">
        <v>2607</v>
      </c>
    </row>
    <row r="642" spans="1:28" ht="15.75" hidden="1" customHeight="1">
      <c r="A642" s="44"/>
      <c r="B642" s="44"/>
      <c r="C642" s="44"/>
      <c r="D642" s="44"/>
      <c r="E642" s="44"/>
      <c r="F642" s="44"/>
      <c r="G642" s="48"/>
      <c r="H642" s="48"/>
      <c r="I642" s="48"/>
      <c r="J642" s="48"/>
      <c r="K642" s="48"/>
      <c r="L642" s="48"/>
      <c r="M642" s="48"/>
      <c r="N642" s="48"/>
      <c r="O642" s="44"/>
      <c r="P642" s="44"/>
      <c r="Q642" s="44"/>
      <c r="R642" s="44"/>
      <c r="S642" s="44"/>
      <c r="T642" s="44"/>
      <c r="U642" s="44"/>
      <c r="V642" s="44"/>
      <c r="W642" s="44"/>
      <c r="X642" s="44"/>
      <c r="Y642" s="44"/>
      <c r="Z642" s="44"/>
      <c r="AA642" s="44" t="s">
        <v>2608</v>
      </c>
      <c r="AB642" s="44" t="s">
        <v>2609</v>
      </c>
    </row>
    <row r="643" spans="1:28" ht="15.75" hidden="1" customHeight="1">
      <c r="A643" s="44"/>
      <c r="B643" s="44"/>
      <c r="C643" s="44"/>
      <c r="D643" s="44"/>
      <c r="E643" s="44"/>
      <c r="F643" s="44"/>
      <c r="G643" s="48"/>
      <c r="H643" s="48"/>
      <c r="I643" s="48"/>
      <c r="J643" s="48"/>
      <c r="K643" s="48"/>
      <c r="L643" s="48"/>
      <c r="M643" s="48"/>
      <c r="N643" s="48"/>
      <c r="O643" s="44"/>
      <c r="P643" s="44"/>
      <c r="Q643" s="44"/>
      <c r="R643" s="44"/>
      <c r="S643" s="44"/>
      <c r="T643" s="44"/>
      <c r="U643" s="44"/>
      <c r="V643" s="44"/>
      <c r="W643" s="44"/>
      <c r="X643" s="44"/>
      <c r="Y643" s="44"/>
      <c r="Z643" s="44"/>
      <c r="AA643" s="44" t="s">
        <v>2610</v>
      </c>
      <c r="AB643" s="44" t="s">
        <v>2611</v>
      </c>
    </row>
    <row r="644" spans="1:28" ht="15.75" hidden="1" customHeight="1">
      <c r="A644" s="44"/>
      <c r="B644" s="44"/>
      <c r="C644" s="44"/>
      <c r="D644" s="44"/>
      <c r="E644" s="44"/>
      <c r="F644" s="44"/>
      <c r="G644" s="48"/>
      <c r="H644" s="48"/>
      <c r="I644" s="48"/>
      <c r="J644" s="48"/>
      <c r="K644" s="48"/>
      <c r="L644" s="48"/>
      <c r="M644" s="48"/>
      <c r="N644" s="48"/>
      <c r="O644" s="44"/>
      <c r="P644" s="44"/>
      <c r="Q644" s="44"/>
      <c r="R644" s="44"/>
      <c r="S644" s="44"/>
      <c r="T644" s="44"/>
      <c r="U644" s="44"/>
      <c r="V644" s="44"/>
      <c r="W644" s="44"/>
      <c r="X644" s="44"/>
      <c r="Y644" s="44"/>
      <c r="Z644" s="44"/>
      <c r="AA644" s="44" t="s">
        <v>2612</v>
      </c>
      <c r="AB644" s="44" t="s">
        <v>2613</v>
      </c>
    </row>
    <row r="645" spans="1:28" ht="15.75" hidden="1" customHeight="1">
      <c r="A645" s="44"/>
      <c r="B645" s="44"/>
      <c r="C645" s="44"/>
      <c r="D645" s="44"/>
      <c r="E645" s="44"/>
      <c r="F645" s="44"/>
      <c r="G645" s="48"/>
      <c r="H645" s="48"/>
      <c r="I645" s="48"/>
      <c r="J645" s="48"/>
      <c r="K645" s="48"/>
      <c r="L645" s="48"/>
      <c r="M645" s="48"/>
      <c r="N645" s="48"/>
      <c r="O645" s="44"/>
      <c r="P645" s="44"/>
      <c r="Q645" s="44"/>
      <c r="R645" s="44"/>
      <c r="S645" s="44"/>
      <c r="T645" s="44"/>
      <c r="U645" s="44"/>
      <c r="V645" s="44"/>
      <c r="W645" s="44"/>
      <c r="X645" s="44"/>
      <c r="Y645" s="44"/>
      <c r="Z645" s="44"/>
      <c r="AA645" s="44" t="s">
        <v>2614</v>
      </c>
      <c r="AB645" s="44" t="s">
        <v>2615</v>
      </c>
    </row>
    <row r="646" spans="1:28" ht="15.75" hidden="1" customHeight="1">
      <c r="A646" s="44"/>
      <c r="B646" s="44"/>
      <c r="C646" s="44"/>
      <c r="D646" s="44"/>
      <c r="E646" s="44"/>
      <c r="F646" s="44"/>
      <c r="G646" s="48"/>
      <c r="H646" s="48"/>
      <c r="I646" s="48"/>
      <c r="J646" s="48"/>
      <c r="K646" s="48"/>
      <c r="L646" s="48"/>
      <c r="M646" s="48"/>
      <c r="N646" s="48"/>
      <c r="O646" s="44"/>
      <c r="P646" s="44"/>
      <c r="Q646" s="44"/>
      <c r="R646" s="44"/>
      <c r="S646" s="44"/>
      <c r="T646" s="44"/>
      <c r="U646" s="44"/>
      <c r="V646" s="44"/>
      <c r="W646" s="44"/>
      <c r="X646" s="44"/>
      <c r="Y646" s="44"/>
      <c r="Z646" s="44"/>
      <c r="AA646" s="44" t="s">
        <v>2616</v>
      </c>
      <c r="AB646" s="44" t="s">
        <v>2617</v>
      </c>
    </row>
    <row r="647" spans="1:28" ht="15.75" hidden="1" customHeight="1">
      <c r="A647" s="44"/>
      <c r="B647" s="44"/>
      <c r="C647" s="44"/>
      <c r="D647" s="44"/>
      <c r="E647" s="44"/>
      <c r="F647" s="44"/>
      <c r="G647" s="48"/>
      <c r="H647" s="48"/>
      <c r="I647" s="48"/>
      <c r="J647" s="48"/>
      <c r="K647" s="48"/>
      <c r="L647" s="48"/>
      <c r="M647" s="48"/>
      <c r="N647" s="48"/>
      <c r="O647" s="44"/>
      <c r="P647" s="44"/>
      <c r="Q647" s="44"/>
      <c r="R647" s="44"/>
      <c r="S647" s="44"/>
      <c r="T647" s="44"/>
      <c r="U647" s="44"/>
      <c r="V647" s="44"/>
      <c r="W647" s="44"/>
      <c r="X647" s="44"/>
      <c r="Y647" s="44"/>
      <c r="Z647" s="44"/>
      <c r="AA647" s="44" t="s">
        <v>2618</v>
      </c>
      <c r="AB647" s="44" t="s">
        <v>2619</v>
      </c>
    </row>
    <row r="648" spans="1:28" ht="15.75" hidden="1" customHeight="1">
      <c r="A648" s="44"/>
      <c r="B648" s="44"/>
      <c r="C648" s="44"/>
      <c r="D648" s="44"/>
      <c r="E648" s="44"/>
      <c r="F648" s="44"/>
      <c r="G648" s="48"/>
      <c r="H648" s="48"/>
      <c r="I648" s="48"/>
      <c r="J648" s="48"/>
      <c r="K648" s="48"/>
      <c r="L648" s="48"/>
      <c r="M648" s="48"/>
      <c r="N648" s="48"/>
      <c r="O648" s="44"/>
      <c r="P648" s="44"/>
      <c r="Q648" s="44"/>
      <c r="R648" s="44"/>
      <c r="S648" s="44"/>
      <c r="T648" s="44"/>
      <c r="U648" s="44"/>
      <c r="V648" s="44"/>
      <c r="W648" s="44"/>
      <c r="X648" s="44"/>
      <c r="Y648" s="44"/>
      <c r="Z648" s="44"/>
      <c r="AA648" s="44" t="s">
        <v>2620</v>
      </c>
      <c r="AB648" s="44" t="s">
        <v>2621</v>
      </c>
    </row>
    <row r="649" spans="1:28" ht="15.75" hidden="1" customHeight="1">
      <c r="A649" s="44"/>
      <c r="B649" s="44"/>
      <c r="C649" s="44"/>
      <c r="D649" s="44"/>
      <c r="E649" s="44"/>
      <c r="F649" s="44"/>
      <c r="G649" s="48"/>
      <c r="H649" s="48"/>
      <c r="I649" s="48"/>
      <c r="J649" s="48"/>
      <c r="K649" s="48"/>
      <c r="L649" s="48"/>
      <c r="M649" s="48"/>
      <c r="N649" s="48"/>
      <c r="O649" s="44"/>
      <c r="P649" s="44"/>
      <c r="Q649" s="44"/>
      <c r="R649" s="44"/>
      <c r="S649" s="44"/>
      <c r="T649" s="44"/>
      <c r="U649" s="44"/>
      <c r="V649" s="44"/>
      <c r="W649" s="44"/>
      <c r="X649" s="44"/>
      <c r="Y649" s="44"/>
      <c r="Z649" s="44"/>
      <c r="AA649" s="44" t="s">
        <v>2622</v>
      </c>
      <c r="AB649" s="44" t="s">
        <v>2623</v>
      </c>
    </row>
    <row r="650" spans="1:28" ht="15.75" hidden="1" customHeight="1">
      <c r="A650" s="44"/>
      <c r="B650" s="44"/>
      <c r="C650" s="44"/>
      <c r="D650" s="44"/>
      <c r="E650" s="44"/>
      <c r="F650" s="44"/>
      <c r="G650" s="48"/>
      <c r="H650" s="48"/>
      <c r="I650" s="48"/>
      <c r="J650" s="48"/>
      <c r="K650" s="48"/>
      <c r="L650" s="48"/>
      <c r="M650" s="48"/>
      <c r="N650" s="48"/>
      <c r="O650" s="44"/>
      <c r="P650" s="44"/>
      <c r="Q650" s="44"/>
      <c r="R650" s="44"/>
      <c r="S650" s="44"/>
      <c r="T650" s="44"/>
      <c r="U650" s="44"/>
      <c r="V650" s="44"/>
      <c r="W650" s="44"/>
      <c r="X650" s="44"/>
      <c r="Y650" s="44"/>
      <c r="Z650" s="44"/>
      <c r="AA650" s="44" t="s">
        <v>2624</v>
      </c>
      <c r="AB650" s="44" t="s">
        <v>2625</v>
      </c>
    </row>
    <row r="651" spans="1:28" ht="15.75" hidden="1" customHeight="1">
      <c r="A651" s="44"/>
      <c r="B651" s="44"/>
      <c r="C651" s="44"/>
      <c r="D651" s="44"/>
      <c r="E651" s="44"/>
      <c r="F651" s="44"/>
      <c r="G651" s="48"/>
      <c r="H651" s="48"/>
      <c r="I651" s="48"/>
      <c r="J651" s="48"/>
      <c r="K651" s="48"/>
      <c r="L651" s="48"/>
      <c r="M651" s="48"/>
      <c r="N651" s="48"/>
      <c r="O651" s="44"/>
      <c r="P651" s="44"/>
      <c r="Q651" s="44"/>
      <c r="R651" s="44"/>
      <c r="S651" s="44"/>
      <c r="T651" s="44"/>
      <c r="U651" s="44"/>
      <c r="V651" s="44"/>
      <c r="W651" s="44"/>
      <c r="X651" s="44"/>
      <c r="Y651" s="44"/>
      <c r="Z651" s="44"/>
      <c r="AA651" s="44" t="s">
        <v>2626</v>
      </c>
      <c r="AB651" s="44" t="s">
        <v>2627</v>
      </c>
    </row>
    <row r="652" spans="1:28" ht="15.75" hidden="1" customHeight="1">
      <c r="A652" s="44"/>
      <c r="B652" s="44"/>
      <c r="C652" s="44"/>
      <c r="D652" s="44"/>
      <c r="E652" s="44"/>
      <c r="F652" s="44"/>
      <c r="G652" s="48"/>
      <c r="H652" s="48"/>
      <c r="I652" s="48"/>
      <c r="J652" s="48"/>
      <c r="K652" s="48"/>
      <c r="L652" s="48"/>
      <c r="M652" s="48"/>
      <c r="N652" s="48"/>
      <c r="O652" s="44"/>
      <c r="P652" s="44"/>
      <c r="Q652" s="44"/>
      <c r="R652" s="44"/>
      <c r="S652" s="44"/>
      <c r="T652" s="44"/>
      <c r="U652" s="44"/>
      <c r="V652" s="44"/>
      <c r="W652" s="44"/>
      <c r="X652" s="44"/>
      <c r="Y652" s="44"/>
      <c r="Z652" s="44"/>
      <c r="AA652" s="44" t="s">
        <v>2628</v>
      </c>
      <c r="AB652" s="44" t="s">
        <v>2629</v>
      </c>
    </row>
    <row r="653" spans="1:28" ht="15.75" hidden="1" customHeight="1">
      <c r="A653" s="44"/>
      <c r="B653" s="44"/>
      <c r="C653" s="44"/>
      <c r="D653" s="44"/>
      <c r="E653" s="44"/>
      <c r="F653" s="44"/>
      <c r="G653" s="48"/>
      <c r="H653" s="48"/>
      <c r="I653" s="48"/>
      <c r="J653" s="48"/>
      <c r="K653" s="48"/>
      <c r="L653" s="48"/>
      <c r="M653" s="48"/>
      <c r="N653" s="48"/>
      <c r="O653" s="44"/>
      <c r="P653" s="44"/>
      <c r="Q653" s="44"/>
      <c r="R653" s="44"/>
      <c r="S653" s="44"/>
      <c r="T653" s="44"/>
      <c r="U653" s="44"/>
      <c r="V653" s="44"/>
      <c r="W653" s="44"/>
      <c r="X653" s="44"/>
      <c r="Y653" s="44"/>
      <c r="Z653" s="44"/>
      <c r="AA653" s="44" t="s">
        <v>2630</v>
      </c>
      <c r="AB653" s="44" t="s">
        <v>2631</v>
      </c>
    </row>
    <row r="654" spans="1:28" ht="15.75" hidden="1" customHeight="1">
      <c r="A654" s="44"/>
      <c r="B654" s="44"/>
      <c r="C654" s="44"/>
      <c r="D654" s="44"/>
      <c r="E654" s="44"/>
      <c r="F654" s="44"/>
      <c r="G654" s="48"/>
      <c r="H654" s="48"/>
      <c r="I654" s="48"/>
      <c r="J654" s="48"/>
      <c r="K654" s="48"/>
      <c r="L654" s="48"/>
      <c r="M654" s="48"/>
      <c r="N654" s="48"/>
      <c r="O654" s="44"/>
      <c r="P654" s="44"/>
      <c r="Q654" s="44"/>
      <c r="R654" s="44"/>
      <c r="S654" s="44"/>
      <c r="T654" s="44"/>
      <c r="U654" s="44"/>
      <c r="V654" s="44"/>
      <c r="W654" s="44"/>
      <c r="X654" s="44"/>
      <c r="Y654" s="44"/>
      <c r="Z654" s="44"/>
      <c r="AA654" s="44" t="s">
        <v>2632</v>
      </c>
      <c r="AB654" s="44" t="s">
        <v>2633</v>
      </c>
    </row>
    <row r="655" spans="1:28" ht="15.75" hidden="1" customHeight="1">
      <c r="A655" s="44"/>
      <c r="B655" s="44"/>
      <c r="C655" s="44"/>
      <c r="D655" s="44"/>
      <c r="E655" s="44"/>
      <c r="F655" s="44"/>
      <c r="G655" s="48"/>
      <c r="H655" s="48"/>
      <c r="I655" s="48"/>
      <c r="J655" s="48"/>
      <c r="K655" s="48"/>
      <c r="L655" s="48"/>
      <c r="M655" s="48"/>
      <c r="N655" s="48"/>
      <c r="O655" s="44"/>
      <c r="P655" s="44"/>
      <c r="Q655" s="44"/>
      <c r="R655" s="44"/>
      <c r="S655" s="44"/>
      <c r="T655" s="44"/>
      <c r="U655" s="44"/>
      <c r="V655" s="44"/>
      <c r="W655" s="44"/>
      <c r="X655" s="44"/>
      <c r="Y655" s="44"/>
      <c r="Z655" s="44"/>
      <c r="AA655" s="44" t="s">
        <v>2634</v>
      </c>
      <c r="AB655" s="44" t="s">
        <v>2635</v>
      </c>
    </row>
    <row r="656" spans="1:28" ht="15.75" hidden="1" customHeight="1">
      <c r="A656" s="44"/>
      <c r="B656" s="44"/>
      <c r="C656" s="44"/>
      <c r="D656" s="44"/>
      <c r="E656" s="44"/>
      <c r="F656" s="44"/>
      <c r="G656" s="48"/>
      <c r="H656" s="48"/>
      <c r="I656" s="48"/>
      <c r="J656" s="48"/>
      <c r="K656" s="48"/>
      <c r="L656" s="48"/>
      <c r="M656" s="48"/>
      <c r="N656" s="48"/>
      <c r="O656" s="44"/>
      <c r="P656" s="44"/>
      <c r="Q656" s="44"/>
      <c r="R656" s="44"/>
      <c r="S656" s="44"/>
      <c r="T656" s="44"/>
      <c r="U656" s="44"/>
      <c r="V656" s="44"/>
      <c r="W656" s="44"/>
      <c r="X656" s="44"/>
      <c r="Y656" s="44"/>
      <c r="Z656" s="44"/>
      <c r="AA656" s="44" t="s">
        <v>2636</v>
      </c>
      <c r="AB656" s="44" t="s">
        <v>2637</v>
      </c>
    </row>
    <row r="657" spans="1:28" ht="15.75" hidden="1" customHeight="1">
      <c r="A657" s="44"/>
      <c r="B657" s="44"/>
      <c r="C657" s="44"/>
      <c r="D657" s="44"/>
      <c r="E657" s="44"/>
      <c r="F657" s="44"/>
      <c r="G657" s="48"/>
      <c r="H657" s="48"/>
      <c r="I657" s="48"/>
      <c r="J657" s="48"/>
      <c r="K657" s="48"/>
      <c r="L657" s="48"/>
      <c r="M657" s="48"/>
      <c r="N657" s="48"/>
      <c r="O657" s="44"/>
      <c r="P657" s="44"/>
      <c r="Q657" s="44"/>
      <c r="R657" s="44"/>
      <c r="S657" s="44"/>
      <c r="T657" s="44"/>
      <c r="U657" s="44"/>
      <c r="V657" s="44"/>
      <c r="W657" s="44"/>
      <c r="X657" s="44"/>
      <c r="Y657" s="44"/>
      <c r="Z657" s="44"/>
      <c r="AA657" s="44" t="s">
        <v>2638</v>
      </c>
      <c r="AB657" s="44" t="s">
        <v>2639</v>
      </c>
    </row>
    <row r="658" spans="1:28" ht="15.75" hidden="1" customHeight="1">
      <c r="A658" s="44"/>
      <c r="B658" s="44"/>
      <c r="C658" s="44"/>
      <c r="D658" s="44"/>
      <c r="E658" s="44"/>
      <c r="F658" s="44"/>
      <c r="G658" s="48"/>
      <c r="H658" s="48"/>
      <c r="I658" s="48"/>
      <c r="J658" s="48"/>
      <c r="K658" s="48"/>
      <c r="L658" s="48"/>
      <c r="M658" s="48"/>
      <c r="N658" s="48"/>
      <c r="O658" s="44"/>
      <c r="P658" s="44"/>
      <c r="Q658" s="44"/>
      <c r="R658" s="44"/>
      <c r="S658" s="44"/>
      <c r="T658" s="44"/>
      <c r="U658" s="44"/>
      <c r="V658" s="44"/>
      <c r="W658" s="44"/>
      <c r="X658" s="44"/>
      <c r="Y658" s="44"/>
      <c r="Z658" s="44"/>
      <c r="AA658" s="44" t="s">
        <v>2640</v>
      </c>
      <c r="AB658" s="44" t="s">
        <v>2641</v>
      </c>
    </row>
    <row r="659" spans="1:28" ht="15.75" hidden="1" customHeight="1">
      <c r="A659" s="44"/>
      <c r="B659" s="44"/>
      <c r="C659" s="44"/>
      <c r="D659" s="44"/>
      <c r="E659" s="44"/>
      <c r="F659" s="44"/>
      <c r="G659" s="48"/>
      <c r="H659" s="48"/>
      <c r="I659" s="48"/>
      <c r="J659" s="48"/>
      <c r="K659" s="48"/>
      <c r="L659" s="48"/>
      <c r="M659" s="48"/>
      <c r="N659" s="48"/>
      <c r="O659" s="44"/>
      <c r="P659" s="44"/>
      <c r="Q659" s="44"/>
      <c r="R659" s="44"/>
      <c r="S659" s="44"/>
      <c r="T659" s="44"/>
      <c r="U659" s="44"/>
      <c r="V659" s="44"/>
      <c r="W659" s="44"/>
      <c r="X659" s="44"/>
      <c r="Y659" s="44"/>
      <c r="Z659" s="44"/>
      <c r="AA659" s="44" t="s">
        <v>2642</v>
      </c>
      <c r="AB659" s="44" t="s">
        <v>2643</v>
      </c>
    </row>
    <row r="660" spans="1:28" ht="15.75" hidden="1" customHeight="1">
      <c r="A660" s="44"/>
      <c r="B660" s="44"/>
      <c r="C660" s="44"/>
      <c r="D660" s="44"/>
      <c r="E660" s="44"/>
      <c r="F660" s="44"/>
      <c r="G660" s="48"/>
      <c r="H660" s="48"/>
      <c r="I660" s="48"/>
      <c r="J660" s="48"/>
      <c r="K660" s="48"/>
      <c r="L660" s="48"/>
      <c r="M660" s="48"/>
      <c r="N660" s="48"/>
      <c r="O660" s="44"/>
      <c r="P660" s="44"/>
      <c r="Q660" s="44"/>
      <c r="R660" s="44"/>
      <c r="S660" s="44"/>
      <c r="T660" s="44"/>
      <c r="U660" s="44"/>
      <c r="V660" s="44"/>
      <c r="W660" s="44"/>
      <c r="X660" s="44"/>
      <c r="Y660" s="44"/>
      <c r="Z660" s="44"/>
      <c r="AA660" s="44" t="s">
        <v>2644</v>
      </c>
      <c r="AB660" s="44" t="s">
        <v>2645</v>
      </c>
    </row>
    <row r="661" spans="1:28" ht="15.75" hidden="1" customHeight="1">
      <c r="A661" s="44"/>
      <c r="B661" s="44"/>
      <c r="C661" s="44"/>
      <c r="D661" s="44"/>
      <c r="E661" s="44"/>
      <c r="F661" s="44"/>
      <c r="G661" s="48"/>
      <c r="H661" s="48"/>
      <c r="I661" s="48"/>
      <c r="J661" s="48"/>
      <c r="K661" s="48"/>
      <c r="L661" s="48"/>
      <c r="M661" s="48"/>
      <c r="N661" s="48"/>
      <c r="O661" s="44"/>
      <c r="P661" s="44"/>
      <c r="Q661" s="44"/>
      <c r="R661" s="44"/>
      <c r="S661" s="44"/>
      <c r="T661" s="44"/>
      <c r="U661" s="44"/>
      <c r="V661" s="44"/>
      <c r="W661" s="44"/>
      <c r="X661" s="44"/>
      <c r="Y661" s="44"/>
      <c r="Z661" s="44"/>
      <c r="AA661" s="44" t="s">
        <v>2646</v>
      </c>
      <c r="AB661" s="44" t="s">
        <v>2647</v>
      </c>
    </row>
    <row r="662" spans="1:28" ht="15.75" hidden="1" customHeight="1">
      <c r="A662" s="44"/>
      <c r="B662" s="44"/>
      <c r="C662" s="44"/>
      <c r="D662" s="44"/>
      <c r="E662" s="44"/>
      <c r="F662" s="44"/>
      <c r="G662" s="48"/>
      <c r="H662" s="48"/>
      <c r="I662" s="48"/>
      <c r="J662" s="48"/>
      <c r="K662" s="48"/>
      <c r="L662" s="48"/>
      <c r="M662" s="48"/>
      <c r="N662" s="48"/>
      <c r="O662" s="44"/>
      <c r="P662" s="44"/>
      <c r="Q662" s="44"/>
      <c r="R662" s="44"/>
      <c r="S662" s="44"/>
      <c r="T662" s="44"/>
      <c r="U662" s="44"/>
      <c r="V662" s="44"/>
      <c r="W662" s="44"/>
      <c r="X662" s="44"/>
      <c r="Y662" s="44"/>
      <c r="Z662" s="44"/>
      <c r="AA662" s="44" t="s">
        <v>2648</v>
      </c>
      <c r="AB662" s="44" t="s">
        <v>2649</v>
      </c>
    </row>
    <row r="663" spans="1:28" ht="15.75" hidden="1" customHeight="1">
      <c r="A663" s="44"/>
      <c r="B663" s="44"/>
      <c r="C663" s="44"/>
      <c r="D663" s="44"/>
      <c r="E663" s="44"/>
      <c r="F663" s="44"/>
      <c r="G663" s="48"/>
      <c r="H663" s="48"/>
      <c r="I663" s="48"/>
      <c r="J663" s="48"/>
      <c r="K663" s="48"/>
      <c r="L663" s="48"/>
      <c r="M663" s="48"/>
      <c r="N663" s="48"/>
      <c r="O663" s="44"/>
      <c r="P663" s="44"/>
      <c r="Q663" s="44"/>
      <c r="R663" s="44"/>
      <c r="S663" s="44"/>
      <c r="T663" s="44"/>
      <c r="U663" s="44"/>
      <c r="V663" s="44"/>
      <c r="W663" s="44"/>
      <c r="X663" s="44"/>
      <c r="Y663" s="44"/>
      <c r="Z663" s="44"/>
      <c r="AA663" s="44" t="s">
        <v>2650</v>
      </c>
      <c r="AB663" s="44" t="s">
        <v>2651</v>
      </c>
    </row>
    <row r="664" spans="1:28" ht="15.75" hidden="1" customHeight="1">
      <c r="A664" s="44"/>
      <c r="B664" s="44"/>
      <c r="C664" s="44"/>
      <c r="D664" s="44"/>
      <c r="E664" s="44"/>
      <c r="F664" s="44"/>
      <c r="G664" s="48"/>
      <c r="H664" s="48"/>
      <c r="I664" s="48"/>
      <c r="J664" s="48"/>
      <c r="K664" s="48"/>
      <c r="L664" s="48"/>
      <c r="M664" s="48"/>
      <c r="N664" s="48"/>
      <c r="O664" s="44"/>
      <c r="P664" s="44"/>
      <c r="Q664" s="44"/>
      <c r="R664" s="44"/>
      <c r="S664" s="44"/>
      <c r="T664" s="44"/>
      <c r="U664" s="44"/>
      <c r="V664" s="44"/>
      <c r="W664" s="44"/>
      <c r="X664" s="44"/>
      <c r="Y664" s="44"/>
      <c r="Z664" s="44"/>
      <c r="AA664" s="44" t="s">
        <v>2652</v>
      </c>
      <c r="AB664" s="44" t="s">
        <v>2653</v>
      </c>
    </row>
    <row r="665" spans="1:28" ht="15.75" hidden="1" customHeight="1">
      <c r="A665" s="44"/>
      <c r="B665" s="44"/>
      <c r="C665" s="44"/>
      <c r="D665" s="44"/>
      <c r="E665" s="44"/>
      <c r="F665" s="44"/>
      <c r="G665" s="48"/>
      <c r="H665" s="48"/>
      <c r="I665" s="48"/>
      <c r="J665" s="48"/>
      <c r="K665" s="48"/>
      <c r="L665" s="48"/>
      <c r="M665" s="48"/>
      <c r="N665" s="48"/>
      <c r="O665" s="44"/>
      <c r="P665" s="44"/>
      <c r="Q665" s="44"/>
      <c r="R665" s="44"/>
      <c r="S665" s="44"/>
      <c r="T665" s="44"/>
      <c r="U665" s="44"/>
      <c r="V665" s="44"/>
      <c r="W665" s="44"/>
      <c r="X665" s="44"/>
      <c r="Y665" s="44"/>
      <c r="Z665" s="44"/>
      <c r="AA665" s="44" t="s">
        <v>2654</v>
      </c>
      <c r="AB665" s="44" t="s">
        <v>2655</v>
      </c>
    </row>
    <row r="666" spans="1:28" ht="15.75" hidden="1" customHeight="1">
      <c r="A666" s="44"/>
      <c r="B666" s="44"/>
      <c r="C666" s="44"/>
      <c r="D666" s="44"/>
      <c r="E666" s="44"/>
      <c r="F666" s="44"/>
      <c r="G666" s="48"/>
      <c r="H666" s="48"/>
      <c r="I666" s="48"/>
      <c r="J666" s="48"/>
      <c r="K666" s="48"/>
      <c r="L666" s="48"/>
      <c r="M666" s="48"/>
      <c r="N666" s="48"/>
      <c r="O666" s="44"/>
      <c r="P666" s="44"/>
      <c r="Q666" s="44"/>
      <c r="R666" s="44"/>
      <c r="S666" s="44"/>
      <c r="T666" s="44"/>
      <c r="U666" s="44"/>
      <c r="V666" s="44"/>
      <c r="W666" s="44"/>
      <c r="X666" s="44"/>
      <c r="Y666" s="44"/>
      <c r="Z666" s="44"/>
      <c r="AA666" s="44" t="s">
        <v>2656</v>
      </c>
      <c r="AB666" s="44" t="s">
        <v>2657</v>
      </c>
    </row>
    <row r="667" spans="1:28" ht="15.75" hidden="1" customHeight="1">
      <c r="A667" s="44"/>
      <c r="B667" s="44"/>
      <c r="C667" s="44"/>
      <c r="D667" s="44"/>
      <c r="E667" s="44"/>
      <c r="F667" s="44"/>
      <c r="G667" s="48"/>
      <c r="H667" s="48"/>
      <c r="I667" s="48"/>
      <c r="J667" s="48"/>
      <c r="K667" s="48"/>
      <c r="L667" s="48"/>
      <c r="M667" s="48"/>
      <c r="N667" s="48"/>
      <c r="O667" s="44"/>
      <c r="P667" s="44"/>
      <c r="Q667" s="44"/>
      <c r="R667" s="44"/>
      <c r="S667" s="44"/>
      <c r="T667" s="44"/>
      <c r="U667" s="44"/>
      <c r="V667" s="44"/>
      <c r="W667" s="44"/>
      <c r="X667" s="44"/>
      <c r="Y667" s="44"/>
      <c r="Z667" s="44"/>
      <c r="AA667" s="44" t="s">
        <v>2658</v>
      </c>
      <c r="AB667" s="44" t="s">
        <v>2659</v>
      </c>
    </row>
    <row r="668" spans="1:28" ht="15.75" hidden="1" customHeight="1">
      <c r="A668" s="44"/>
      <c r="B668" s="44"/>
      <c r="C668" s="44"/>
      <c r="D668" s="44"/>
      <c r="E668" s="44"/>
      <c r="F668" s="44"/>
      <c r="G668" s="48"/>
      <c r="H668" s="48"/>
      <c r="I668" s="48"/>
      <c r="J668" s="48"/>
      <c r="K668" s="48"/>
      <c r="L668" s="48"/>
      <c r="M668" s="48"/>
      <c r="N668" s="48"/>
      <c r="O668" s="44"/>
      <c r="P668" s="44"/>
      <c r="Q668" s="44"/>
      <c r="R668" s="44"/>
      <c r="S668" s="44"/>
      <c r="T668" s="44"/>
      <c r="U668" s="44"/>
      <c r="V668" s="44"/>
      <c r="W668" s="44"/>
      <c r="X668" s="44"/>
      <c r="Y668" s="44"/>
      <c r="Z668" s="44"/>
      <c r="AA668" s="44" t="s">
        <v>2660</v>
      </c>
      <c r="AB668" s="44" t="s">
        <v>2661</v>
      </c>
    </row>
    <row r="669" spans="1:28" ht="15.75" hidden="1" customHeight="1">
      <c r="A669" s="44"/>
      <c r="B669" s="44"/>
      <c r="C669" s="44"/>
      <c r="D669" s="44"/>
      <c r="E669" s="44"/>
      <c r="F669" s="44"/>
      <c r="G669" s="48"/>
      <c r="H669" s="48"/>
      <c r="I669" s="48"/>
      <c r="J669" s="48"/>
      <c r="K669" s="48"/>
      <c r="L669" s="48"/>
      <c r="M669" s="48"/>
      <c r="N669" s="48"/>
      <c r="O669" s="44"/>
      <c r="P669" s="44"/>
      <c r="Q669" s="44"/>
      <c r="R669" s="44"/>
      <c r="S669" s="44"/>
      <c r="T669" s="44"/>
      <c r="U669" s="44"/>
      <c r="V669" s="44"/>
      <c r="W669" s="44"/>
      <c r="X669" s="44"/>
      <c r="Y669" s="44"/>
      <c r="Z669" s="44"/>
      <c r="AA669" s="44" t="s">
        <v>2662</v>
      </c>
      <c r="AB669" s="44" t="s">
        <v>2663</v>
      </c>
    </row>
    <row r="670" spans="1:28" ht="15.75" hidden="1" customHeight="1">
      <c r="A670" s="44"/>
      <c r="B670" s="44"/>
      <c r="C670" s="44"/>
      <c r="D670" s="44"/>
      <c r="E670" s="44"/>
      <c r="F670" s="44"/>
      <c r="G670" s="48"/>
      <c r="H670" s="48"/>
      <c r="I670" s="48"/>
      <c r="J670" s="48"/>
      <c r="K670" s="48"/>
      <c r="L670" s="48"/>
      <c r="M670" s="48"/>
      <c r="N670" s="48"/>
      <c r="O670" s="44"/>
      <c r="P670" s="44"/>
      <c r="Q670" s="44"/>
      <c r="R670" s="44"/>
      <c r="S670" s="44"/>
      <c r="T670" s="44"/>
      <c r="U670" s="44"/>
      <c r="V670" s="44"/>
      <c r="W670" s="44"/>
      <c r="X670" s="44"/>
      <c r="Y670" s="44"/>
      <c r="Z670" s="44"/>
      <c r="AA670" s="44" t="s">
        <v>2664</v>
      </c>
      <c r="AB670" s="44" t="s">
        <v>2665</v>
      </c>
    </row>
    <row r="671" spans="1:28" ht="15.75" hidden="1" customHeight="1">
      <c r="A671" s="44"/>
      <c r="B671" s="44"/>
      <c r="C671" s="44"/>
      <c r="D671" s="44"/>
      <c r="E671" s="44"/>
      <c r="F671" s="44"/>
      <c r="G671" s="48"/>
      <c r="H671" s="48"/>
      <c r="I671" s="48"/>
      <c r="J671" s="48"/>
      <c r="K671" s="48"/>
      <c r="L671" s="48"/>
      <c r="M671" s="48"/>
      <c r="N671" s="48"/>
      <c r="O671" s="44"/>
      <c r="P671" s="44"/>
      <c r="Q671" s="44"/>
      <c r="R671" s="44"/>
      <c r="S671" s="44"/>
      <c r="T671" s="44"/>
      <c r="U671" s="44"/>
      <c r="V671" s="44"/>
      <c r="W671" s="44"/>
      <c r="X671" s="44"/>
      <c r="Y671" s="44"/>
      <c r="Z671" s="44"/>
      <c r="AA671" s="44" t="s">
        <v>2666</v>
      </c>
      <c r="AB671" s="44" t="s">
        <v>2667</v>
      </c>
    </row>
    <row r="672" spans="1:28" ht="15.75" hidden="1" customHeight="1">
      <c r="A672" s="44"/>
      <c r="B672" s="44"/>
      <c r="C672" s="44"/>
      <c r="D672" s="44"/>
      <c r="E672" s="44"/>
      <c r="F672" s="44"/>
      <c r="G672" s="48"/>
      <c r="H672" s="48"/>
      <c r="I672" s="48"/>
      <c r="J672" s="48"/>
      <c r="K672" s="48"/>
      <c r="L672" s="48"/>
      <c r="M672" s="48"/>
      <c r="N672" s="48"/>
      <c r="O672" s="44"/>
      <c r="P672" s="44"/>
      <c r="Q672" s="44"/>
      <c r="R672" s="44"/>
      <c r="S672" s="44"/>
      <c r="T672" s="44"/>
      <c r="U672" s="44"/>
      <c r="V672" s="44"/>
      <c r="W672" s="44"/>
      <c r="X672" s="44"/>
      <c r="Y672" s="44"/>
      <c r="Z672" s="44"/>
      <c r="AA672" s="44" t="s">
        <v>2668</v>
      </c>
      <c r="AB672" s="44" t="s">
        <v>2669</v>
      </c>
    </row>
    <row r="673" spans="1:28" ht="15.75" hidden="1" customHeight="1">
      <c r="A673" s="44"/>
      <c r="B673" s="44"/>
      <c r="C673" s="44"/>
      <c r="D673" s="44"/>
      <c r="E673" s="44"/>
      <c r="F673" s="44"/>
      <c r="G673" s="48"/>
      <c r="H673" s="48"/>
      <c r="I673" s="48"/>
      <c r="J673" s="48"/>
      <c r="K673" s="48"/>
      <c r="L673" s="48"/>
      <c r="M673" s="48"/>
      <c r="N673" s="48"/>
      <c r="O673" s="44"/>
      <c r="P673" s="44"/>
      <c r="Q673" s="44"/>
      <c r="R673" s="44"/>
      <c r="S673" s="44"/>
      <c r="T673" s="44"/>
      <c r="U673" s="44"/>
      <c r="V673" s="44"/>
      <c r="W673" s="44"/>
      <c r="X673" s="44"/>
      <c r="Y673" s="44"/>
      <c r="Z673" s="44"/>
      <c r="AA673" s="44" t="s">
        <v>2670</v>
      </c>
      <c r="AB673" s="44" t="s">
        <v>2671</v>
      </c>
    </row>
    <row r="674" spans="1:28" ht="15.75" hidden="1" customHeight="1">
      <c r="A674" s="44"/>
      <c r="B674" s="44"/>
      <c r="C674" s="44"/>
      <c r="D674" s="44"/>
      <c r="E674" s="44"/>
      <c r="F674" s="44"/>
      <c r="G674" s="48"/>
      <c r="H674" s="48"/>
      <c r="I674" s="48"/>
      <c r="J674" s="48"/>
      <c r="K674" s="48"/>
      <c r="L674" s="48"/>
      <c r="M674" s="48"/>
      <c r="N674" s="48"/>
      <c r="O674" s="44"/>
      <c r="P674" s="44"/>
      <c r="Q674" s="44"/>
      <c r="R674" s="44"/>
      <c r="S674" s="44"/>
      <c r="T674" s="44"/>
      <c r="U674" s="44"/>
      <c r="V674" s="44"/>
      <c r="W674" s="44"/>
      <c r="X674" s="44"/>
      <c r="Y674" s="44"/>
      <c r="Z674" s="44"/>
      <c r="AA674" s="44" t="s">
        <v>2672</v>
      </c>
      <c r="AB674" s="44" t="s">
        <v>2673</v>
      </c>
    </row>
    <row r="675" spans="1:28" ht="15.75" hidden="1" customHeight="1">
      <c r="A675" s="44"/>
      <c r="B675" s="44"/>
      <c r="C675" s="44"/>
      <c r="D675" s="44"/>
      <c r="E675" s="44"/>
      <c r="F675" s="44"/>
      <c r="G675" s="48"/>
      <c r="H675" s="48"/>
      <c r="I675" s="48"/>
      <c r="J675" s="48"/>
      <c r="K675" s="48"/>
      <c r="L675" s="48"/>
      <c r="M675" s="48"/>
      <c r="N675" s="48"/>
      <c r="O675" s="44"/>
      <c r="P675" s="44"/>
      <c r="Q675" s="44"/>
      <c r="R675" s="44"/>
      <c r="S675" s="44"/>
      <c r="T675" s="44"/>
      <c r="U675" s="44"/>
      <c r="V675" s="44"/>
      <c r="W675" s="44"/>
      <c r="X675" s="44"/>
      <c r="Y675" s="44"/>
      <c r="Z675" s="44"/>
      <c r="AA675" s="44" t="s">
        <v>2674</v>
      </c>
      <c r="AB675" s="44" t="s">
        <v>2675</v>
      </c>
    </row>
    <row r="676" spans="1:28" ht="15.75" hidden="1" customHeight="1">
      <c r="A676" s="44"/>
      <c r="B676" s="44"/>
      <c r="C676" s="44"/>
      <c r="D676" s="44"/>
      <c r="E676" s="44"/>
      <c r="F676" s="44"/>
      <c r="G676" s="48"/>
      <c r="H676" s="48"/>
      <c r="I676" s="48"/>
      <c r="J676" s="48"/>
      <c r="K676" s="48"/>
      <c r="L676" s="48"/>
      <c r="M676" s="48"/>
      <c r="N676" s="48"/>
      <c r="O676" s="44"/>
      <c r="P676" s="44"/>
      <c r="Q676" s="44"/>
      <c r="R676" s="44"/>
      <c r="S676" s="44"/>
      <c r="T676" s="44"/>
      <c r="U676" s="44"/>
      <c r="V676" s="44"/>
      <c r="W676" s="44"/>
      <c r="X676" s="44"/>
      <c r="Y676" s="44"/>
      <c r="Z676" s="44"/>
      <c r="AA676" s="44" t="s">
        <v>2676</v>
      </c>
      <c r="AB676" s="44" t="s">
        <v>2677</v>
      </c>
    </row>
    <row r="677" spans="1:28" ht="15.75" hidden="1" customHeight="1">
      <c r="A677" s="44"/>
      <c r="B677" s="44"/>
      <c r="C677" s="44"/>
      <c r="D677" s="44"/>
      <c r="E677" s="44"/>
      <c r="F677" s="44"/>
      <c r="G677" s="48"/>
      <c r="H677" s="48"/>
      <c r="I677" s="48"/>
      <c r="J677" s="48"/>
      <c r="K677" s="48"/>
      <c r="L677" s="48"/>
      <c r="M677" s="48"/>
      <c r="N677" s="48"/>
      <c r="O677" s="44"/>
      <c r="P677" s="44"/>
      <c r="Q677" s="44"/>
      <c r="R677" s="44"/>
      <c r="S677" s="44"/>
      <c r="T677" s="44"/>
      <c r="U677" s="44"/>
      <c r="V677" s="44"/>
      <c r="W677" s="44"/>
      <c r="X677" s="44"/>
      <c r="Y677" s="44"/>
      <c r="Z677" s="44"/>
      <c r="AA677" s="44" t="s">
        <v>2678</v>
      </c>
      <c r="AB677" s="44" t="s">
        <v>2679</v>
      </c>
    </row>
    <row r="678" spans="1:28" ht="15.75" hidden="1" customHeight="1">
      <c r="A678" s="44"/>
      <c r="B678" s="44"/>
      <c r="C678" s="44"/>
      <c r="D678" s="44"/>
      <c r="E678" s="44"/>
      <c r="F678" s="44"/>
      <c r="G678" s="48"/>
      <c r="H678" s="48"/>
      <c r="I678" s="48"/>
      <c r="J678" s="48"/>
      <c r="K678" s="48"/>
      <c r="L678" s="48"/>
      <c r="M678" s="48"/>
      <c r="N678" s="48"/>
      <c r="O678" s="44"/>
      <c r="P678" s="44"/>
      <c r="Q678" s="44"/>
      <c r="R678" s="44"/>
      <c r="S678" s="44"/>
      <c r="T678" s="44"/>
      <c r="U678" s="44"/>
      <c r="V678" s="44"/>
      <c r="W678" s="44"/>
      <c r="X678" s="44"/>
      <c r="Y678" s="44"/>
      <c r="Z678" s="44"/>
      <c r="AA678" s="44" t="s">
        <v>2680</v>
      </c>
      <c r="AB678" s="44" t="s">
        <v>2681</v>
      </c>
    </row>
    <row r="679" spans="1:28" ht="15.75" hidden="1" customHeight="1">
      <c r="A679" s="44"/>
      <c r="B679" s="44"/>
      <c r="C679" s="44"/>
      <c r="D679" s="44"/>
      <c r="E679" s="44"/>
      <c r="F679" s="44"/>
      <c r="G679" s="48"/>
      <c r="H679" s="48"/>
      <c r="I679" s="48"/>
      <c r="J679" s="48"/>
      <c r="K679" s="48"/>
      <c r="L679" s="48"/>
      <c r="M679" s="48"/>
      <c r="N679" s="48"/>
      <c r="O679" s="44"/>
      <c r="P679" s="44"/>
      <c r="Q679" s="44"/>
      <c r="R679" s="44"/>
      <c r="S679" s="44"/>
      <c r="T679" s="44"/>
      <c r="U679" s="44"/>
      <c r="V679" s="44"/>
      <c r="W679" s="44"/>
      <c r="X679" s="44"/>
      <c r="Y679" s="44"/>
      <c r="Z679" s="44"/>
      <c r="AA679" s="44" t="s">
        <v>2682</v>
      </c>
      <c r="AB679" s="44" t="s">
        <v>2683</v>
      </c>
    </row>
    <row r="680" spans="1:28" ht="15.75" hidden="1" customHeight="1">
      <c r="A680" s="44"/>
      <c r="B680" s="44"/>
      <c r="C680" s="44"/>
      <c r="D680" s="44"/>
      <c r="E680" s="44"/>
      <c r="F680" s="44"/>
      <c r="G680" s="48"/>
      <c r="H680" s="48"/>
      <c r="I680" s="48"/>
      <c r="J680" s="48"/>
      <c r="K680" s="48"/>
      <c r="L680" s="48"/>
      <c r="M680" s="48"/>
      <c r="N680" s="48"/>
      <c r="O680" s="44"/>
      <c r="P680" s="44"/>
      <c r="Q680" s="44"/>
      <c r="R680" s="44"/>
      <c r="S680" s="44"/>
      <c r="T680" s="44"/>
      <c r="U680" s="44"/>
      <c r="V680" s="44"/>
      <c r="W680" s="44"/>
      <c r="X680" s="44"/>
      <c r="Y680" s="44"/>
      <c r="Z680" s="44"/>
      <c r="AA680" s="44" t="s">
        <v>2684</v>
      </c>
      <c r="AB680" s="44" t="s">
        <v>2685</v>
      </c>
    </row>
    <row r="681" spans="1:28" ht="15.75" hidden="1" customHeight="1">
      <c r="A681" s="44"/>
      <c r="B681" s="44"/>
      <c r="C681" s="44"/>
      <c r="D681" s="44"/>
      <c r="E681" s="44"/>
      <c r="F681" s="44"/>
      <c r="G681" s="48"/>
      <c r="H681" s="48"/>
      <c r="I681" s="48"/>
      <c r="J681" s="48"/>
      <c r="K681" s="48"/>
      <c r="L681" s="48"/>
      <c r="M681" s="48"/>
      <c r="N681" s="48"/>
      <c r="O681" s="44"/>
      <c r="P681" s="44"/>
      <c r="Q681" s="44"/>
      <c r="R681" s="44"/>
      <c r="S681" s="44"/>
      <c r="T681" s="44"/>
      <c r="U681" s="44"/>
      <c r="V681" s="44"/>
      <c r="W681" s="44"/>
      <c r="X681" s="44"/>
      <c r="Y681" s="44"/>
      <c r="Z681" s="44"/>
      <c r="AA681" s="44" t="s">
        <v>2686</v>
      </c>
      <c r="AB681" s="44" t="s">
        <v>2687</v>
      </c>
    </row>
    <row r="682" spans="1:28" ht="15.75" hidden="1" customHeight="1">
      <c r="A682" s="44"/>
      <c r="B682" s="44"/>
      <c r="C682" s="44"/>
      <c r="D682" s="44"/>
      <c r="E682" s="44"/>
      <c r="F682" s="44"/>
      <c r="G682" s="48"/>
      <c r="H682" s="48"/>
      <c r="I682" s="48"/>
      <c r="J682" s="48"/>
      <c r="K682" s="48"/>
      <c r="L682" s="48"/>
      <c r="M682" s="48"/>
      <c r="N682" s="48"/>
      <c r="O682" s="44"/>
      <c r="P682" s="44"/>
      <c r="Q682" s="44"/>
      <c r="R682" s="44"/>
      <c r="S682" s="44"/>
      <c r="T682" s="44"/>
      <c r="U682" s="44"/>
      <c r="V682" s="44"/>
      <c r="W682" s="44"/>
      <c r="X682" s="44"/>
      <c r="Y682" s="44"/>
      <c r="Z682" s="44"/>
      <c r="AA682" s="44" t="s">
        <v>2688</v>
      </c>
      <c r="AB682" s="44" t="s">
        <v>2689</v>
      </c>
    </row>
    <row r="683" spans="1:28" ht="15.75" hidden="1" customHeight="1">
      <c r="A683" s="44"/>
      <c r="B683" s="44"/>
      <c r="C683" s="44"/>
      <c r="D683" s="44"/>
      <c r="E683" s="44"/>
      <c r="F683" s="44"/>
      <c r="G683" s="48"/>
      <c r="H683" s="48"/>
      <c r="I683" s="48"/>
      <c r="J683" s="48"/>
      <c r="K683" s="48"/>
      <c r="L683" s="48"/>
      <c r="M683" s="48"/>
      <c r="N683" s="48"/>
      <c r="O683" s="44"/>
      <c r="P683" s="44"/>
      <c r="Q683" s="44"/>
      <c r="R683" s="44"/>
      <c r="S683" s="44"/>
      <c r="T683" s="44"/>
      <c r="U683" s="44"/>
      <c r="V683" s="44"/>
      <c r="W683" s="44"/>
      <c r="X683" s="44"/>
      <c r="Y683" s="44"/>
      <c r="Z683" s="44"/>
      <c r="AA683" s="44" t="s">
        <v>2690</v>
      </c>
      <c r="AB683" s="44" t="s">
        <v>2691</v>
      </c>
    </row>
    <row r="684" spans="1:28" ht="15.75" hidden="1" customHeight="1">
      <c r="A684" s="44"/>
      <c r="B684" s="44"/>
      <c r="C684" s="44"/>
      <c r="D684" s="44"/>
      <c r="E684" s="44"/>
      <c r="F684" s="44"/>
      <c r="G684" s="48"/>
      <c r="H684" s="48"/>
      <c r="I684" s="48"/>
      <c r="J684" s="48"/>
      <c r="K684" s="48"/>
      <c r="L684" s="48"/>
      <c r="M684" s="48"/>
      <c r="N684" s="48"/>
      <c r="O684" s="44"/>
      <c r="P684" s="44"/>
      <c r="Q684" s="44"/>
      <c r="R684" s="44"/>
      <c r="S684" s="44"/>
      <c r="T684" s="44"/>
      <c r="U684" s="44"/>
      <c r="V684" s="44"/>
      <c r="W684" s="44"/>
      <c r="X684" s="44"/>
      <c r="Y684" s="44"/>
      <c r="Z684" s="44"/>
      <c r="AA684" s="44" t="s">
        <v>2692</v>
      </c>
      <c r="AB684" s="44" t="s">
        <v>2693</v>
      </c>
    </row>
    <row r="685" spans="1:28" ht="15.75" hidden="1" customHeight="1">
      <c r="A685" s="44"/>
      <c r="B685" s="44"/>
      <c r="C685" s="44"/>
      <c r="D685" s="44"/>
      <c r="E685" s="44"/>
      <c r="F685" s="44"/>
      <c r="G685" s="48"/>
      <c r="H685" s="48"/>
      <c r="I685" s="48"/>
      <c r="J685" s="48"/>
      <c r="K685" s="48"/>
      <c r="L685" s="48"/>
      <c r="M685" s="48"/>
      <c r="N685" s="48"/>
      <c r="O685" s="44"/>
      <c r="P685" s="44"/>
      <c r="Q685" s="44"/>
      <c r="R685" s="44"/>
      <c r="S685" s="44"/>
      <c r="T685" s="44"/>
      <c r="U685" s="44"/>
      <c r="V685" s="44"/>
      <c r="W685" s="44"/>
      <c r="X685" s="44"/>
      <c r="Y685" s="44"/>
      <c r="Z685" s="44"/>
      <c r="AA685" s="44" t="s">
        <v>2694</v>
      </c>
      <c r="AB685" s="44" t="s">
        <v>2695</v>
      </c>
    </row>
    <row r="686" spans="1:28" ht="15.75" hidden="1" customHeight="1">
      <c r="A686" s="44"/>
      <c r="B686" s="44"/>
      <c r="C686" s="44"/>
      <c r="D686" s="44"/>
      <c r="E686" s="44"/>
      <c r="F686" s="44"/>
      <c r="G686" s="48"/>
      <c r="H686" s="48"/>
      <c r="I686" s="48"/>
      <c r="J686" s="48"/>
      <c r="K686" s="48"/>
      <c r="L686" s="48"/>
      <c r="M686" s="48"/>
      <c r="N686" s="48"/>
      <c r="O686" s="44"/>
      <c r="P686" s="44"/>
      <c r="Q686" s="44"/>
      <c r="R686" s="44"/>
      <c r="S686" s="44"/>
      <c r="T686" s="44"/>
      <c r="U686" s="44"/>
      <c r="V686" s="44"/>
      <c r="W686" s="44"/>
      <c r="X686" s="44"/>
      <c r="Y686" s="44"/>
      <c r="Z686" s="44"/>
      <c r="AA686" s="44" t="s">
        <v>2696</v>
      </c>
      <c r="AB686" s="44" t="s">
        <v>2697</v>
      </c>
    </row>
    <row r="687" spans="1:28" ht="15.75" hidden="1" customHeight="1">
      <c r="A687" s="44"/>
      <c r="B687" s="44"/>
      <c r="C687" s="44"/>
      <c r="D687" s="44"/>
      <c r="E687" s="44"/>
      <c r="F687" s="44"/>
      <c r="G687" s="48"/>
      <c r="H687" s="48"/>
      <c r="I687" s="48"/>
      <c r="J687" s="48"/>
      <c r="K687" s="48"/>
      <c r="L687" s="48"/>
      <c r="M687" s="48"/>
      <c r="N687" s="48"/>
      <c r="O687" s="44"/>
      <c r="P687" s="44"/>
      <c r="Q687" s="44"/>
      <c r="R687" s="44"/>
      <c r="S687" s="44"/>
      <c r="T687" s="44"/>
      <c r="U687" s="44"/>
      <c r="V687" s="44"/>
      <c r="W687" s="44"/>
      <c r="X687" s="44"/>
      <c r="Y687" s="44"/>
      <c r="Z687" s="44"/>
      <c r="AA687" s="44" t="s">
        <v>2698</v>
      </c>
      <c r="AB687" s="44" t="s">
        <v>2699</v>
      </c>
    </row>
    <row r="688" spans="1:28" ht="15.75" hidden="1" customHeight="1">
      <c r="A688" s="44"/>
      <c r="B688" s="44"/>
      <c r="C688" s="44"/>
      <c r="D688" s="44"/>
      <c r="E688" s="44"/>
      <c r="F688" s="44"/>
      <c r="G688" s="48"/>
      <c r="H688" s="48"/>
      <c r="I688" s="48"/>
      <c r="J688" s="48"/>
      <c r="K688" s="48"/>
      <c r="L688" s="48"/>
      <c r="M688" s="48"/>
      <c r="N688" s="48"/>
      <c r="O688" s="44"/>
      <c r="P688" s="44"/>
      <c r="Q688" s="44"/>
      <c r="R688" s="44"/>
      <c r="S688" s="44"/>
      <c r="T688" s="44"/>
      <c r="U688" s="44"/>
      <c r="V688" s="44"/>
      <c r="W688" s="44"/>
      <c r="X688" s="44"/>
      <c r="Y688" s="44"/>
      <c r="Z688" s="44"/>
      <c r="AA688" s="44" t="s">
        <v>2700</v>
      </c>
      <c r="AB688" s="44" t="s">
        <v>2701</v>
      </c>
    </row>
    <row r="689" spans="1:28" ht="15.75" hidden="1" customHeight="1">
      <c r="A689" s="44"/>
      <c r="B689" s="44"/>
      <c r="C689" s="44"/>
      <c r="D689" s="44"/>
      <c r="E689" s="44"/>
      <c r="F689" s="44"/>
      <c r="G689" s="48"/>
      <c r="H689" s="48"/>
      <c r="I689" s="48"/>
      <c r="J689" s="48"/>
      <c r="K689" s="48"/>
      <c r="L689" s="48"/>
      <c r="M689" s="48"/>
      <c r="N689" s="48"/>
      <c r="O689" s="44"/>
      <c r="P689" s="44"/>
      <c r="Q689" s="44"/>
      <c r="R689" s="44"/>
      <c r="S689" s="44"/>
      <c r="T689" s="44"/>
      <c r="U689" s="44"/>
      <c r="V689" s="44"/>
      <c r="W689" s="44"/>
      <c r="X689" s="44"/>
      <c r="Y689" s="44"/>
      <c r="Z689" s="44"/>
      <c r="AA689" s="44" t="s">
        <v>2702</v>
      </c>
      <c r="AB689" s="44" t="s">
        <v>2703</v>
      </c>
    </row>
    <row r="690" spans="1:28" ht="15.75" hidden="1" customHeight="1">
      <c r="A690" s="44"/>
      <c r="B690" s="44"/>
      <c r="C690" s="44"/>
      <c r="D690" s="44"/>
      <c r="E690" s="44"/>
      <c r="F690" s="44"/>
      <c r="G690" s="48"/>
      <c r="H690" s="48"/>
      <c r="I690" s="48"/>
      <c r="J690" s="48"/>
      <c r="K690" s="48"/>
      <c r="L690" s="48"/>
      <c r="M690" s="48"/>
      <c r="N690" s="48"/>
      <c r="O690" s="44"/>
      <c r="P690" s="44"/>
      <c r="Q690" s="44"/>
      <c r="R690" s="44"/>
      <c r="S690" s="44"/>
      <c r="T690" s="44"/>
      <c r="U690" s="44"/>
      <c r="V690" s="44"/>
      <c r="W690" s="44"/>
      <c r="X690" s="44"/>
      <c r="Y690" s="44"/>
      <c r="Z690" s="44"/>
      <c r="AA690" s="44" t="s">
        <v>2704</v>
      </c>
      <c r="AB690" s="44" t="s">
        <v>2705</v>
      </c>
    </row>
    <row r="691" spans="1:28" ht="15.75" hidden="1" customHeight="1">
      <c r="A691" s="44"/>
      <c r="B691" s="44"/>
      <c r="C691" s="44"/>
      <c r="D691" s="44"/>
      <c r="E691" s="44"/>
      <c r="F691" s="44"/>
      <c r="G691" s="48"/>
      <c r="H691" s="48"/>
      <c r="I691" s="48"/>
      <c r="J691" s="48"/>
      <c r="K691" s="48"/>
      <c r="L691" s="48"/>
      <c r="M691" s="48"/>
      <c r="N691" s="48"/>
      <c r="O691" s="44"/>
      <c r="P691" s="44"/>
      <c r="Q691" s="44"/>
      <c r="R691" s="44"/>
      <c r="S691" s="44"/>
      <c r="T691" s="44"/>
      <c r="U691" s="44"/>
      <c r="V691" s="44"/>
      <c r="W691" s="44"/>
      <c r="X691" s="44"/>
      <c r="Y691" s="44"/>
      <c r="Z691" s="44"/>
      <c r="AA691" s="44" t="s">
        <v>2706</v>
      </c>
      <c r="AB691" s="44" t="s">
        <v>2707</v>
      </c>
    </row>
    <row r="692" spans="1:28" ht="15.75" hidden="1" customHeight="1">
      <c r="A692" s="44"/>
      <c r="B692" s="44"/>
      <c r="C692" s="44"/>
      <c r="D692" s="44"/>
      <c r="E692" s="44"/>
      <c r="F692" s="44"/>
      <c r="G692" s="48"/>
      <c r="H692" s="48"/>
      <c r="I692" s="48"/>
      <c r="J692" s="48"/>
      <c r="K692" s="48"/>
      <c r="L692" s="48"/>
      <c r="M692" s="48"/>
      <c r="N692" s="48"/>
      <c r="O692" s="44"/>
      <c r="P692" s="44"/>
      <c r="Q692" s="44"/>
      <c r="R692" s="44"/>
      <c r="S692" s="44"/>
      <c r="T692" s="44"/>
      <c r="U692" s="44"/>
      <c r="V692" s="44"/>
      <c r="W692" s="44"/>
      <c r="X692" s="44"/>
      <c r="Y692" s="44"/>
      <c r="Z692" s="44"/>
      <c r="AA692" s="44" t="s">
        <v>2708</v>
      </c>
      <c r="AB692" s="44" t="s">
        <v>2709</v>
      </c>
    </row>
    <row r="693" spans="1:28" ht="15.75" hidden="1" customHeight="1">
      <c r="A693" s="44"/>
      <c r="B693" s="44"/>
      <c r="C693" s="44"/>
      <c r="D693" s="44"/>
      <c r="E693" s="44"/>
      <c r="F693" s="44"/>
      <c r="G693" s="48"/>
      <c r="H693" s="48"/>
      <c r="I693" s="48"/>
      <c r="J693" s="48"/>
      <c r="K693" s="48"/>
      <c r="L693" s="48"/>
      <c r="M693" s="48"/>
      <c r="N693" s="48"/>
      <c r="O693" s="44"/>
      <c r="P693" s="44"/>
      <c r="Q693" s="44"/>
      <c r="R693" s="44"/>
      <c r="S693" s="44"/>
      <c r="T693" s="44"/>
      <c r="U693" s="44"/>
      <c r="V693" s="44"/>
      <c r="W693" s="44"/>
      <c r="X693" s="44"/>
      <c r="Y693" s="44"/>
      <c r="Z693" s="44"/>
      <c r="AA693" s="44" t="s">
        <v>2710</v>
      </c>
      <c r="AB693" s="44" t="s">
        <v>2711</v>
      </c>
    </row>
    <row r="694" spans="1:28" ht="15.75" hidden="1" customHeight="1">
      <c r="A694" s="44"/>
      <c r="B694" s="44"/>
      <c r="C694" s="44"/>
      <c r="D694" s="44"/>
      <c r="E694" s="44"/>
      <c r="F694" s="44"/>
      <c r="G694" s="48"/>
      <c r="H694" s="48"/>
      <c r="I694" s="48"/>
      <c r="J694" s="48"/>
      <c r="K694" s="48"/>
      <c r="L694" s="48"/>
      <c r="M694" s="48"/>
      <c r="N694" s="48"/>
      <c r="O694" s="44"/>
      <c r="P694" s="44"/>
      <c r="Q694" s="44"/>
      <c r="R694" s="44"/>
      <c r="S694" s="44"/>
      <c r="T694" s="44"/>
      <c r="U694" s="44"/>
      <c r="V694" s="44"/>
      <c r="W694" s="44"/>
      <c r="X694" s="44"/>
      <c r="Y694" s="44"/>
      <c r="Z694" s="44"/>
      <c r="AA694" s="44" t="s">
        <v>2712</v>
      </c>
      <c r="AB694" s="44" t="s">
        <v>2713</v>
      </c>
    </row>
    <row r="695" spans="1:28" ht="15.75" hidden="1" customHeight="1">
      <c r="A695" s="44"/>
      <c r="B695" s="44"/>
      <c r="C695" s="44"/>
      <c r="D695" s="44"/>
      <c r="E695" s="44"/>
      <c r="F695" s="44"/>
      <c r="G695" s="48"/>
      <c r="H695" s="48"/>
      <c r="I695" s="48"/>
      <c r="J695" s="48"/>
      <c r="K695" s="48"/>
      <c r="L695" s="48"/>
      <c r="M695" s="48"/>
      <c r="N695" s="48"/>
      <c r="O695" s="44"/>
      <c r="P695" s="44"/>
      <c r="Q695" s="44"/>
      <c r="R695" s="44"/>
      <c r="S695" s="44"/>
      <c r="T695" s="44"/>
      <c r="U695" s="44"/>
      <c r="V695" s="44"/>
      <c r="W695" s="44"/>
      <c r="X695" s="44"/>
      <c r="Y695" s="44"/>
      <c r="Z695" s="44"/>
      <c r="AA695" s="44" t="s">
        <v>2714</v>
      </c>
      <c r="AB695" s="44" t="s">
        <v>2715</v>
      </c>
    </row>
    <row r="696" spans="1:28" ht="15.75" hidden="1" customHeight="1">
      <c r="A696" s="44"/>
      <c r="B696" s="44"/>
      <c r="C696" s="44"/>
      <c r="D696" s="44"/>
      <c r="E696" s="44"/>
      <c r="F696" s="44"/>
      <c r="G696" s="48"/>
      <c r="H696" s="48"/>
      <c r="I696" s="48"/>
      <c r="J696" s="48"/>
      <c r="K696" s="48"/>
      <c r="L696" s="48"/>
      <c r="M696" s="48"/>
      <c r="N696" s="48"/>
      <c r="O696" s="44"/>
      <c r="P696" s="44"/>
      <c r="Q696" s="44"/>
      <c r="R696" s="44"/>
      <c r="S696" s="44"/>
      <c r="T696" s="44"/>
      <c r="U696" s="44"/>
      <c r="V696" s="44"/>
      <c r="W696" s="44"/>
      <c r="X696" s="44"/>
      <c r="Y696" s="44"/>
      <c r="Z696" s="44"/>
      <c r="AA696" s="44" t="s">
        <v>2716</v>
      </c>
      <c r="AB696" s="44" t="s">
        <v>2717</v>
      </c>
    </row>
    <row r="697" spans="1:28" ht="15.75" hidden="1" customHeight="1">
      <c r="A697" s="44"/>
      <c r="B697" s="44"/>
      <c r="C697" s="44"/>
      <c r="D697" s="44"/>
      <c r="E697" s="44"/>
      <c r="F697" s="44"/>
      <c r="G697" s="48"/>
      <c r="H697" s="48"/>
      <c r="I697" s="48"/>
      <c r="J697" s="48"/>
      <c r="K697" s="48"/>
      <c r="L697" s="48"/>
      <c r="M697" s="48"/>
      <c r="N697" s="48"/>
      <c r="O697" s="44"/>
      <c r="P697" s="44"/>
      <c r="Q697" s="44"/>
      <c r="R697" s="44"/>
      <c r="S697" s="44"/>
      <c r="T697" s="44"/>
      <c r="U697" s="44"/>
      <c r="V697" s="44"/>
      <c r="W697" s="44"/>
      <c r="X697" s="44"/>
      <c r="Y697" s="44"/>
      <c r="Z697" s="44"/>
      <c r="AA697" s="44" t="s">
        <v>2718</v>
      </c>
      <c r="AB697" s="44" t="s">
        <v>2719</v>
      </c>
    </row>
    <row r="698" spans="1:28" ht="15.75" hidden="1" customHeight="1">
      <c r="A698" s="44"/>
      <c r="B698" s="44"/>
      <c r="C698" s="44"/>
      <c r="D698" s="44"/>
      <c r="E698" s="44"/>
      <c r="F698" s="44"/>
      <c r="G698" s="48"/>
      <c r="H698" s="48"/>
      <c r="I698" s="48"/>
      <c r="J698" s="48"/>
      <c r="K698" s="48"/>
      <c r="L698" s="48"/>
      <c r="M698" s="48"/>
      <c r="N698" s="48"/>
      <c r="O698" s="44"/>
      <c r="P698" s="44"/>
      <c r="Q698" s="44"/>
      <c r="R698" s="44"/>
      <c r="S698" s="44"/>
      <c r="T698" s="44"/>
      <c r="U698" s="44"/>
      <c r="V698" s="44"/>
      <c r="W698" s="44"/>
      <c r="X698" s="44"/>
      <c r="Y698" s="44"/>
      <c r="Z698" s="44"/>
      <c r="AA698" s="44" t="s">
        <v>2720</v>
      </c>
      <c r="AB698" s="44" t="s">
        <v>2721</v>
      </c>
    </row>
    <row r="699" spans="1:28" ht="15.75" hidden="1" customHeight="1">
      <c r="A699" s="44"/>
      <c r="B699" s="44"/>
      <c r="C699" s="44"/>
      <c r="D699" s="44"/>
      <c r="E699" s="44"/>
      <c r="F699" s="44"/>
      <c r="G699" s="48"/>
      <c r="H699" s="48"/>
      <c r="I699" s="48"/>
      <c r="J699" s="48"/>
      <c r="K699" s="48"/>
      <c r="L699" s="48"/>
      <c r="M699" s="48"/>
      <c r="N699" s="48"/>
      <c r="O699" s="44"/>
      <c r="P699" s="44"/>
      <c r="Q699" s="44"/>
      <c r="R699" s="44"/>
      <c r="S699" s="44"/>
      <c r="T699" s="44"/>
      <c r="U699" s="44"/>
      <c r="V699" s="44"/>
      <c r="W699" s="44"/>
      <c r="X699" s="44"/>
      <c r="Y699" s="44"/>
      <c r="Z699" s="44"/>
      <c r="AA699" s="44" t="s">
        <v>2722</v>
      </c>
      <c r="AB699" s="44" t="s">
        <v>2723</v>
      </c>
    </row>
    <row r="700" spans="1:28" ht="15.75" hidden="1" customHeight="1">
      <c r="A700" s="44"/>
      <c r="B700" s="44"/>
      <c r="C700" s="44"/>
      <c r="D700" s="44"/>
      <c r="E700" s="44"/>
      <c r="F700" s="44"/>
      <c r="G700" s="48"/>
      <c r="H700" s="48"/>
      <c r="I700" s="48"/>
      <c r="J700" s="48"/>
      <c r="K700" s="48"/>
      <c r="L700" s="48"/>
      <c r="M700" s="48"/>
      <c r="N700" s="48"/>
      <c r="O700" s="44"/>
      <c r="P700" s="44"/>
      <c r="Q700" s="44"/>
      <c r="R700" s="44"/>
      <c r="S700" s="44"/>
      <c r="T700" s="44"/>
      <c r="U700" s="44"/>
      <c r="V700" s="44"/>
      <c r="W700" s="44"/>
      <c r="X700" s="44"/>
      <c r="Y700" s="44"/>
      <c r="Z700" s="44"/>
      <c r="AA700" s="44" t="s">
        <v>2724</v>
      </c>
      <c r="AB700" s="44" t="s">
        <v>2725</v>
      </c>
    </row>
    <row r="701" spans="1:28" ht="15.75" hidden="1" customHeight="1">
      <c r="A701" s="44"/>
      <c r="B701" s="44"/>
      <c r="C701" s="44"/>
      <c r="D701" s="44"/>
      <c r="E701" s="44"/>
      <c r="F701" s="44"/>
      <c r="G701" s="48"/>
      <c r="H701" s="48"/>
      <c r="I701" s="48"/>
      <c r="J701" s="48"/>
      <c r="K701" s="48"/>
      <c r="L701" s="48"/>
      <c r="M701" s="48"/>
      <c r="N701" s="48"/>
      <c r="O701" s="44"/>
      <c r="P701" s="44"/>
      <c r="Q701" s="44"/>
      <c r="R701" s="44"/>
      <c r="S701" s="44"/>
      <c r="T701" s="44"/>
      <c r="U701" s="44"/>
      <c r="V701" s="44"/>
      <c r="W701" s="44"/>
      <c r="X701" s="44"/>
      <c r="Y701" s="44"/>
      <c r="Z701" s="44"/>
      <c r="AA701" s="44" t="s">
        <v>2726</v>
      </c>
      <c r="AB701" s="44" t="s">
        <v>2727</v>
      </c>
    </row>
    <row r="702" spans="1:28" ht="15.75" hidden="1" customHeight="1">
      <c r="A702" s="44"/>
      <c r="B702" s="44"/>
      <c r="C702" s="44"/>
      <c r="D702" s="44"/>
      <c r="E702" s="44"/>
      <c r="F702" s="44"/>
      <c r="G702" s="48"/>
      <c r="H702" s="48"/>
      <c r="I702" s="48"/>
      <c r="J702" s="48"/>
      <c r="K702" s="48"/>
      <c r="L702" s="48"/>
      <c r="M702" s="48"/>
      <c r="N702" s="48"/>
      <c r="O702" s="44"/>
      <c r="P702" s="44"/>
      <c r="Q702" s="44"/>
      <c r="R702" s="44"/>
      <c r="S702" s="44"/>
      <c r="T702" s="44"/>
      <c r="U702" s="44"/>
      <c r="V702" s="44"/>
      <c r="W702" s="44"/>
      <c r="X702" s="44"/>
      <c r="Y702" s="44"/>
      <c r="Z702" s="44"/>
      <c r="AA702" s="44" t="s">
        <v>2728</v>
      </c>
      <c r="AB702" s="44" t="s">
        <v>2729</v>
      </c>
    </row>
    <row r="703" spans="1:28" ht="15.75" hidden="1" customHeight="1">
      <c r="A703" s="44"/>
      <c r="B703" s="44"/>
      <c r="C703" s="44"/>
      <c r="D703" s="44"/>
      <c r="E703" s="44"/>
      <c r="F703" s="44"/>
      <c r="G703" s="48"/>
      <c r="H703" s="48"/>
      <c r="I703" s="48"/>
      <c r="J703" s="48"/>
      <c r="K703" s="48"/>
      <c r="L703" s="48"/>
      <c r="M703" s="48"/>
      <c r="N703" s="48"/>
      <c r="O703" s="44"/>
      <c r="P703" s="44"/>
      <c r="Q703" s="44"/>
      <c r="R703" s="44"/>
      <c r="S703" s="44"/>
      <c r="T703" s="44"/>
      <c r="U703" s="44"/>
      <c r="V703" s="44"/>
      <c r="W703" s="44"/>
      <c r="X703" s="44"/>
      <c r="Y703" s="44"/>
      <c r="Z703" s="44"/>
      <c r="AA703" s="44" t="s">
        <v>2730</v>
      </c>
      <c r="AB703" s="44" t="s">
        <v>2731</v>
      </c>
    </row>
    <row r="704" spans="1:28" ht="15.75" hidden="1" customHeight="1">
      <c r="A704" s="44"/>
      <c r="B704" s="44"/>
      <c r="C704" s="44"/>
      <c r="D704" s="44"/>
      <c r="E704" s="44"/>
      <c r="F704" s="44"/>
      <c r="G704" s="48"/>
      <c r="H704" s="48"/>
      <c r="I704" s="48"/>
      <c r="J704" s="48"/>
      <c r="K704" s="48"/>
      <c r="L704" s="48"/>
      <c r="M704" s="48"/>
      <c r="N704" s="48"/>
      <c r="O704" s="44"/>
      <c r="P704" s="44"/>
      <c r="Q704" s="44"/>
      <c r="R704" s="44"/>
      <c r="S704" s="44"/>
      <c r="T704" s="44"/>
      <c r="U704" s="44"/>
      <c r="V704" s="44"/>
      <c r="W704" s="44"/>
      <c r="X704" s="44"/>
      <c r="Y704" s="44"/>
      <c r="Z704" s="44"/>
      <c r="AA704" s="44" t="s">
        <v>2732</v>
      </c>
      <c r="AB704" s="44" t="s">
        <v>2733</v>
      </c>
    </row>
    <row r="705" spans="1:28" ht="15.75" hidden="1" customHeight="1">
      <c r="A705" s="44"/>
      <c r="B705" s="44"/>
      <c r="C705" s="44"/>
      <c r="D705" s="44"/>
      <c r="E705" s="44"/>
      <c r="F705" s="44"/>
      <c r="G705" s="48"/>
      <c r="H705" s="48"/>
      <c r="I705" s="48"/>
      <c r="J705" s="48"/>
      <c r="K705" s="48"/>
      <c r="L705" s="48"/>
      <c r="M705" s="48"/>
      <c r="N705" s="48"/>
      <c r="O705" s="44"/>
      <c r="P705" s="44"/>
      <c r="Q705" s="44"/>
      <c r="R705" s="44"/>
      <c r="S705" s="44"/>
      <c r="T705" s="44"/>
      <c r="U705" s="44"/>
      <c r="V705" s="44"/>
      <c r="W705" s="44"/>
      <c r="X705" s="44"/>
      <c r="Y705" s="44"/>
      <c r="Z705" s="44"/>
      <c r="AA705" s="44" t="s">
        <v>2734</v>
      </c>
      <c r="AB705" s="44" t="s">
        <v>2735</v>
      </c>
    </row>
    <row r="706" spans="1:28" ht="15.75" hidden="1" customHeight="1">
      <c r="A706" s="44"/>
      <c r="B706" s="44"/>
      <c r="C706" s="44"/>
      <c r="D706" s="44"/>
      <c r="E706" s="44"/>
      <c r="F706" s="44"/>
      <c r="G706" s="48"/>
      <c r="H706" s="48"/>
      <c r="I706" s="48"/>
      <c r="J706" s="48"/>
      <c r="K706" s="48"/>
      <c r="L706" s="48"/>
      <c r="M706" s="48"/>
      <c r="N706" s="48"/>
      <c r="O706" s="44"/>
      <c r="P706" s="44"/>
      <c r="Q706" s="44"/>
      <c r="R706" s="44"/>
      <c r="S706" s="44"/>
      <c r="T706" s="44"/>
      <c r="U706" s="44"/>
      <c r="V706" s="44"/>
      <c r="W706" s="44"/>
      <c r="X706" s="44"/>
      <c r="Y706" s="44"/>
      <c r="Z706" s="44"/>
      <c r="AA706" s="44" t="s">
        <v>2736</v>
      </c>
      <c r="AB706" s="44" t="s">
        <v>2737</v>
      </c>
    </row>
    <row r="707" spans="1:28" ht="15.75" hidden="1" customHeight="1">
      <c r="A707" s="44"/>
      <c r="B707" s="44"/>
      <c r="C707" s="44"/>
      <c r="D707" s="44"/>
      <c r="E707" s="44"/>
      <c r="F707" s="44"/>
      <c r="G707" s="48"/>
      <c r="H707" s="48"/>
      <c r="I707" s="48"/>
      <c r="J707" s="48"/>
      <c r="K707" s="48"/>
      <c r="L707" s="48"/>
      <c r="M707" s="48"/>
      <c r="N707" s="48"/>
      <c r="O707" s="44"/>
      <c r="P707" s="44"/>
      <c r="Q707" s="44"/>
      <c r="R707" s="44"/>
      <c r="S707" s="44"/>
      <c r="T707" s="44"/>
      <c r="U707" s="44"/>
      <c r="V707" s="44"/>
      <c r="W707" s="44"/>
      <c r="X707" s="44"/>
      <c r="Y707" s="44"/>
      <c r="Z707" s="44"/>
      <c r="AA707" s="44" t="s">
        <v>2738</v>
      </c>
      <c r="AB707" s="44" t="s">
        <v>2739</v>
      </c>
    </row>
    <row r="708" spans="1:28" ht="15.75" hidden="1" customHeight="1">
      <c r="A708" s="44"/>
      <c r="B708" s="44"/>
      <c r="C708" s="44"/>
      <c r="D708" s="44"/>
      <c r="E708" s="44"/>
      <c r="F708" s="44"/>
      <c r="G708" s="48"/>
      <c r="H708" s="48"/>
      <c r="I708" s="48"/>
      <c r="J708" s="48"/>
      <c r="K708" s="48"/>
      <c r="L708" s="48"/>
      <c r="M708" s="48"/>
      <c r="N708" s="48"/>
      <c r="O708" s="44"/>
      <c r="P708" s="44"/>
      <c r="Q708" s="44"/>
      <c r="R708" s="44"/>
      <c r="S708" s="44"/>
      <c r="T708" s="44"/>
      <c r="U708" s="44"/>
      <c r="V708" s="44"/>
      <c r="W708" s="44"/>
      <c r="X708" s="44"/>
      <c r="Y708" s="44"/>
      <c r="Z708" s="44"/>
      <c r="AA708" s="44" t="s">
        <v>2740</v>
      </c>
      <c r="AB708" s="44" t="s">
        <v>2741</v>
      </c>
    </row>
    <row r="709" spans="1:28" ht="15.75" hidden="1" customHeight="1">
      <c r="A709" s="44"/>
      <c r="B709" s="44"/>
      <c r="C709" s="44"/>
      <c r="D709" s="44"/>
      <c r="E709" s="44"/>
      <c r="F709" s="44"/>
      <c r="G709" s="48"/>
      <c r="H709" s="48"/>
      <c r="I709" s="48"/>
      <c r="J709" s="48"/>
      <c r="K709" s="48"/>
      <c r="L709" s="48"/>
      <c r="M709" s="48"/>
      <c r="N709" s="48"/>
      <c r="O709" s="44"/>
      <c r="P709" s="44"/>
      <c r="Q709" s="44"/>
      <c r="R709" s="44"/>
      <c r="S709" s="44"/>
      <c r="T709" s="44"/>
      <c r="U709" s="44"/>
      <c r="V709" s="44"/>
      <c r="W709" s="44"/>
      <c r="X709" s="44"/>
      <c r="Y709" s="44"/>
      <c r="Z709" s="44"/>
      <c r="AA709" s="44" t="s">
        <v>2742</v>
      </c>
      <c r="AB709" s="44" t="s">
        <v>2743</v>
      </c>
    </row>
    <row r="710" spans="1:28" ht="15.75" hidden="1" customHeight="1">
      <c r="A710" s="44"/>
      <c r="B710" s="44"/>
      <c r="C710" s="44"/>
      <c r="D710" s="44"/>
      <c r="E710" s="44"/>
      <c r="F710" s="44"/>
      <c r="G710" s="48"/>
      <c r="H710" s="48"/>
      <c r="I710" s="48"/>
      <c r="J710" s="48"/>
      <c r="K710" s="48"/>
      <c r="L710" s="48"/>
      <c r="M710" s="48"/>
      <c r="N710" s="48"/>
      <c r="O710" s="44"/>
      <c r="P710" s="44"/>
      <c r="Q710" s="44"/>
      <c r="R710" s="44"/>
      <c r="S710" s="44"/>
      <c r="T710" s="44"/>
      <c r="U710" s="44"/>
      <c r="V710" s="44"/>
      <c r="W710" s="44"/>
      <c r="X710" s="44"/>
      <c r="Y710" s="44"/>
      <c r="Z710" s="44"/>
      <c r="AA710" s="44" t="s">
        <v>2744</v>
      </c>
      <c r="AB710" s="44" t="s">
        <v>2745</v>
      </c>
    </row>
    <row r="711" spans="1:28" ht="15.75" hidden="1" customHeight="1">
      <c r="A711" s="44"/>
      <c r="B711" s="44"/>
      <c r="C711" s="44"/>
      <c r="D711" s="44"/>
      <c r="E711" s="44"/>
      <c r="F711" s="44"/>
      <c r="G711" s="48"/>
      <c r="H711" s="48"/>
      <c r="I711" s="48"/>
      <c r="J711" s="48"/>
      <c r="K711" s="48"/>
      <c r="L711" s="48"/>
      <c r="M711" s="48"/>
      <c r="N711" s="48"/>
      <c r="O711" s="44"/>
      <c r="P711" s="44"/>
      <c r="Q711" s="44"/>
      <c r="R711" s="44"/>
      <c r="S711" s="44"/>
      <c r="T711" s="44"/>
      <c r="U711" s="44"/>
      <c r="V711" s="44"/>
      <c r="W711" s="44"/>
      <c r="X711" s="44"/>
      <c r="Y711" s="44"/>
      <c r="Z711" s="44"/>
      <c r="AA711" s="44" t="s">
        <v>2746</v>
      </c>
      <c r="AB711" s="44" t="s">
        <v>2747</v>
      </c>
    </row>
    <row r="712" spans="1:28" ht="15.75" hidden="1" customHeight="1">
      <c r="A712" s="44"/>
      <c r="B712" s="44"/>
      <c r="C712" s="44"/>
      <c r="D712" s="44"/>
      <c r="E712" s="44"/>
      <c r="F712" s="44"/>
      <c r="G712" s="48"/>
      <c r="H712" s="48"/>
      <c r="I712" s="48"/>
      <c r="J712" s="48"/>
      <c r="K712" s="48"/>
      <c r="L712" s="48"/>
      <c r="M712" s="48"/>
      <c r="N712" s="48"/>
      <c r="O712" s="44"/>
      <c r="P712" s="44"/>
      <c r="Q712" s="44"/>
      <c r="R712" s="44"/>
      <c r="S712" s="44"/>
      <c r="T712" s="44"/>
      <c r="U712" s="44"/>
      <c r="V712" s="44"/>
      <c r="W712" s="44"/>
      <c r="X712" s="44"/>
      <c r="Y712" s="44"/>
      <c r="Z712" s="44"/>
      <c r="AA712" s="44" t="s">
        <v>2748</v>
      </c>
      <c r="AB712" s="44" t="s">
        <v>2749</v>
      </c>
    </row>
    <row r="713" spans="1:28" ht="15.75" hidden="1" customHeight="1">
      <c r="A713" s="44"/>
      <c r="B713" s="44"/>
      <c r="C713" s="44"/>
      <c r="D713" s="44"/>
      <c r="E713" s="44"/>
      <c r="F713" s="44"/>
      <c r="G713" s="48"/>
      <c r="H713" s="48"/>
      <c r="I713" s="48"/>
      <c r="J713" s="48"/>
      <c r="K713" s="48"/>
      <c r="L713" s="48"/>
      <c r="M713" s="48"/>
      <c r="N713" s="48"/>
      <c r="O713" s="44"/>
      <c r="P713" s="44"/>
      <c r="Q713" s="44"/>
      <c r="R713" s="44"/>
      <c r="S713" s="44"/>
      <c r="T713" s="44"/>
      <c r="U713" s="44"/>
      <c r="V713" s="44"/>
      <c r="W713" s="44"/>
      <c r="X713" s="44"/>
      <c r="Y713" s="44"/>
      <c r="Z713" s="44"/>
      <c r="AA713" s="44" t="s">
        <v>2750</v>
      </c>
      <c r="AB713" s="44" t="s">
        <v>2751</v>
      </c>
    </row>
    <row r="714" spans="1:28" ht="15.75" hidden="1" customHeight="1">
      <c r="A714" s="44"/>
      <c r="B714" s="44"/>
      <c r="C714" s="44"/>
      <c r="D714" s="44"/>
      <c r="E714" s="44"/>
      <c r="F714" s="44"/>
      <c r="G714" s="48"/>
      <c r="H714" s="48"/>
      <c r="I714" s="48"/>
      <c r="J714" s="48"/>
      <c r="K714" s="48"/>
      <c r="L714" s="48"/>
      <c r="M714" s="48"/>
      <c r="N714" s="48"/>
      <c r="O714" s="44"/>
      <c r="P714" s="44"/>
      <c r="Q714" s="44"/>
      <c r="R714" s="44"/>
      <c r="S714" s="44"/>
      <c r="T714" s="44"/>
      <c r="U714" s="44"/>
      <c r="V714" s="44"/>
      <c r="W714" s="44"/>
      <c r="X714" s="44"/>
      <c r="Y714" s="44"/>
      <c r="Z714" s="44"/>
      <c r="AA714" s="44" t="s">
        <v>2752</v>
      </c>
      <c r="AB714" s="44" t="s">
        <v>2753</v>
      </c>
    </row>
    <row r="715" spans="1:28" ht="15.75" hidden="1" customHeight="1">
      <c r="A715" s="44"/>
      <c r="B715" s="44"/>
      <c r="C715" s="44"/>
      <c r="D715" s="44"/>
      <c r="E715" s="44"/>
      <c r="F715" s="44"/>
      <c r="G715" s="48"/>
      <c r="H715" s="48"/>
      <c r="I715" s="48"/>
      <c r="J715" s="48"/>
      <c r="K715" s="48"/>
      <c r="L715" s="48"/>
      <c r="M715" s="48"/>
      <c r="N715" s="48"/>
      <c r="O715" s="44"/>
      <c r="P715" s="44"/>
      <c r="Q715" s="44"/>
      <c r="R715" s="44"/>
      <c r="S715" s="44"/>
      <c r="T715" s="44"/>
      <c r="U715" s="44"/>
      <c r="V715" s="44"/>
      <c r="W715" s="44"/>
      <c r="X715" s="44"/>
      <c r="Y715" s="44"/>
      <c r="Z715" s="44"/>
      <c r="AA715" s="44" t="s">
        <v>2754</v>
      </c>
      <c r="AB715" s="44" t="s">
        <v>2755</v>
      </c>
    </row>
    <row r="716" spans="1:28" ht="15.75" hidden="1" customHeight="1">
      <c r="A716" s="44"/>
      <c r="B716" s="44"/>
      <c r="C716" s="44"/>
      <c r="D716" s="44"/>
      <c r="E716" s="44"/>
      <c r="F716" s="44"/>
      <c r="G716" s="48"/>
      <c r="H716" s="48"/>
      <c r="I716" s="48"/>
      <c r="J716" s="48"/>
      <c r="K716" s="48"/>
      <c r="L716" s="48"/>
      <c r="M716" s="48"/>
      <c r="N716" s="48"/>
      <c r="O716" s="44"/>
      <c r="P716" s="44"/>
      <c r="Q716" s="44"/>
      <c r="R716" s="44"/>
      <c r="S716" s="44"/>
      <c r="T716" s="44"/>
      <c r="U716" s="44"/>
      <c r="V716" s="44"/>
      <c r="W716" s="44"/>
      <c r="X716" s="44"/>
      <c r="Y716" s="44"/>
      <c r="Z716" s="44"/>
      <c r="AA716" s="44" t="s">
        <v>2756</v>
      </c>
      <c r="AB716" s="44" t="s">
        <v>2757</v>
      </c>
    </row>
    <row r="717" spans="1:28" ht="15.75" hidden="1" customHeight="1">
      <c r="A717" s="44"/>
      <c r="B717" s="44"/>
      <c r="C717" s="44"/>
      <c r="D717" s="44"/>
      <c r="E717" s="44"/>
      <c r="F717" s="44"/>
      <c r="G717" s="48"/>
      <c r="H717" s="48"/>
      <c r="I717" s="48"/>
      <c r="J717" s="48"/>
      <c r="K717" s="48"/>
      <c r="L717" s="48"/>
      <c r="M717" s="48"/>
      <c r="N717" s="48"/>
      <c r="O717" s="44"/>
      <c r="P717" s="44"/>
      <c r="Q717" s="44"/>
      <c r="R717" s="44"/>
      <c r="S717" s="44"/>
      <c r="T717" s="44"/>
      <c r="U717" s="44"/>
      <c r="V717" s="44"/>
      <c r="W717" s="44"/>
      <c r="X717" s="44"/>
      <c r="Y717" s="44"/>
      <c r="Z717" s="44"/>
      <c r="AA717" s="44" t="s">
        <v>2758</v>
      </c>
      <c r="AB717" s="44" t="s">
        <v>2759</v>
      </c>
    </row>
    <row r="718" spans="1:28" ht="15.75" hidden="1" customHeight="1">
      <c r="A718" s="44"/>
      <c r="B718" s="44"/>
      <c r="C718" s="44"/>
      <c r="D718" s="44"/>
      <c r="E718" s="44"/>
      <c r="F718" s="44"/>
      <c r="G718" s="48"/>
      <c r="H718" s="48"/>
      <c r="I718" s="48"/>
      <c r="J718" s="48"/>
      <c r="K718" s="48"/>
      <c r="L718" s="48"/>
      <c r="M718" s="48"/>
      <c r="N718" s="48"/>
      <c r="O718" s="44"/>
      <c r="P718" s="44"/>
      <c r="Q718" s="44"/>
      <c r="R718" s="44"/>
      <c r="S718" s="44"/>
      <c r="T718" s="44"/>
      <c r="U718" s="44"/>
      <c r="V718" s="44"/>
      <c r="W718" s="44"/>
      <c r="X718" s="44"/>
      <c r="Y718" s="44"/>
      <c r="Z718" s="44"/>
      <c r="AA718" s="44" t="s">
        <v>2760</v>
      </c>
      <c r="AB718" s="44" t="s">
        <v>2761</v>
      </c>
    </row>
    <row r="719" spans="1:28" ht="15.75" hidden="1" customHeight="1">
      <c r="A719" s="44"/>
      <c r="B719" s="44"/>
      <c r="C719" s="44"/>
      <c r="D719" s="44"/>
      <c r="E719" s="44"/>
      <c r="F719" s="44"/>
      <c r="G719" s="48"/>
      <c r="H719" s="48"/>
      <c r="I719" s="48"/>
      <c r="J719" s="48"/>
      <c r="K719" s="48"/>
      <c r="L719" s="48"/>
      <c r="M719" s="48"/>
      <c r="N719" s="48"/>
      <c r="O719" s="44"/>
      <c r="P719" s="44"/>
      <c r="Q719" s="44"/>
      <c r="R719" s="44"/>
      <c r="S719" s="44"/>
      <c r="T719" s="44"/>
      <c r="U719" s="44"/>
      <c r="V719" s="44"/>
      <c r="W719" s="44"/>
      <c r="X719" s="44"/>
      <c r="Y719" s="44"/>
      <c r="Z719" s="44"/>
      <c r="AA719" s="44" t="s">
        <v>2762</v>
      </c>
      <c r="AB719" s="44" t="s">
        <v>2763</v>
      </c>
    </row>
    <row r="720" spans="1:28" ht="15.75" hidden="1" customHeight="1">
      <c r="A720" s="44"/>
      <c r="B720" s="44"/>
      <c r="C720" s="44"/>
      <c r="D720" s="44"/>
      <c r="E720" s="44"/>
      <c r="F720" s="44"/>
      <c r="G720" s="48"/>
      <c r="H720" s="48"/>
      <c r="I720" s="48"/>
      <c r="J720" s="48"/>
      <c r="K720" s="48"/>
      <c r="L720" s="48"/>
      <c r="M720" s="48"/>
      <c r="N720" s="48"/>
      <c r="O720" s="44"/>
      <c r="P720" s="44"/>
      <c r="Q720" s="44"/>
      <c r="R720" s="44"/>
      <c r="S720" s="44"/>
      <c r="T720" s="44"/>
      <c r="U720" s="44"/>
      <c r="V720" s="44"/>
      <c r="W720" s="44"/>
      <c r="X720" s="44"/>
      <c r="Y720" s="44"/>
      <c r="Z720" s="44"/>
      <c r="AA720" s="44" t="s">
        <v>2764</v>
      </c>
      <c r="AB720" s="44" t="s">
        <v>2765</v>
      </c>
    </row>
    <row r="721" spans="1:28" ht="15.75" hidden="1" customHeight="1">
      <c r="A721" s="44"/>
      <c r="B721" s="44"/>
      <c r="C721" s="44"/>
      <c r="D721" s="44"/>
      <c r="E721" s="44"/>
      <c r="F721" s="44"/>
      <c r="G721" s="48"/>
      <c r="H721" s="48"/>
      <c r="I721" s="48"/>
      <c r="J721" s="48"/>
      <c r="K721" s="48"/>
      <c r="L721" s="48"/>
      <c r="M721" s="48"/>
      <c r="N721" s="48"/>
      <c r="O721" s="44"/>
      <c r="P721" s="44"/>
      <c r="Q721" s="44"/>
      <c r="R721" s="44"/>
      <c r="S721" s="44"/>
      <c r="T721" s="44"/>
      <c r="U721" s="44"/>
      <c r="V721" s="44"/>
      <c r="W721" s="44"/>
      <c r="X721" s="44"/>
      <c r="Y721" s="44"/>
      <c r="Z721" s="44"/>
      <c r="AA721" s="44" t="s">
        <v>2766</v>
      </c>
      <c r="AB721" s="44" t="s">
        <v>2767</v>
      </c>
    </row>
    <row r="722" spans="1:28" ht="15.75" hidden="1" customHeight="1">
      <c r="A722" s="44"/>
      <c r="B722" s="44"/>
      <c r="C722" s="44"/>
      <c r="D722" s="44"/>
      <c r="E722" s="44"/>
      <c r="F722" s="44"/>
      <c r="G722" s="48"/>
      <c r="H722" s="48"/>
      <c r="I722" s="48"/>
      <c r="J722" s="48"/>
      <c r="K722" s="48"/>
      <c r="L722" s="48"/>
      <c r="M722" s="48"/>
      <c r="N722" s="48"/>
      <c r="O722" s="44"/>
      <c r="P722" s="44"/>
      <c r="Q722" s="44"/>
      <c r="R722" s="44"/>
      <c r="S722" s="44"/>
      <c r="T722" s="44"/>
      <c r="U722" s="44"/>
      <c r="V722" s="44"/>
      <c r="W722" s="44"/>
      <c r="X722" s="44"/>
      <c r="Y722" s="44"/>
      <c r="Z722" s="44"/>
      <c r="AA722" s="44" t="s">
        <v>2768</v>
      </c>
      <c r="AB722" s="44" t="s">
        <v>2769</v>
      </c>
    </row>
    <row r="723" spans="1:28" ht="15.75" hidden="1" customHeight="1">
      <c r="A723" s="44"/>
      <c r="B723" s="44"/>
      <c r="C723" s="44"/>
      <c r="D723" s="44"/>
      <c r="E723" s="44"/>
      <c r="F723" s="44"/>
      <c r="G723" s="48"/>
      <c r="H723" s="48"/>
      <c r="I723" s="48"/>
      <c r="J723" s="48"/>
      <c r="K723" s="48"/>
      <c r="L723" s="48"/>
      <c r="M723" s="48"/>
      <c r="N723" s="48"/>
      <c r="O723" s="44"/>
      <c r="P723" s="44"/>
      <c r="Q723" s="44"/>
      <c r="R723" s="44"/>
      <c r="S723" s="44"/>
      <c r="T723" s="44"/>
      <c r="U723" s="44"/>
      <c r="V723" s="44"/>
      <c r="W723" s="44"/>
      <c r="X723" s="44"/>
      <c r="Y723" s="44"/>
      <c r="Z723" s="44"/>
      <c r="AA723" s="44" t="s">
        <v>2770</v>
      </c>
      <c r="AB723" s="44" t="s">
        <v>2771</v>
      </c>
    </row>
    <row r="724" spans="1:28" ht="15.75" hidden="1" customHeight="1">
      <c r="A724" s="44"/>
      <c r="B724" s="44"/>
      <c r="C724" s="44"/>
      <c r="D724" s="44"/>
      <c r="E724" s="44"/>
      <c r="F724" s="44"/>
      <c r="G724" s="48"/>
      <c r="H724" s="48"/>
      <c r="I724" s="48"/>
      <c r="J724" s="48"/>
      <c r="K724" s="48"/>
      <c r="L724" s="48"/>
      <c r="M724" s="48"/>
      <c r="N724" s="48"/>
      <c r="O724" s="44"/>
      <c r="P724" s="44"/>
      <c r="Q724" s="44"/>
      <c r="R724" s="44"/>
      <c r="S724" s="44"/>
      <c r="T724" s="44"/>
      <c r="U724" s="44"/>
      <c r="V724" s="44"/>
      <c r="W724" s="44"/>
      <c r="X724" s="44"/>
      <c r="Y724" s="44"/>
      <c r="Z724" s="44"/>
      <c r="AA724" s="44" t="s">
        <v>2772</v>
      </c>
      <c r="AB724" s="44" t="s">
        <v>2773</v>
      </c>
    </row>
    <row r="725" spans="1:28" ht="15.75" hidden="1" customHeight="1">
      <c r="A725" s="44"/>
      <c r="B725" s="44"/>
      <c r="C725" s="44"/>
      <c r="D725" s="44"/>
      <c r="E725" s="44"/>
      <c r="F725" s="44"/>
      <c r="G725" s="48"/>
      <c r="H725" s="48"/>
      <c r="I725" s="48"/>
      <c r="J725" s="48"/>
      <c r="K725" s="48"/>
      <c r="L725" s="48"/>
      <c r="M725" s="48"/>
      <c r="N725" s="48"/>
      <c r="O725" s="44"/>
      <c r="P725" s="44"/>
      <c r="Q725" s="44"/>
      <c r="R725" s="44"/>
      <c r="S725" s="44"/>
      <c r="T725" s="44"/>
      <c r="U725" s="44"/>
      <c r="V725" s="44"/>
      <c r="W725" s="44"/>
      <c r="X725" s="44"/>
      <c r="Y725" s="44"/>
      <c r="Z725" s="44"/>
      <c r="AA725" s="44" t="s">
        <v>2774</v>
      </c>
      <c r="AB725" s="44" t="s">
        <v>2775</v>
      </c>
    </row>
    <row r="726" spans="1:28" ht="15.75" hidden="1" customHeight="1">
      <c r="A726" s="44"/>
      <c r="B726" s="44"/>
      <c r="C726" s="44"/>
      <c r="D726" s="44"/>
      <c r="E726" s="44"/>
      <c r="F726" s="44"/>
      <c r="G726" s="48"/>
      <c r="H726" s="48"/>
      <c r="I726" s="48"/>
      <c r="J726" s="48"/>
      <c r="K726" s="48"/>
      <c r="L726" s="48"/>
      <c r="M726" s="48"/>
      <c r="N726" s="48"/>
      <c r="O726" s="44"/>
      <c r="P726" s="44"/>
      <c r="Q726" s="44"/>
      <c r="R726" s="44"/>
      <c r="S726" s="44"/>
      <c r="T726" s="44"/>
      <c r="U726" s="44"/>
      <c r="V726" s="44"/>
      <c r="W726" s="44"/>
      <c r="X726" s="44"/>
      <c r="Y726" s="44"/>
      <c r="Z726" s="44"/>
      <c r="AA726" s="44" t="s">
        <v>2776</v>
      </c>
      <c r="AB726" s="44" t="s">
        <v>2777</v>
      </c>
    </row>
    <row r="727" spans="1:28" ht="15.75" hidden="1" customHeight="1">
      <c r="A727" s="44"/>
      <c r="B727" s="44"/>
      <c r="C727" s="44"/>
      <c r="D727" s="44"/>
      <c r="E727" s="44"/>
      <c r="F727" s="44"/>
      <c r="G727" s="48"/>
      <c r="H727" s="48"/>
      <c r="I727" s="48"/>
      <c r="J727" s="48"/>
      <c r="K727" s="48"/>
      <c r="L727" s="48"/>
      <c r="M727" s="48"/>
      <c r="N727" s="48"/>
      <c r="O727" s="44"/>
      <c r="P727" s="44"/>
      <c r="Q727" s="44"/>
      <c r="R727" s="44"/>
      <c r="S727" s="44"/>
      <c r="T727" s="44"/>
      <c r="U727" s="44"/>
      <c r="V727" s="44"/>
      <c r="W727" s="44"/>
      <c r="X727" s="44"/>
      <c r="Y727" s="44"/>
      <c r="Z727" s="44"/>
      <c r="AA727" s="44" t="s">
        <v>2778</v>
      </c>
      <c r="AB727" s="44" t="s">
        <v>2779</v>
      </c>
    </row>
    <row r="728" spans="1:28" ht="15.75" hidden="1" customHeight="1">
      <c r="A728" s="44"/>
      <c r="B728" s="44"/>
      <c r="C728" s="44"/>
      <c r="D728" s="44"/>
      <c r="E728" s="44"/>
      <c r="F728" s="44"/>
      <c r="G728" s="48"/>
      <c r="H728" s="48"/>
      <c r="I728" s="48"/>
      <c r="J728" s="48"/>
      <c r="K728" s="48"/>
      <c r="L728" s="48"/>
      <c r="M728" s="48"/>
      <c r="N728" s="48"/>
      <c r="O728" s="44"/>
      <c r="P728" s="44"/>
      <c r="Q728" s="44"/>
      <c r="R728" s="44"/>
      <c r="S728" s="44"/>
      <c r="T728" s="44"/>
      <c r="U728" s="44"/>
      <c r="V728" s="44"/>
      <c r="W728" s="44"/>
      <c r="X728" s="44"/>
      <c r="Y728" s="44"/>
      <c r="Z728" s="44"/>
      <c r="AA728" s="44" t="s">
        <v>2780</v>
      </c>
      <c r="AB728" s="44" t="s">
        <v>2781</v>
      </c>
    </row>
    <row r="729" spans="1:28" ht="15.75" hidden="1" customHeight="1">
      <c r="A729" s="44"/>
      <c r="B729" s="44"/>
      <c r="C729" s="44"/>
      <c r="D729" s="44"/>
      <c r="E729" s="44"/>
      <c r="F729" s="44"/>
      <c r="G729" s="48"/>
      <c r="H729" s="48"/>
      <c r="I729" s="48"/>
      <c r="J729" s="48"/>
      <c r="K729" s="48"/>
      <c r="L729" s="48"/>
      <c r="M729" s="48"/>
      <c r="N729" s="48"/>
      <c r="O729" s="44"/>
      <c r="P729" s="44"/>
      <c r="Q729" s="44"/>
      <c r="R729" s="44"/>
      <c r="S729" s="44"/>
      <c r="T729" s="44"/>
      <c r="U729" s="44"/>
      <c r="V729" s="44"/>
      <c r="W729" s="44"/>
      <c r="X729" s="44"/>
      <c r="Y729" s="44"/>
      <c r="Z729" s="44"/>
      <c r="AA729" s="44" t="s">
        <v>2782</v>
      </c>
      <c r="AB729" s="44" t="s">
        <v>2783</v>
      </c>
    </row>
    <row r="730" spans="1:28" ht="15.75" hidden="1" customHeight="1">
      <c r="A730" s="44"/>
      <c r="B730" s="44"/>
      <c r="C730" s="44"/>
      <c r="D730" s="44"/>
      <c r="E730" s="44"/>
      <c r="F730" s="44"/>
      <c r="G730" s="48"/>
      <c r="H730" s="48"/>
      <c r="I730" s="48"/>
      <c r="J730" s="48"/>
      <c r="K730" s="48"/>
      <c r="L730" s="48"/>
      <c r="M730" s="48"/>
      <c r="N730" s="48"/>
      <c r="O730" s="44"/>
      <c r="P730" s="44"/>
      <c r="Q730" s="44"/>
      <c r="R730" s="44"/>
      <c r="S730" s="44"/>
      <c r="T730" s="44"/>
      <c r="U730" s="44"/>
      <c r="V730" s="44"/>
      <c r="W730" s="44"/>
      <c r="X730" s="44"/>
      <c r="Y730" s="44"/>
      <c r="Z730" s="44"/>
      <c r="AA730" s="44" t="s">
        <v>2784</v>
      </c>
      <c r="AB730" s="44" t="s">
        <v>2785</v>
      </c>
    </row>
    <row r="731" spans="1:28" ht="15.75" hidden="1" customHeight="1">
      <c r="A731" s="44"/>
      <c r="B731" s="44"/>
      <c r="C731" s="44"/>
      <c r="D731" s="44"/>
      <c r="E731" s="44"/>
      <c r="F731" s="44"/>
      <c r="G731" s="48"/>
      <c r="H731" s="48"/>
      <c r="I731" s="48"/>
      <c r="J731" s="48"/>
      <c r="K731" s="48"/>
      <c r="L731" s="48"/>
      <c r="M731" s="48"/>
      <c r="N731" s="48"/>
      <c r="O731" s="44"/>
      <c r="P731" s="44"/>
      <c r="Q731" s="44"/>
      <c r="R731" s="44"/>
      <c r="S731" s="44"/>
      <c r="T731" s="44"/>
      <c r="U731" s="44"/>
      <c r="V731" s="44"/>
      <c r="W731" s="44"/>
      <c r="X731" s="44"/>
      <c r="Y731" s="44"/>
      <c r="Z731" s="44"/>
      <c r="AA731" s="44" t="s">
        <v>2786</v>
      </c>
      <c r="AB731" s="44" t="s">
        <v>2787</v>
      </c>
    </row>
    <row r="732" spans="1:28" ht="15.75" hidden="1" customHeight="1">
      <c r="A732" s="44"/>
      <c r="B732" s="44"/>
      <c r="C732" s="44"/>
      <c r="D732" s="44"/>
      <c r="E732" s="44"/>
      <c r="F732" s="44"/>
      <c r="G732" s="48"/>
      <c r="H732" s="48"/>
      <c r="I732" s="48"/>
      <c r="J732" s="48"/>
      <c r="K732" s="48"/>
      <c r="L732" s="48"/>
      <c r="M732" s="48"/>
      <c r="N732" s="48"/>
      <c r="O732" s="44"/>
      <c r="P732" s="44"/>
      <c r="Q732" s="44"/>
      <c r="R732" s="44"/>
      <c r="S732" s="44"/>
      <c r="T732" s="44"/>
      <c r="U732" s="44"/>
      <c r="V732" s="44"/>
      <c r="W732" s="44"/>
      <c r="X732" s="44"/>
      <c r="Y732" s="44"/>
      <c r="Z732" s="44"/>
      <c r="AA732" s="44" t="s">
        <v>2788</v>
      </c>
      <c r="AB732" s="44" t="s">
        <v>2789</v>
      </c>
    </row>
    <row r="733" spans="1:28" ht="15.75" hidden="1" customHeight="1">
      <c r="A733" s="44"/>
      <c r="B733" s="44"/>
      <c r="C733" s="44"/>
      <c r="D733" s="44"/>
      <c r="E733" s="44"/>
      <c r="F733" s="44"/>
      <c r="G733" s="48"/>
      <c r="H733" s="48"/>
      <c r="I733" s="48"/>
      <c r="J733" s="48"/>
      <c r="K733" s="48"/>
      <c r="L733" s="48"/>
      <c r="M733" s="48"/>
      <c r="N733" s="48"/>
      <c r="O733" s="44"/>
      <c r="P733" s="44"/>
      <c r="Q733" s="44"/>
      <c r="R733" s="44"/>
      <c r="S733" s="44"/>
      <c r="T733" s="44"/>
      <c r="U733" s="44"/>
      <c r="V733" s="44"/>
      <c r="W733" s="44"/>
      <c r="X733" s="44"/>
      <c r="Y733" s="44"/>
      <c r="Z733" s="44"/>
      <c r="AA733" s="44" t="s">
        <v>2790</v>
      </c>
      <c r="AB733" s="44" t="s">
        <v>2791</v>
      </c>
    </row>
    <row r="734" spans="1:28" ht="15.75" hidden="1" customHeight="1">
      <c r="A734" s="44"/>
      <c r="B734" s="44"/>
      <c r="C734" s="44"/>
      <c r="D734" s="44"/>
      <c r="E734" s="44"/>
      <c r="F734" s="44"/>
      <c r="G734" s="48"/>
      <c r="H734" s="48"/>
      <c r="I734" s="48"/>
      <c r="J734" s="48"/>
      <c r="K734" s="48"/>
      <c r="L734" s="48"/>
      <c r="M734" s="48"/>
      <c r="N734" s="48"/>
      <c r="O734" s="44"/>
      <c r="P734" s="44"/>
      <c r="Q734" s="44"/>
      <c r="R734" s="44"/>
      <c r="S734" s="44"/>
      <c r="T734" s="44"/>
      <c r="U734" s="44"/>
      <c r="V734" s="44"/>
      <c r="W734" s="44"/>
      <c r="X734" s="44"/>
      <c r="Y734" s="44"/>
      <c r="Z734" s="44"/>
      <c r="AA734" s="44" t="s">
        <v>2792</v>
      </c>
      <c r="AB734" s="44" t="s">
        <v>2793</v>
      </c>
    </row>
    <row r="735" spans="1:28" ht="15.75" hidden="1" customHeight="1">
      <c r="A735" s="44"/>
      <c r="B735" s="44"/>
      <c r="C735" s="44"/>
      <c r="D735" s="44"/>
      <c r="E735" s="44"/>
      <c r="F735" s="44"/>
      <c r="G735" s="48"/>
      <c r="H735" s="48"/>
      <c r="I735" s="48"/>
      <c r="J735" s="48"/>
      <c r="K735" s="48"/>
      <c r="L735" s="48"/>
      <c r="M735" s="48"/>
      <c r="N735" s="48"/>
      <c r="O735" s="44"/>
      <c r="P735" s="44"/>
      <c r="Q735" s="44"/>
      <c r="R735" s="44"/>
      <c r="S735" s="44"/>
      <c r="T735" s="44"/>
      <c r="U735" s="44"/>
      <c r="V735" s="44"/>
      <c r="W735" s="44"/>
      <c r="X735" s="44"/>
      <c r="Y735" s="44"/>
      <c r="Z735" s="44"/>
      <c r="AA735" s="44" t="s">
        <v>2794</v>
      </c>
      <c r="AB735" s="44" t="s">
        <v>2795</v>
      </c>
    </row>
    <row r="736" spans="1:28" ht="15.75" hidden="1" customHeight="1">
      <c r="A736" s="44"/>
      <c r="B736" s="44"/>
      <c r="C736" s="44"/>
      <c r="D736" s="44"/>
      <c r="E736" s="44"/>
      <c r="F736" s="44"/>
      <c r="G736" s="48"/>
      <c r="H736" s="48"/>
      <c r="I736" s="48"/>
      <c r="J736" s="48"/>
      <c r="K736" s="48"/>
      <c r="L736" s="48"/>
      <c r="M736" s="48"/>
      <c r="N736" s="48"/>
      <c r="O736" s="44"/>
      <c r="P736" s="44"/>
      <c r="Q736" s="44"/>
      <c r="R736" s="44"/>
      <c r="S736" s="44"/>
      <c r="T736" s="44"/>
      <c r="U736" s="44"/>
      <c r="V736" s="44"/>
      <c r="W736" s="44"/>
      <c r="X736" s="44"/>
      <c r="Y736" s="44"/>
      <c r="Z736" s="44"/>
      <c r="AA736" s="44" t="s">
        <v>2796</v>
      </c>
      <c r="AB736" s="44" t="s">
        <v>2797</v>
      </c>
    </row>
    <row r="737" spans="1:28" ht="15.75" hidden="1" customHeight="1">
      <c r="A737" s="44"/>
      <c r="B737" s="44"/>
      <c r="C737" s="44"/>
      <c r="D737" s="44"/>
      <c r="E737" s="44"/>
      <c r="F737" s="44"/>
      <c r="G737" s="48"/>
      <c r="H737" s="48"/>
      <c r="I737" s="48"/>
      <c r="J737" s="48"/>
      <c r="K737" s="48"/>
      <c r="L737" s="48"/>
      <c r="M737" s="48"/>
      <c r="N737" s="48"/>
      <c r="O737" s="44"/>
      <c r="P737" s="44"/>
      <c r="Q737" s="44"/>
      <c r="R737" s="44"/>
      <c r="S737" s="44"/>
      <c r="T737" s="44"/>
      <c r="U737" s="44"/>
      <c r="V737" s="44"/>
      <c r="W737" s="44"/>
      <c r="X737" s="44"/>
      <c r="Y737" s="44"/>
      <c r="Z737" s="44"/>
      <c r="AA737" s="44" t="s">
        <v>2798</v>
      </c>
      <c r="AB737" s="44" t="s">
        <v>2799</v>
      </c>
    </row>
    <row r="738" spans="1:28" ht="15.75" hidden="1" customHeight="1">
      <c r="A738" s="44"/>
      <c r="B738" s="44"/>
      <c r="C738" s="44"/>
      <c r="D738" s="44"/>
      <c r="E738" s="44"/>
      <c r="F738" s="44"/>
      <c r="G738" s="48"/>
      <c r="H738" s="48"/>
      <c r="I738" s="48"/>
      <c r="J738" s="48"/>
      <c r="K738" s="48"/>
      <c r="L738" s="48"/>
      <c r="M738" s="48"/>
      <c r="N738" s="48"/>
      <c r="O738" s="44"/>
      <c r="P738" s="44"/>
      <c r="Q738" s="44"/>
      <c r="R738" s="44"/>
      <c r="S738" s="44"/>
      <c r="T738" s="44"/>
      <c r="U738" s="44"/>
      <c r="V738" s="44"/>
      <c r="W738" s="44"/>
      <c r="X738" s="44"/>
      <c r="Y738" s="44"/>
      <c r="Z738" s="44"/>
      <c r="AA738" s="44" t="s">
        <v>2800</v>
      </c>
      <c r="AB738" s="44" t="s">
        <v>2801</v>
      </c>
    </row>
    <row r="739" spans="1:28" ht="15.75" hidden="1" customHeight="1">
      <c r="A739" s="44"/>
      <c r="B739" s="44"/>
      <c r="C739" s="44"/>
      <c r="D739" s="44"/>
      <c r="E739" s="44"/>
      <c r="F739" s="44"/>
      <c r="G739" s="48"/>
      <c r="H739" s="48"/>
      <c r="I739" s="48"/>
      <c r="J739" s="48"/>
      <c r="K739" s="48"/>
      <c r="L739" s="48"/>
      <c r="M739" s="48"/>
      <c r="N739" s="48"/>
      <c r="O739" s="44"/>
      <c r="P739" s="44"/>
      <c r="Q739" s="44"/>
      <c r="R739" s="44"/>
      <c r="S739" s="44"/>
      <c r="T739" s="44"/>
      <c r="U739" s="44"/>
      <c r="V739" s="44"/>
      <c r="W739" s="44"/>
      <c r="X739" s="44"/>
      <c r="Y739" s="44"/>
      <c r="Z739" s="44"/>
      <c r="AA739" s="44" t="s">
        <v>2802</v>
      </c>
      <c r="AB739" s="44" t="s">
        <v>2803</v>
      </c>
    </row>
    <row r="740" spans="1:28" ht="15.75" hidden="1" customHeight="1">
      <c r="A740" s="44"/>
      <c r="B740" s="44"/>
      <c r="C740" s="44"/>
      <c r="D740" s="44"/>
      <c r="E740" s="44"/>
      <c r="F740" s="44"/>
      <c r="G740" s="48"/>
      <c r="H740" s="48"/>
      <c r="I740" s="48"/>
      <c r="J740" s="48"/>
      <c r="K740" s="48"/>
      <c r="L740" s="48"/>
      <c r="M740" s="48"/>
      <c r="N740" s="48"/>
      <c r="O740" s="44"/>
      <c r="P740" s="44"/>
      <c r="Q740" s="44"/>
      <c r="R740" s="44"/>
      <c r="S740" s="44"/>
      <c r="T740" s="44"/>
      <c r="U740" s="44"/>
      <c r="V740" s="44"/>
      <c r="W740" s="44"/>
      <c r="X740" s="44"/>
      <c r="Y740" s="44"/>
      <c r="Z740" s="44"/>
      <c r="AA740" s="44" t="s">
        <v>2804</v>
      </c>
      <c r="AB740" s="44" t="s">
        <v>2805</v>
      </c>
    </row>
    <row r="741" spans="1:28" ht="15.75" hidden="1" customHeight="1">
      <c r="A741" s="44"/>
      <c r="B741" s="44"/>
      <c r="C741" s="44"/>
      <c r="D741" s="44"/>
      <c r="E741" s="44"/>
      <c r="F741" s="44"/>
      <c r="G741" s="48"/>
      <c r="H741" s="48"/>
      <c r="I741" s="48"/>
      <c r="J741" s="48"/>
      <c r="K741" s="48"/>
      <c r="L741" s="48"/>
      <c r="M741" s="48"/>
      <c r="N741" s="48"/>
      <c r="O741" s="44"/>
      <c r="P741" s="44"/>
      <c r="Q741" s="44"/>
      <c r="R741" s="44"/>
      <c r="S741" s="44"/>
      <c r="T741" s="44"/>
      <c r="U741" s="44"/>
      <c r="V741" s="44"/>
      <c r="W741" s="44"/>
      <c r="X741" s="44"/>
      <c r="Y741" s="44"/>
      <c r="Z741" s="44"/>
      <c r="AA741" s="44" t="s">
        <v>2806</v>
      </c>
      <c r="AB741" s="44" t="s">
        <v>2807</v>
      </c>
    </row>
    <row r="742" spans="1:28" ht="15.75" hidden="1" customHeight="1">
      <c r="A742" s="44"/>
      <c r="B742" s="44"/>
      <c r="C742" s="44"/>
      <c r="D742" s="44"/>
      <c r="E742" s="44"/>
      <c r="F742" s="44"/>
      <c r="G742" s="48"/>
      <c r="H742" s="48"/>
      <c r="I742" s="48"/>
      <c r="J742" s="48"/>
      <c r="K742" s="48"/>
      <c r="L742" s="48"/>
      <c r="M742" s="48"/>
      <c r="N742" s="48"/>
      <c r="O742" s="44"/>
      <c r="P742" s="44"/>
      <c r="Q742" s="44"/>
      <c r="R742" s="44"/>
      <c r="S742" s="44"/>
      <c r="T742" s="44"/>
      <c r="U742" s="44"/>
      <c r="V742" s="44"/>
      <c r="W742" s="44"/>
      <c r="X742" s="44"/>
      <c r="Y742" s="44"/>
      <c r="Z742" s="44"/>
      <c r="AA742" s="44" t="s">
        <v>2808</v>
      </c>
      <c r="AB742" s="44" t="s">
        <v>2809</v>
      </c>
    </row>
    <row r="743" spans="1:28" ht="15.75" hidden="1" customHeight="1">
      <c r="A743" s="44"/>
      <c r="B743" s="44"/>
      <c r="C743" s="44"/>
      <c r="D743" s="44"/>
      <c r="E743" s="44"/>
      <c r="F743" s="44"/>
      <c r="G743" s="48"/>
      <c r="H743" s="48"/>
      <c r="I743" s="48"/>
      <c r="J743" s="48"/>
      <c r="K743" s="48"/>
      <c r="L743" s="48"/>
      <c r="M743" s="48"/>
      <c r="N743" s="48"/>
      <c r="O743" s="44"/>
      <c r="P743" s="44"/>
      <c r="Q743" s="44"/>
      <c r="R743" s="44"/>
      <c r="S743" s="44"/>
      <c r="T743" s="44"/>
      <c r="U743" s="44"/>
      <c r="V743" s="44"/>
      <c r="W743" s="44"/>
      <c r="X743" s="44"/>
      <c r="Y743" s="44"/>
      <c r="Z743" s="44"/>
      <c r="AA743" s="44" t="s">
        <v>2810</v>
      </c>
      <c r="AB743" s="44" t="s">
        <v>2811</v>
      </c>
    </row>
    <row r="744" spans="1:28" ht="15.75" hidden="1" customHeight="1">
      <c r="A744" s="44"/>
      <c r="B744" s="44"/>
      <c r="C744" s="44"/>
      <c r="D744" s="44"/>
      <c r="E744" s="44"/>
      <c r="F744" s="44"/>
      <c r="G744" s="48"/>
      <c r="H744" s="48"/>
      <c r="I744" s="48"/>
      <c r="J744" s="48"/>
      <c r="K744" s="48"/>
      <c r="L744" s="48"/>
      <c r="M744" s="48"/>
      <c r="N744" s="48"/>
      <c r="O744" s="44"/>
      <c r="P744" s="44"/>
      <c r="Q744" s="44"/>
      <c r="R744" s="44"/>
      <c r="S744" s="44"/>
      <c r="T744" s="44"/>
      <c r="U744" s="44"/>
      <c r="V744" s="44"/>
      <c r="W744" s="44"/>
      <c r="X744" s="44"/>
      <c r="Y744" s="44"/>
      <c r="Z744" s="44"/>
      <c r="AA744" s="44" t="s">
        <v>2812</v>
      </c>
      <c r="AB744" s="44" t="s">
        <v>2813</v>
      </c>
    </row>
    <row r="745" spans="1:28" ht="15.75" hidden="1" customHeight="1">
      <c r="A745" s="44"/>
      <c r="B745" s="44"/>
      <c r="C745" s="44"/>
      <c r="D745" s="44"/>
      <c r="E745" s="44"/>
      <c r="F745" s="44"/>
      <c r="G745" s="48"/>
      <c r="H745" s="48"/>
      <c r="I745" s="48"/>
      <c r="J745" s="48"/>
      <c r="K745" s="48"/>
      <c r="L745" s="48"/>
      <c r="M745" s="48"/>
      <c r="N745" s="48"/>
      <c r="O745" s="44"/>
      <c r="P745" s="44"/>
      <c r="Q745" s="44"/>
      <c r="R745" s="44"/>
      <c r="S745" s="44"/>
      <c r="T745" s="44"/>
      <c r="U745" s="44"/>
      <c r="V745" s="44"/>
      <c r="W745" s="44"/>
      <c r="X745" s="44"/>
      <c r="Y745" s="44"/>
      <c r="Z745" s="44"/>
      <c r="AA745" s="44" t="s">
        <v>2814</v>
      </c>
      <c r="AB745" s="44" t="s">
        <v>2815</v>
      </c>
    </row>
    <row r="746" spans="1:28" ht="15.75" hidden="1" customHeight="1">
      <c r="A746" s="44"/>
      <c r="B746" s="44"/>
      <c r="C746" s="44"/>
      <c r="D746" s="44"/>
      <c r="E746" s="44"/>
      <c r="F746" s="44"/>
      <c r="G746" s="48"/>
      <c r="H746" s="48"/>
      <c r="I746" s="48"/>
      <c r="J746" s="48"/>
      <c r="K746" s="48"/>
      <c r="L746" s="48"/>
      <c r="M746" s="48"/>
      <c r="N746" s="48"/>
      <c r="O746" s="44"/>
      <c r="P746" s="44"/>
      <c r="Q746" s="44"/>
      <c r="R746" s="44"/>
      <c r="S746" s="44"/>
      <c r="T746" s="44"/>
      <c r="U746" s="44"/>
      <c r="V746" s="44"/>
      <c r="W746" s="44"/>
      <c r="X746" s="44"/>
      <c r="Y746" s="44"/>
      <c r="Z746" s="44"/>
      <c r="AA746" s="44" t="s">
        <v>2816</v>
      </c>
      <c r="AB746" s="44" t="s">
        <v>2817</v>
      </c>
    </row>
    <row r="747" spans="1:28" ht="15.75" hidden="1" customHeight="1">
      <c r="A747" s="44"/>
      <c r="B747" s="44"/>
      <c r="C747" s="44"/>
      <c r="D747" s="44"/>
      <c r="E747" s="44"/>
      <c r="F747" s="44"/>
      <c r="G747" s="48"/>
      <c r="H747" s="48"/>
      <c r="I747" s="48"/>
      <c r="J747" s="48"/>
      <c r="K747" s="48"/>
      <c r="L747" s="48"/>
      <c r="M747" s="48"/>
      <c r="N747" s="48"/>
      <c r="O747" s="44"/>
      <c r="P747" s="44"/>
      <c r="Q747" s="44"/>
      <c r="R747" s="44"/>
      <c r="S747" s="44"/>
      <c r="T747" s="44"/>
      <c r="U747" s="44"/>
      <c r="V747" s="44"/>
      <c r="W747" s="44"/>
      <c r="X747" s="44"/>
      <c r="Y747" s="44"/>
      <c r="Z747" s="44"/>
      <c r="AA747" s="44" t="s">
        <v>2818</v>
      </c>
      <c r="AB747" s="44" t="s">
        <v>2819</v>
      </c>
    </row>
    <row r="748" spans="1:28" ht="15.75" hidden="1" customHeight="1">
      <c r="A748" s="44"/>
      <c r="B748" s="44"/>
      <c r="C748" s="44"/>
      <c r="D748" s="44"/>
      <c r="E748" s="44"/>
      <c r="F748" s="44"/>
      <c r="G748" s="48"/>
      <c r="H748" s="48"/>
      <c r="I748" s="48"/>
      <c r="J748" s="48"/>
      <c r="K748" s="48"/>
      <c r="L748" s="48"/>
      <c r="M748" s="48"/>
      <c r="N748" s="48"/>
      <c r="O748" s="44"/>
      <c r="P748" s="44"/>
      <c r="Q748" s="44"/>
      <c r="R748" s="44"/>
      <c r="S748" s="44"/>
      <c r="T748" s="44"/>
      <c r="U748" s="44"/>
      <c r="V748" s="44"/>
      <c r="W748" s="44"/>
      <c r="X748" s="44"/>
      <c r="Y748" s="44"/>
      <c r="Z748" s="44"/>
      <c r="AA748" s="44" t="s">
        <v>2820</v>
      </c>
      <c r="AB748" s="44" t="s">
        <v>2821</v>
      </c>
    </row>
    <row r="749" spans="1:28" ht="15.75" hidden="1" customHeight="1">
      <c r="A749" s="44"/>
      <c r="B749" s="44"/>
      <c r="C749" s="44"/>
      <c r="D749" s="44"/>
      <c r="E749" s="44"/>
      <c r="F749" s="44"/>
      <c r="G749" s="48"/>
      <c r="H749" s="48"/>
      <c r="I749" s="48"/>
      <c r="J749" s="48"/>
      <c r="K749" s="48"/>
      <c r="L749" s="48"/>
      <c r="M749" s="48"/>
      <c r="N749" s="48"/>
      <c r="O749" s="44"/>
      <c r="P749" s="44"/>
      <c r="Q749" s="44"/>
      <c r="R749" s="44"/>
      <c r="S749" s="44"/>
      <c r="T749" s="44"/>
      <c r="U749" s="44"/>
      <c r="V749" s="44"/>
      <c r="W749" s="44"/>
      <c r="X749" s="44"/>
      <c r="Y749" s="44"/>
      <c r="Z749" s="44"/>
      <c r="AA749" s="44" t="s">
        <v>2822</v>
      </c>
      <c r="AB749" s="44" t="s">
        <v>2823</v>
      </c>
    </row>
    <row r="750" spans="1:28" ht="15.75" hidden="1" customHeight="1">
      <c r="A750" s="44"/>
      <c r="B750" s="44"/>
      <c r="C750" s="44"/>
      <c r="D750" s="44"/>
      <c r="E750" s="44"/>
      <c r="F750" s="44"/>
      <c r="G750" s="48"/>
      <c r="H750" s="48"/>
      <c r="I750" s="48"/>
      <c r="J750" s="48"/>
      <c r="K750" s="48"/>
      <c r="L750" s="48"/>
      <c r="M750" s="48"/>
      <c r="N750" s="48"/>
      <c r="O750" s="44"/>
      <c r="P750" s="44"/>
      <c r="Q750" s="44"/>
      <c r="R750" s="44"/>
      <c r="S750" s="44"/>
      <c r="T750" s="44"/>
      <c r="U750" s="44"/>
      <c r="V750" s="44"/>
      <c r="W750" s="44"/>
      <c r="X750" s="44"/>
      <c r="Y750" s="44"/>
      <c r="Z750" s="44"/>
      <c r="AA750" s="44" t="s">
        <v>2824</v>
      </c>
      <c r="AB750" s="44" t="s">
        <v>2825</v>
      </c>
    </row>
    <row r="751" spans="1:28" ht="15.75" hidden="1" customHeight="1">
      <c r="A751" s="44"/>
      <c r="B751" s="44"/>
      <c r="C751" s="44"/>
      <c r="D751" s="44"/>
      <c r="E751" s="44"/>
      <c r="F751" s="44"/>
      <c r="G751" s="48"/>
      <c r="H751" s="48"/>
      <c r="I751" s="48"/>
      <c r="J751" s="48"/>
      <c r="K751" s="48"/>
      <c r="L751" s="48"/>
      <c r="M751" s="48"/>
      <c r="N751" s="48"/>
      <c r="O751" s="44"/>
      <c r="P751" s="44"/>
      <c r="Q751" s="44"/>
      <c r="R751" s="44"/>
      <c r="S751" s="44"/>
      <c r="T751" s="44"/>
      <c r="U751" s="44"/>
      <c r="V751" s="44"/>
      <c r="W751" s="44"/>
      <c r="X751" s="44"/>
      <c r="Y751" s="44"/>
      <c r="Z751" s="44"/>
      <c r="AA751" s="44" t="s">
        <v>2826</v>
      </c>
      <c r="AB751" s="44" t="s">
        <v>2827</v>
      </c>
    </row>
    <row r="752" spans="1:28" ht="15.75" hidden="1" customHeight="1">
      <c r="A752" s="44"/>
      <c r="B752" s="44"/>
      <c r="C752" s="44"/>
      <c r="D752" s="44"/>
      <c r="E752" s="44"/>
      <c r="F752" s="44"/>
      <c r="G752" s="48"/>
      <c r="H752" s="48"/>
      <c r="I752" s="48"/>
      <c r="J752" s="48"/>
      <c r="K752" s="48"/>
      <c r="L752" s="48"/>
      <c r="M752" s="48"/>
      <c r="N752" s="48"/>
      <c r="O752" s="44"/>
      <c r="P752" s="44"/>
      <c r="Q752" s="44"/>
      <c r="R752" s="44"/>
      <c r="S752" s="44"/>
      <c r="T752" s="44"/>
      <c r="U752" s="44"/>
      <c r="V752" s="44"/>
      <c r="W752" s="44"/>
      <c r="X752" s="44"/>
      <c r="Y752" s="44"/>
      <c r="Z752" s="44"/>
      <c r="AA752" s="44" t="s">
        <v>2828</v>
      </c>
      <c r="AB752" s="44" t="s">
        <v>2829</v>
      </c>
    </row>
    <row r="753" spans="1:28" ht="15.75" hidden="1" customHeight="1">
      <c r="A753" s="44"/>
      <c r="B753" s="44"/>
      <c r="C753" s="44"/>
      <c r="D753" s="44"/>
      <c r="E753" s="44"/>
      <c r="F753" s="44"/>
      <c r="G753" s="48"/>
      <c r="H753" s="48"/>
      <c r="I753" s="48"/>
      <c r="J753" s="48"/>
      <c r="K753" s="48"/>
      <c r="L753" s="48"/>
      <c r="M753" s="48"/>
      <c r="N753" s="48"/>
      <c r="O753" s="44"/>
      <c r="P753" s="44"/>
      <c r="Q753" s="44"/>
      <c r="R753" s="44"/>
      <c r="S753" s="44"/>
      <c r="T753" s="44"/>
      <c r="U753" s="44"/>
      <c r="V753" s="44"/>
      <c r="W753" s="44"/>
      <c r="X753" s="44"/>
      <c r="Y753" s="44"/>
      <c r="Z753" s="44"/>
      <c r="AA753" s="44" t="s">
        <v>2830</v>
      </c>
      <c r="AB753" s="44" t="s">
        <v>2831</v>
      </c>
    </row>
    <row r="754" spans="1:28" ht="15.75" hidden="1" customHeight="1">
      <c r="A754" s="44"/>
      <c r="B754" s="44"/>
      <c r="C754" s="44"/>
      <c r="D754" s="44"/>
      <c r="E754" s="44"/>
      <c r="F754" s="44"/>
      <c r="G754" s="48"/>
      <c r="H754" s="48"/>
      <c r="I754" s="48"/>
      <c r="J754" s="48"/>
      <c r="K754" s="48"/>
      <c r="L754" s="48"/>
      <c r="M754" s="48"/>
      <c r="N754" s="48"/>
      <c r="O754" s="44"/>
      <c r="P754" s="44"/>
      <c r="Q754" s="44"/>
      <c r="R754" s="44"/>
      <c r="S754" s="44"/>
      <c r="T754" s="44"/>
      <c r="U754" s="44"/>
      <c r="V754" s="44"/>
      <c r="W754" s="44"/>
      <c r="X754" s="44"/>
      <c r="Y754" s="44"/>
      <c r="Z754" s="44"/>
      <c r="AA754" s="44" t="s">
        <v>2832</v>
      </c>
      <c r="AB754" s="44" t="s">
        <v>2833</v>
      </c>
    </row>
    <row r="755" spans="1:28" ht="15.75" hidden="1" customHeight="1">
      <c r="A755" s="44"/>
      <c r="B755" s="44"/>
      <c r="C755" s="44"/>
      <c r="D755" s="44"/>
      <c r="E755" s="44"/>
      <c r="F755" s="44"/>
      <c r="G755" s="48"/>
      <c r="H755" s="48"/>
      <c r="I755" s="48"/>
      <c r="J755" s="48"/>
      <c r="K755" s="48"/>
      <c r="L755" s="48"/>
      <c r="M755" s="48"/>
      <c r="N755" s="48"/>
      <c r="O755" s="44"/>
      <c r="P755" s="44"/>
      <c r="Q755" s="44"/>
      <c r="R755" s="44"/>
      <c r="S755" s="44"/>
      <c r="T755" s="44"/>
      <c r="U755" s="44"/>
      <c r="V755" s="44"/>
      <c r="W755" s="44"/>
      <c r="X755" s="44"/>
      <c r="Y755" s="44"/>
      <c r="Z755" s="44"/>
      <c r="AA755" s="44" t="s">
        <v>2834</v>
      </c>
      <c r="AB755" s="44" t="s">
        <v>2835</v>
      </c>
    </row>
    <row r="756" spans="1:28" ht="15.75" hidden="1" customHeight="1">
      <c r="A756" s="44"/>
      <c r="B756" s="44"/>
      <c r="C756" s="44"/>
      <c r="D756" s="44"/>
      <c r="E756" s="44"/>
      <c r="F756" s="44"/>
      <c r="G756" s="48"/>
      <c r="H756" s="48"/>
      <c r="I756" s="48"/>
      <c r="J756" s="48"/>
      <c r="K756" s="48"/>
      <c r="L756" s="48"/>
      <c r="M756" s="48"/>
      <c r="N756" s="48"/>
      <c r="O756" s="44"/>
      <c r="P756" s="44"/>
      <c r="Q756" s="44"/>
      <c r="R756" s="44"/>
      <c r="S756" s="44"/>
      <c r="T756" s="44"/>
      <c r="U756" s="44"/>
      <c r="V756" s="44"/>
      <c r="W756" s="44"/>
      <c r="X756" s="44"/>
      <c r="Y756" s="44"/>
      <c r="Z756" s="44"/>
      <c r="AA756" s="44" t="s">
        <v>2836</v>
      </c>
      <c r="AB756" s="44" t="s">
        <v>2837</v>
      </c>
    </row>
    <row r="757" spans="1:28" ht="15.75" hidden="1" customHeight="1">
      <c r="A757" s="44"/>
      <c r="B757" s="44"/>
      <c r="C757" s="44"/>
      <c r="D757" s="44"/>
      <c r="E757" s="44"/>
      <c r="F757" s="44"/>
      <c r="G757" s="48"/>
      <c r="H757" s="48"/>
      <c r="I757" s="48"/>
      <c r="J757" s="48"/>
      <c r="K757" s="48"/>
      <c r="L757" s="48"/>
      <c r="M757" s="48"/>
      <c r="N757" s="48"/>
      <c r="O757" s="44"/>
      <c r="P757" s="44"/>
      <c r="Q757" s="44"/>
      <c r="R757" s="44"/>
      <c r="S757" s="44"/>
      <c r="T757" s="44"/>
      <c r="U757" s="44"/>
      <c r="V757" s="44"/>
      <c r="W757" s="44"/>
      <c r="X757" s="44"/>
      <c r="Y757" s="44"/>
      <c r="Z757" s="44"/>
      <c r="AA757" s="44" t="s">
        <v>2838</v>
      </c>
      <c r="AB757" s="44" t="s">
        <v>2839</v>
      </c>
    </row>
    <row r="758" spans="1:28" ht="15.75" hidden="1" customHeight="1">
      <c r="A758" s="44"/>
      <c r="B758" s="44"/>
      <c r="C758" s="44"/>
      <c r="D758" s="44"/>
      <c r="E758" s="44"/>
      <c r="F758" s="44"/>
      <c r="G758" s="48"/>
      <c r="H758" s="48"/>
      <c r="I758" s="48"/>
      <c r="J758" s="48"/>
      <c r="K758" s="48"/>
      <c r="L758" s="48"/>
      <c r="M758" s="48"/>
      <c r="N758" s="48"/>
      <c r="O758" s="44"/>
      <c r="P758" s="44"/>
      <c r="Q758" s="44"/>
      <c r="R758" s="44"/>
      <c r="S758" s="44"/>
      <c r="T758" s="44"/>
      <c r="U758" s="44"/>
      <c r="V758" s="44"/>
      <c r="W758" s="44"/>
      <c r="X758" s="44"/>
      <c r="Y758" s="44"/>
      <c r="Z758" s="44"/>
      <c r="AA758" s="44" t="s">
        <v>2840</v>
      </c>
      <c r="AB758" s="44" t="s">
        <v>2841</v>
      </c>
    </row>
    <row r="759" spans="1:28" ht="15.75" hidden="1" customHeight="1">
      <c r="A759" s="44"/>
      <c r="B759" s="44"/>
      <c r="C759" s="44"/>
      <c r="D759" s="44"/>
      <c r="E759" s="44"/>
      <c r="F759" s="44"/>
      <c r="G759" s="48"/>
      <c r="H759" s="48"/>
      <c r="I759" s="48"/>
      <c r="J759" s="48"/>
      <c r="K759" s="48"/>
      <c r="L759" s="48"/>
      <c r="M759" s="48"/>
      <c r="N759" s="48"/>
      <c r="O759" s="44"/>
      <c r="P759" s="44"/>
      <c r="Q759" s="44"/>
      <c r="R759" s="44"/>
      <c r="S759" s="44"/>
      <c r="T759" s="44"/>
      <c r="U759" s="44"/>
      <c r="V759" s="44"/>
      <c r="W759" s="44"/>
      <c r="X759" s="44"/>
      <c r="Y759" s="44"/>
      <c r="Z759" s="44"/>
      <c r="AA759" s="44" t="s">
        <v>2842</v>
      </c>
      <c r="AB759" s="44" t="s">
        <v>2843</v>
      </c>
    </row>
    <row r="760" spans="1:28" ht="15.75" hidden="1" customHeight="1">
      <c r="A760" s="44"/>
      <c r="B760" s="44"/>
      <c r="C760" s="44"/>
      <c r="D760" s="44"/>
      <c r="E760" s="44"/>
      <c r="F760" s="44"/>
      <c r="G760" s="48"/>
      <c r="H760" s="48"/>
      <c r="I760" s="48"/>
      <c r="J760" s="48"/>
      <c r="K760" s="48"/>
      <c r="L760" s="48"/>
      <c r="M760" s="48"/>
      <c r="N760" s="48"/>
      <c r="O760" s="44"/>
      <c r="P760" s="44"/>
      <c r="Q760" s="44"/>
      <c r="R760" s="44"/>
      <c r="S760" s="44"/>
      <c r="T760" s="44"/>
      <c r="U760" s="44"/>
      <c r="V760" s="44"/>
      <c r="W760" s="44"/>
      <c r="X760" s="44"/>
      <c r="Y760" s="44"/>
      <c r="Z760" s="44"/>
      <c r="AA760" s="44" t="s">
        <v>2844</v>
      </c>
      <c r="AB760" s="44" t="s">
        <v>2845</v>
      </c>
    </row>
    <row r="761" spans="1:28" ht="15.75" hidden="1" customHeight="1">
      <c r="A761" s="44"/>
      <c r="B761" s="44"/>
      <c r="C761" s="44"/>
      <c r="D761" s="44"/>
      <c r="E761" s="44"/>
      <c r="F761" s="44"/>
      <c r="G761" s="48"/>
      <c r="H761" s="48"/>
      <c r="I761" s="48"/>
      <c r="J761" s="48"/>
      <c r="K761" s="48"/>
      <c r="L761" s="48"/>
      <c r="M761" s="48"/>
      <c r="N761" s="48"/>
      <c r="O761" s="44"/>
      <c r="P761" s="44"/>
      <c r="Q761" s="44"/>
      <c r="R761" s="44"/>
      <c r="S761" s="44"/>
      <c r="T761" s="44"/>
      <c r="U761" s="44"/>
      <c r="V761" s="44"/>
      <c r="W761" s="44"/>
      <c r="X761" s="44"/>
      <c r="Y761" s="44"/>
      <c r="Z761" s="44"/>
      <c r="AA761" s="44" t="s">
        <v>2846</v>
      </c>
      <c r="AB761" s="44" t="s">
        <v>2847</v>
      </c>
    </row>
    <row r="762" spans="1:28" ht="15.75" hidden="1" customHeight="1">
      <c r="A762" s="44"/>
      <c r="B762" s="44"/>
      <c r="C762" s="44"/>
      <c r="D762" s="44"/>
      <c r="E762" s="44"/>
      <c r="F762" s="44"/>
      <c r="G762" s="48"/>
      <c r="H762" s="48"/>
      <c r="I762" s="48"/>
      <c r="J762" s="48"/>
      <c r="K762" s="48"/>
      <c r="L762" s="48"/>
      <c r="M762" s="48"/>
      <c r="N762" s="48"/>
      <c r="O762" s="44"/>
      <c r="P762" s="44"/>
      <c r="Q762" s="44"/>
      <c r="R762" s="44"/>
      <c r="S762" s="44"/>
      <c r="T762" s="44"/>
      <c r="U762" s="44"/>
      <c r="V762" s="44"/>
      <c r="W762" s="44"/>
      <c r="X762" s="44"/>
      <c r="Y762" s="44"/>
      <c r="Z762" s="44"/>
      <c r="AA762" s="44" t="s">
        <v>2848</v>
      </c>
      <c r="AB762" s="44" t="s">
        <v>2849</v>
      </c>
    </row>
    <row r="763" spans="1:28" ht="15.75" hidden="1" customHeight="1">
      <c r="A763" s="44"/>
      <c r="B763" s="44"/>
      <c r="C763" s="44"/>
      <c r="D763" s="44"/>
      <c r="E763" s="44"/>
      <c r="F763" s="44"/>
      <c r="G763" s="48"/>
      <c r="H763" s="48"/>
      <c r="I763" s="48"/>
      <c r="J763" s="48"/>
      <c r="K763" s="48"/>
      <c r="L763" s="48"/>
      <c r="M763" s="48"/>
      <c r="N763" s="48"/>
      <c r="O763" s="44"/>
      <c r="P763" s="44"/>
      <c r="Q763" s="44"/>
      <c r="R763" s="44"/>
      <c r="S763" s="44"/>
      <c r="T763" s="44"/>
      <c r="U763" s="44"/>
      <c r="V763" s="44"/>
      <c r="W763" s="44"/>
      <c r="X763" s="44"/>
      <c r="Y763" s="44"/>
      <c r="Z763" s="44"/>
      <c r="AA763" s="44" t="s">
        <v>2850</v>
      </c>
      <c r="AB763" s="44" t="s">
        <v>2851</v>
      </c>
    </row>
    <row r="764" spans="1:28" ht="15.75" hidden="1" customHeight="1">
      <c r="A764" s="44"/>
      <c r="B764" s="44"/>
      <c r="C764" s="44"/>
      <c r="D764" s="44"/>
      <c r="E764" s="44"/>
      <c r="F764" s="44"/>
      <c r="G764" s="48"/>
      <c r="H764" s="48"/>
      <c r="I764" s="48"/>
      <c r="J764" s="48"/>
      <c r="K764" s="48"/>
      <c r="L764" s="48"/>
      <c r="M764" s="48"/>
      <c r="N764" s="48"/>
      <c r="O764" s="44"/>
      <c r="P764" s="44"/>
      <c r="Q764" s="44"/>
      <c r="R764" s="44"/>
      <c r="S764" s="44"/>
      <c r="T764" s="44"/>
      <c r="U764" s="44"/>
      <c r="V764" s="44"/>
      <c r="W764" s="44"/>
      <c r="X764" s="44"/>
      <c r="Y764" s="44"/>
      <c r="Z764" s="44"/>
      <c r="AA764" s="44" t="s">
        <v>2852</v>
      </c>
      <c r="AB764" s="44" t="s">
        <v>2853</v>
      </c>
    </row>
    <row r="765" spans="1:28" ht="15.75" hidden="1" customHeight="1">
      <c r="A765" s="44"/>
      <c r="B765" s="44"/>
      <c r="C765" s="44"/>
      <c r="D765" s="44"/>
      <c r="E765" s="44"/>
      <c r="F765" s="44"/>
      <c r="G765" s="48"/>
      <c r="H765" s="48"/>
      <c r="I765" s="48"/>
      <c r="J765" s="48"/>
      <c r="K765" s="48"/>
      <c r="L765" s="48"/>
      <c r="M765" s="48"/>
      <c r="N765" s="48"/>
      <c r="O765" s="44"/>
      <c r="P765" s="44"/>
      <c r="Q765" s="44"/>
      <c r="R765" s="44"/>
      <c r="S765" s="44"/>
      <c r="T765" s="44"/>
      <c r="U765" s="44"/>
      <c r="V765" s="44"/>
      <c r="W765" s="44"/>
      <c r="X765" s="44"/>
      <c r="Y765" s="44"/>
      <c r="Z765" s="44"/>
      <c r="AA765" s="44" t="s">
        <v>2854</v>
      </c>
      <c r="AB765" s="44" t="s">
        <v>2855</v>
      </c>
    </row>
    <row r="766" spans="1:28" ht="15.75" hidden="1" customHeight="1">
      <c r="A766" s="44"/>
      <c r="B766" s="44"/>
      <c r="C766" s="44"/>
      <c r="D766" s="44"/>
      <c r="E766" s="44"/>
      <c r="F766" s="44"/>
      <c r="G766" s="48"/>
      <c r="H766" s="48"/>
      <c r="I766" s="48"/>
      <c r="J766" s="48"/>
      <c r="K766" s="48"/>
      <c r="L766" s="48"/>
      <c r="M766" s="48"/>
      <c r="N766" s="48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4"/>
      <c r="Z766" s="44"/>
      <c r="AA766" s="44" t="s">
        <v>2856</v>
      </c>
      <c r="AB766" s="44" t="s">
        <v>2857</v>
      </c>
    </row>
    <row r="767" spans="1:28" ht="15.75" hidden="1" customHeight="1">
      <c r="A767" s="44"/>
      <c r="B767" s="44"/>
      <c r="C767" s="44"/>
      <c r="D767" s="44"/>
      <c r="E767" s="44"/>
      <c r="F767" s="44"/>
      <c r="G767" s="48"/>
      <c r="H767" s="48"/>
      <c r="I767" s="48"/>
      <c r="J767" s="48"/>
      <c r="K767" s="48"/>
      <c r="L767" s="48"/>
      <c r="M767" s="48"/>
      <c r="N767" s="48"/>
      <c r="O767" s="44"/>
      <c r="P767" s="44"/>
      <c r="Q767" s="44"/>
      <c r="R767" s="44"/>
      <c r="S767" s="44"/>
      <c r="T767" s="44"/>
      <c r="U767" s="44"/>
      <c r="V767" s="44"/>
      <c r="W767" s="44"/>
      <c r="X767" s="44"/>
      <c r="Y767" s="44"/>
      <c r="Z767" s="44"/>
      <c r="AA767" s="44" t="s">
        <v>2858</v>
      </c>
      <c r="AB767" s="44" t="s">
        <v>2859</v>
      </c>
    </row>
    <row r="768" spans="1:28" ht="15.75" hidden="1" customHeight="1">
      <c r="A768" s="44"/>
      <c r="B768" s="44"/>
      <c r="C768" s="44"/>
      <c r="D768" s="44"/>
      <c r="E768" s="44"/>
      <c r="F768" s="44"/>
      <c r="G768" s="48"/>
      <c r="H768" s="48"/>
      <c r="I768" s="48"/>
      <c r="J768" s="48"/>
      <c r="K768" s="48"/>
      <c r="L768" s="48"/>
      <c r="M768" s="48"/>
      <c r="N768" s="48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  <c r="Z768" s="44"/>
      <c r="AA768" s="44" t="s">
        <v>2860</v>
      </c>
      <c r="AB768" s="44" t="s">
        <v>2861</v>
      </c>
    </row>
    <row r="769" spans="1:28" ht="15.75" hidden="1" customHeight="1">
      <c r="A769" s="44"/>
      <c r="B769" s="44"/>
      <c r="C769" s="44"/>
      <c r="D769" s="44"/>
      <c r="E769" s="44"/>
      <c r="F769" s="44"/>
      <c r="G769" s="48"/>
      <c r="H769" s="48"/>
      <c r="I769" s="48"/>
      <c r="J769" s="48"/>
      <c r="K769" s="48"/>
      <c r="L769" s="48"/>
      <c r="M769" s="48"/>
      <c r="N769" s="48"/>
      <c r="O769" s="44"/>
      <c r="P769" s="44"/>
      <c r="Q769" s="44"/>
      <c r="R769" s="44"/>
      <c r="S769" s="44"/>
      <c r="T769" s="44"/>
      <c r="U769" s="44"/>
      <c r="V769" s="44"/>
      <c r="W769" s="44"/>
      <c r="X769" s="44"/>
      <c r="Y769" s="44"/>
      <c r="Z769" s="44"/>
      <c r="AA769" s="44" t="s">
        <v>2862</v>
      </c>
      <c r="AB769" s="44" t="s">
        <v>2863</v>
      </c>
    </row>
    <row r="770" spans="1:28" ht="15.75" hidden="1" customHeight="1">
      <c r="A770" s="44"/>
      <c r="B770" s="44"/>
      <c r="C770" s="44"/>
      <c r="D770" s="44"/>
      <c r="E770" s="44"/>
      <c r="F770" s="44"/>
      <c r="G770" s="48"/>
      <c r="H770" s="48"/>
      <c r="I770" s="48"/>
      <c r="J770" s="48"/>
      <c r="K770" s="48"/>
      <c r="L770" s="48"/>
      <c r="M770" s="48"/>
      <c r="N770" s="48"/>
      <c r="O770" s="44"/>
      <c r="P770" s="44"/>
      <c r="Q770" s="44"/>
      <c r="R770" s="44"/>
      <c r="S770" s="44"/>
      <c r="T770" s="44"/>
      <c r="U770" s="44"/>
      <c r="V770" s="44"/>
      <c r="W770" s="44"/>
      <c r="X770" s="44"/>
      <c r="Y770" s="44"/>
      <c r="Z770" s="44"/>
      <c r="AA770" s="44" t="s">
        <v>2864</v>
      </c>
      <c r="AB770" s="44" t="s">
        <v>2865</v>
      </c>
    </row>
    <row r="771" spans="1:28" ht="15.75" hidden="1" customHeight="1">
      <c r="A771" s="44"/>
      <c r="B771" s="44"/>
      <c r="C771" s="44"/>
      <c r="D771" s="44"/>
      <c r="E771" s="44"/>
      <c r="F771" s="44"/>
      <c r="G771" s="48"/>
      <c r="H771" s="48"/>
      <c r="I771" s="48"/>
      <c r="J771" s="48"/>
      <c r="K771" s="48"/>
      <c r="L771" s="48"/>
      <c r="M771" s="48"/>
      <c r="N771" s="48"/>
      <c r="O771" s="44"/>
      <c r="P771" s="44"/>
      <c r="Q771" s="44"/>
      <c r="R771" s="44"/>
      <c r="S771" s="44"/>
      <c r="T771" s="44"/>
      <c r="U771" s="44"/>
      <c r="V771" s="44"/>
      <c r="W771" s="44"/>
      <c r="X771" s="44"/>
      <c r="Y771" s="44"/>
      <c r="Z771" s="44"/>
      <c r="AA771" s="44" t="s">
        <v>2866</v>
      </c>
      <c r="AB771" s="44" t="s">
        <v>2867</v>
      </c>
    </row>
    <row r="772" spans="1:28" ht="15.75" hidden="1" customHeight="1">
      <c r="A772" s="44"/>
      <c r="B772" s="44"/>
      <c r="C772" s="44"/>
      <c r="D772" s="44"/>
      <c r="E772" s="44"/>
      <c r="F772" s="44"/>
      <c r="G772" s="48"/>
      <c r="H772" s="48"/>
      <c r="I772" s="48"/>
      <c r="J772" s="48"/>
      <c r="K772" s="48"/>
      <c r="L772" s="48"/>
      <c r="M772" s="48"/>
      <c r="N772" s="48"/>
      <c r="O772" s="44"/>
      <c r="P772" s="44"/>
      <c r="Q772" s="44"/>
      <c r="R772" s="44"/>
      <c r="S772" s="44"/>
      <c r="T772" s="44"/>
      <c r="U772" s="44"/>
      <c r="V772" s="44"/>
      <c r="W772" s="44"/>
      <c r="X772" s="44"/>
      <c r="Y772" s="44"/>
      <c r="Z772" s="44"/>
      <c r="AA772" s="44" t="s">
        <v>2868</v>
      </c>
      <c r="AB772" s="44" t="s">
        <v>2869</v>
      </c>
    </row>
    <row r="773" spans="1:28" ht="15.75" hidden="1" customHeight="1">
      <c r="A773" s="44"/>
      <c r="B773" s="44"/>
      <c r="C773" s="44"/>
      <c r="D773" s="44"/>
      <c r="E773" s="44"/>
      <c r="F773" s="44"/>
      <c r="G773" s="48"/>
      <c r="H773" s="48"/>
      <c r="I773" s="48"/>
      <c r="J773" s="48"/>
      <c r="K773" s="48"/>
      <c r="L773" s="48"/>
      <c r="M773" s="48"/>
      <c r="N773" s="48"/>
      <c r="O773" s="44"/>
      <c r="P773" s="44"/>
      <c r="Q773" s="44"/>
      <c r="R773" s="44"/>
      <c r="S773" s="44"/>
      <c r="T773" s="44"/>
      <c r="U773" s="44"/>
      <c r="V773" s="44"/>
      <c r="W773" s="44"/>
      <c r="X773" s="44"/>
      <c r="Y773" s="44"/>
      <c r="Z773" s="44"/>
      <c r="AA773" s="44" t="s">
        <v>2870</v>
      </c>
      <c r="AB773" s="44" t="s">
        <v>2871</v>
      </c>
    </row>
    <row r="774" spans="1:28" ht="15.75" hidden="1" customHeight="1">
      <c r="A774" s="44"/>
      <c r="B774" s="44"/>
      <c r="C774" s="44"/>
      <c r="D774" s="44"/>
      <c r="E774" s="44"/>
      <c r="F774" s="44"/>
      <c r="G774" s="48"/>
      <c r="H774" s="48"/>
      <c r="I774" s="48"/>
      <c r="J774" s="48"/>
      <c r="K774" s="48"/>
      <c r="L774" s="48"/>
      <c r="M774" s="48"/>
      <c r="N774" s="48"/>
      <c r="O774" s="44"/>
      <c r="P774" s="44"/>
      <c r="Q774" s="44"/>
      <c r="R774" s="44"/>
      <c r="S774" s="44"/>
      <c r="T774" s="44"/>
      <c r="U774" s="44"/>
      <c r="V774" s="44"/>
      <c r="W774" s="44"/>
      <c r="X774" s="44"/>
      <c r="Y774" s="44"/>
      <c r="Z774" s="44"/>
      <c r="AA774" s="44" t="s">
        <v>2872</v>
      </c>
      <c r="AB774" s="44" t="s">
        <v>2873</v>
      </c>
    </row>
    <row r="775" spans="1:28" ht="15.75" hidden="1" customHeight="1">
      <c r="A775" s="44"/>
      <c r="B775" s="44"/>
      <c r="C775" s="44"/>
      <c r="D775" s="44"/>
      <c r="E775" s="44"/>
      <c r="F775" s="44"/>
      <c r="G775" s="48"/>
      <c r="H775" s="48"/>
      <c r="I775" s="48"/>
      <c r="J775" s="48"/>
      <c r="K775" s="48"/>
      <c r="L775" s="48"/>
      <c r="M775" s="48"/>
      <c r="N775" s="48"/>
      <c r="O775" s="44"/>
      <c r="P775" s="44"/>
      <c r="Q775" s="44"/>
      <c r="R775" s="44"/>
      <c r="S775" s="44"/>
      <c r="T775" s="44"/>
      <c r="U775" s="44"/>
      <c r="V775" s="44"/>
      <c r="W775" s="44"/>
      <c r="X775" s="44"/>
      <c r="Y775" s="44"/>
      <c r="Z775" s="44"/>
      <c r="AA775" s="44" t="s">
        <v>2874</v>
      </c>
      <c r="AB775" s="44" t="s">
        <v>2875</v>
      </c>
    </row>
    <row r="776" spans="1:28" ht="15.75" hidden="1" customHeight="1">
      <c r="A776" s="44"/>
      <c r="B776" s="44"/>
      <c r="C776" s="44"/>
      <c r="D776" s="44"/>
      <c r="E776" s="44"/>
      <c r="F776" s="44"/>
      <c r="G776" s="48"/>
      <c r="H776" s="48"/>
      <c r="I776" s="48"/>
      <c r="J776" s="48"/>
      <c r="K776" s="48"/>
      <c r="L776" s="48"/>
      <c r="M776" s="48"/>
      <c r="N776" s="48"/>
      <c r="O776" s="44"/>
      <c r="P776" s="44"/>
      <c r="Q776" s="44"/>
      <c r="R776" s="44"/>
      <c r="S776" s="44"/>
      <c r="T776" s="44"/>
      <c r="U776" s="44"/>
      <c r="V776" s="44"/>
      <c r="W776" s="44"/>
      <c r="X776" s="44"/>
      <c r="Y776" s="44"/>
      <c r="Z776" s="44"/>
      <c r="AA776" s="44" t="s">
        <v>2876</v>
      </c>
      <c r="AB776" s="44" t="s">
        <v>2005</v>
      </c>
    </row>
    <row r="777" spans="1:28" ht="15.75" hidden="1" customHeight="1">
      <c r="A777" s="44"/>
      <c r="B777" s="44"/>
      <c r="C777" s="44"/>
      <c r="D777" s="44"/>
      <c r="E777" s="44"/>
      <c r="F777" s="44"/>
      <c r="G777" s="48"/>
      <c r="H777" s="48"/>
      <c r="I777" s="48"/>
      <c r="J777" s="48"/>
      <c r="K777" s="48"/>
      <c r="L777" s="48"/>
      <c r="M777" s="48"/>
      <c r="N777" s="48"/>
      <c r="O777" s="44"/>
      <c r="P777" s="44"/>
      <c r="Q777" s="44"/>
      <c r="R777" s="44"/>
      <c r="S777" s="44"/>
      <c r="T777" s="44"/>
      <c r="U777" s="44"/>
      <c r="V777" s="44"/>
      <c r="W777" s="44"/>
      <c r="X777" s="44"/>
      <c r="Y777" s="44"/>
      <c r="Z777" s="44"/>
      <c r="AA777" s="44" t="s">
        <v>2877</v>
      </c>
      <c r="AB777" s="44" t="s">
        <v>2878</v>
      </c>
    </row>
    <row r="778" spans="1:28" ht="15.75" hidden="1" customHeight="1">
      <c r="A778" s="44"/>
      <c r="B778" s="44"/>
      <c r="C778" s="44"/>
      <c r="D778" s="44"/>
      <c r="E778" s="44"/>
      <c r="F778" s="44"/>
      <c r="G778" s="48"/>
      <c r="H778" s="48"/>
      <c r="I778" s="48"/>
      <c r="J778" s="48"/>
      <c r="K778" s="48"/>
      <c r="L778" s="48"/>
      <c r="M778" s="48"/>
      <c r="N778" s="48"/>
      <c r="O778" s="44"/>
      <c r="P778" s="44"/>
      <c r="Q778" s="44"/>
      <c r="R778" s="44"/>
      <c r="S778" s="44"/>
      <c r="T778" s="44"/>
      <c r="U778" s="44"/>
      <c r="V778" s="44"/>
      <c r="W778" s="44"/>
      <c r="X778" s="44"/>
      <c r="Y778" s="44"/>
      <c r="Z778" s="44"/>
      <c r="AA778" s="44" t="s">
        <v>2879</v>
      </c>
      <c r="AB778" s="44" t="s">
        <v>2880</v>
      </c>
    </row>
    <row r="779" spans="1:28" ht="15.75" hidden="1" customHeight="1">
      <c r="A779" s="44"/>
      <c r="B779" s="44"/>
      <c r="C779" s="44"/>
      <c r="D779" s="44"/>
      <c r="E779" s="44"/>
      <c r="F779" s="44"/>
      <c r="G779" s="48"/>
      <c r="H779" s="48"/>
      <c r="I779" s="48"/>
      <c r="J779" s="48"/>
      <c r="K779" s="48"/>
      <c r="L779" s="48"/>
      <c r="M779" s="48"/>
      <c r="N779" s="48"/>
      <c r="O779" s="44"/>
      <c r="P779" s="44"/>
      <c r="Q779" s="44"/>
      <c r="R779" s="44"/>
      <c r="S779" s="44"/>
      <c r="T779" s="44"/>
      <c r="U779" s="44"/>
      <c r="V779" s="44"/>
      <c r="W779" s="44"/>
      <c r="X779" s="44"/>
      <c r="Y779" s="44"/>
      <c r="Z779" s="44"/>
      <c r="AA779" s="44" t="s">
        <v>2881</v>
      </c>
      <c r="AB779" s="44" t="s">
        <v>2882</v>
      </c>
    </row>
    <row r="780" spans="1:28" ht="15.75" hidden="1" customHeight="1">
      <c r="A780" s="44"/>
      <c r="B780" s="44"/>
      <c r="C780" s="44"/>
      <c r="D780" s="44"/>
      <c r="E780" s="44"/>
      <c r="F780" s="44"/>
      <c r="G780" s="48"/>
      <c r="H780" s="48"/>
      <c r="I780" s="48"/>
      <c r="J780" s="48"/>
      <c r="K780" s="48"/>
      <c r="L780" s="48"/>
      <c r="M780" s="48"/>
      <c r="N780" s="48"/>
      <c r="O780" s="44"/>
      <c r="P780" s="44"/>
      <c r="Q780" s="44"/>
      <c r="R780" s="44"/>
      <c r="S780" s="44"/>
      <c r="T780" s="44"/>
      <c r="U780" s="44"/>
      <c r="V780" s="44"/>
      <c r="W780" s="44"/>
      <c r="X780" s="44"/>
      <c r="Y780" s="44"/>
      <c r="Z780" s="44"/>
      <c r="AA780" s="44" t="s">
        <v>2883</v>
      </c>
      <c r="AB780" s="44" t="s">
        <v>2884</v>
      </c>
    </row>
    <row r="781" spans="1:28" ht="15.75" hidden="1" customHeight="1">
      <c r="A781" s="44"/>
      <c r="B781" s="44"/>
      <c r="C781" s="44"/>
      <c r="D781" s="44"/>
      <c r="E781" s="44"/>
      <c r="F781" s="44"/>
      <c r="G781" s="48"/>
      <c r="H781" s="48"/>
      <c r="I781" s="48"/>
      <c r="J781" s="48"/>
      <c r="K781" s="48"/>
      <c r="L781" s="48"/>
      <c r="M781" s="48"/>
      <c r="N781" s="48"/>
      <c r="O781" s="44"/>
      <c r="P781" s="44"/>
      <c r="Q781" s="44"/>
      <c r="R781" s="44"/>
      <c r="S781" s="44"/>
      <c r="T781" s="44"/>
      <c r="U781" s="44"/>
      <c r="V781" s="44"/>
      <c r="W781" s="44"/>
      <c r="X781" s="44"/>
      <c r="Y781" s="44"/>
      <c r="Z781" s="44"/>
      <c r="AA781" s="44" t="s">
        <v>2885</v>
      </c>
      <c r="AB781" s="44" t="s">
        <v>2886</v>
      </c>
    </row>
    <row r="782" spans="1:28" ht="15.75" hidden="1" customHeight="1">
      <c r="A782" s="44"/>
      <c r="B782" s="44"/>
      <c r="C782" s="44"/>
      <c r="D782" s="44"/>
      <c r="E782" s="44"/>
      <c r="F782" s="44"/>
      <c r="G782" s="48"/>
      <c r="H782" s="48"/>
      <c r="I782" s="48"/>
      <c r="J782" s="48"/>
      <c r="K782" s="48"/>
      <c r="L782" s="48"/>
      <c r="M782" s="48"/>
      <c r="N782" s="48"/>
      <c r="O782" s="44"/>
      <c r="P782" s="44"/>
      <c r="Q782" s="44"/>
      <c r="R782" s="44"/>
      <c r="S782" s="44"/>
      <c r="T782" s="44"/>
      <c r="U782" s="44"/>
      <c r="V782" s="44"/>
      <c r="W782" s="44"/>
      <c r="X782" s="44"/>
      <c r="Y782" s="44"/>
      <c r="Z782" s="44"/>
      <c r="AA782" s="44" t="s">
        <v>2887</v>
      </c>
      <c r="AB782" s="44" t="s">
        <v>2888</v>
      </c>
    </row>
    <row r="783" spans="1:28" ht="15.75" hidden="1" customHeight="1">
      <c r="A783" s="44"/>
      <c r="B783" s="44"/>
      <c r="C783" s="44"/>
      <c r="D783" s="44"/>
      <c r="E783" s="44"/>
      <c r="F783" s="44"/>
      <c r="G783" s="48"/>
      <c r="H783" s="48"/>
      <c r="I783" s="48"/>
      <c r="J783" s="48"/>
      <c r="K783" s="48"/>
      <c r="L783" s="48"/>
      <c r="M783" s="48"/>
      <c r="N783" s="48"/>
      <c r="O783" s="44"/>
      <c r="P783" s="44"/>
      <c r="Q783" s="44"/>
      <c r="R783" s="44"/>
      <c r="S783" s="44"/>
      <c r="T783" s="44"/>
      <c r="U783" s="44"/>
      <c r="V783" s="44"/>
      <c r="W783" s="44"/>
      <c r="X783" s="44"/>
      <c r="Y783" s="44"/>
      <c r="Z783" s="44"/>
      <c r="AA783" s="44" t="s">
        <v>2889</v>
      </c>
      <c r="AB783" s="44" t="s">
        <v>2890</v>
      </c>
    </row>
    <row r="784" spans="1:28" ht="15.75" hidden="1" customHeight="1">
      <c r="A784" s="44"/>
      <c r="B784" s="44"/>
      <c r="C784" s="44"/>
      <c r="D784" s="44"/>
      <c r="E784" s="44"/>
      <c r="F784" s="44"/>
      <c r="G784" s="48"/>
      <c r="H784" s="48"/>
      <c r="I784" s="48"/>
      <c r="J784" s="48"/>
      <c r="K784" s="48"/>
      <c r="L784" s="48"/>
      <c r="M784" s="48"/>
      <c r="N784" s="48"/>
      <c r="O784" s="44"/>
      <c r="P784" s="44"/>
      <c r="Q784" s="44"/>
      <c r="R784" s="44"/>
      <c r="S784" s="44"/>
      <c r="T784" s="44"/>
      <c r="U784" s="44"/>
      <c r="V784" s="44"/>
      <c r="W784" s="44"/>
      <c r="X784" s="44"/>
      <c r="Y784" s="44"/>
      <c r="Z784" s="44"/>
      <c r="AA784" s="44" t="s">
        <v>2891</v>
      </c>
      <c r="AB784" s="44" t="s">
        <v>2892</v>
      </c>
    </row>
    <row r="785" spans="1:28" ht="15.75" hidden="1" customHeight="1">
      <c r="A785" s="44"/>
      <c r="B785" s="44"/>
      <c r="C785" s="44"/>
      <c r="D785" s="44"/>
      <c r="E785" s="44"/>
      <c r="F785" s="44"/>
      <c r="G785" s="48"/>
      <c r="H785" s="48"/>
      <c r="I785" s="48"/>
      <c r="J785" s="48"/>
      <c r="K785" s="48"/>
      <c r="L785" s="48"/>
      <c r="M785" s="48"/>
      <c r="N785" s="48"/>
      <c r="O785" s="44"/>
      <c r="P785" s="44"/>
      <c r="Q785" s="44"/>
      <c r="R785" s="44"/>
      <c r="S785" s="44"/>
      <c r="T785" s="44"/>
      <c r="U785" s="44"/>
      <c r="V785" s="44"/>
      <c r="W785" s="44"/>
      <c r="X785" s="44"/>
      <c r="Y785" s="44"/>
      <c r="Z785" s="44"/>
      <c r="AA785" s="44" t="s">
        <v>2893</v>
      </c>
      <c r="AB785" s="44" t="s">
        <v>2894</v>
      </c>
    </row>
    <row r="786" spans="1:28" ht="15.75" hidden="1" customHeight="1">
      <c r="A786" s="44"/>
      <c r="B786" s="44"/>
      <c r="C786" s="44"/>
      <c r="D786" s="44"/>
      <c r="E786" s="44"/>
      <c r="F786" s="44"/>
      <c r="G786" s="48"/>
      <c r="H786" s="48"/>
      <c r="I786" s="48"/>
      <c r="J786" s="48"/>
      <c r="K786" s="48"/>
      <c r="L786" s="48"/>
      <c r="M786" s="48"/>
      <c r="N786" s="48"/>
      <c r="O786" s="44"/>
      <c r="P786" s="44"/>
      <c r="Q786" s="44"/>
      <c r="R786" s="44"/>
      <c r="S786" s="44"/>
      <c r="T786" s="44"/>
      <c r="U786" s="44"/>
      <c r="V786" s="44"/>
      <c r="W786" s="44"/>
      <c r="X786" s="44"/>
      <c r="Y786" s="44"/>
      <c r="Z786" s="44"/>
      <c r="AA786" s="44" t="s">
        <v>2895</v>
      </c>
      <c r="AB786" s="44" t="s">
        <v>2896</v>
      </c>
    </row>
    <row r="787" spans="1:28" ht="15.75" hidden="1" customHeight="1">
      <c r="A787" s="44"/>
      <c r="B787" s="44"/>
      <c r="C787" s="44"/>
      <c r="D787" s="44"/>
      <c r="E787" s="44"/>
      <c r="F787" s="44"/>
      <c r="G787" s="48"/>
      <c r="H787" s="48"/>
      <c r="I787" s="48"/>
      <c r="J787" s="48"/>
      <c r="K787" s="48"/>
      <c r="L787" s="48"/>
      <c r="M787" s="48"/>
      <c r="N787" s="48"/>
      <c r="O787" s="44"/>
      <c r="P787" s="44"/>
      <c r="Q787" s="44"/>
      <c r="R787" s="44"/>
      <c r="S787" s="44"/>
      <c r="T787" s="44"/>
      <c r="U787" s="44"/>
      <c r="V787" s="44"/>
      <c r="W787" s="44"/>
      <c r="X787" s="44"/>
      <c r="Y787" s="44"/>
      <c r="Z787" s="44"/>
      <c r="AA787" s="44" t="s">
        <v>2897</v>
      </c>
      <c r="AB787" s="44" t="s">
        <v>2898</v>
      </c>
    </row>
    <row r="788" spans="1:28" ht="15.75" hidden="1" customHeight="1">
      <c r="A788" s="44"/>
      <c r="B788" s="44"/>
      <c r="C788" s="44"/>
      <c r="D788" s="44"/>
      <c r="E788" s="44"/>
      <c r="F788" s="44"/>
      <c r="G788" s="48"/>
      <c r="H788" s="48"/>
      <c r="I788" s="48"/>
      <c r="J788" s="48"/>
      <c r="K788" s="48"/>
      <c r="L788" s="48"/>
      <c r="M788" s="48"/>
      <c r="N788" s="48"/>
      <c r="O788" s="44"/>
      <c r="P788" s="44"/>
      <c r="Q788" s="44"/>
      <c r="R788" s="44"/>
      <c r="S788" s="44"/>
      <c r="T788" s="44"/>
      <c r="U788" s="44"/>
      <c r="V788" s="44"/>
      <c r="W788" s="44"/>
      <c r="X788" s="44"/>
      <c r="Y788" s="44"/>
      <c r="Z788" s="44"/>
      <c r="AA788" s="44" t="s">
        <v>2899</v>
      </c>
      <c r="AB788" s="44" t="s">
        <v>2900</v>
      </c>
    </row>
    <row r="789" spans="1:28" ht="15.75" hidden="1" customHeight="1">
      <c r="A789" s="44"/>
      <c r="B789" s="44"/>
      <c r="C789" s="44"/>
      <c r="D789" s="44"/>
      <c r="E789" s="44"/>
      <c r="F789" s="44"/>
      <c r="G789" s="48"/>
      <c r="H789" s="48"/>
      <c r="I789" s="48"/>
      <c r="J789" s="48"/>
      <c r="K789" s="48"/>
      <c r="L789" s="48"/>
      <c r="M789" s="48"/>
      <c r="N789" s="48"/>
      <c r="O789" s="44"/>
      <c r="P789" s="44"/>
      <c r="Q789" s="44"/>
      <c r="R789" s="44"/>
      <c r="S789" s="44"/>
      <c r="T789" s="44"/>
      <c r="U789" s="44"/>
      <c r="V789" s="44"/>
      <c r="W789" s="44"/>
      <c r="X789" s="44"/>
      <c r="Y789" s="44"/>
      <c r="Z789" s="44"/>
      <c r="AA789" s="44" t="s">
        <v>2901</v>
      </c>
      <c r="AB789" s="44" t="s">
        <v>2902</v>
      </c>
    </row>
    <row r="790" spans="1:28" ht="15.75" hidden="1" customHeight="1">
      <c r="A790" s="44"/>
      <c r="B790" s="44"/>
      <c r="C790" s="44"/>
      <c r="D790" s="44"/>
      <c r="E790" s="44"/>
      <c r="F790" s="44"/>
      <c r="G790" s="48"/>
      <c r="H790" s="48"/>
      <c r="I790" s="48"/>
      <c r="J790" s="48"/>
      <c r="K790" s="48"/>
      <c r="L790" s="48"/>
      <c r="M790" s="48"/>
      <c r="N790" s="48"/>
      <c r="O790" s="44"/>
      <c r="P790" s="44"/>
      <c r="Q790" s="44"/>
      <c r="R790" s="44"/>
      <c r="S790" s="44"/>
      <c r="T790" s="44"/>
      <c r="U790" s="44"/>
      <c r="V790" s="44"/>
      <c r="W790" s="44"/>
      <c r="X790" s="44"/>
      <c r="Y790" s="44"/>
      <c r="Z790" s="44"/>
      <c r="AA790" s="44" t="s">
        <v>2903</v>
      </c>
      <c r="AB790" s="44" t="s">
        <v>2904</v>
      </c>
    </row>
    <row r="791" spans="1:28" ht="15.75" hidden="1" customHeight="1">
      <c r="A791" s="44"/>
      <c r="B791" s="44"/>
      <c r="C791" s="44"/>
      <c r="D791" s="44"/>
      <c r="E791" s="44"/>
      <c r="F791" s="44"/>
      <c r="G791" s="48"/>
      <c r="H791" s="48"/>
      <c r="I791" s="48"/>
      <c r="J791" s="48"/>
      <c r="K791" s="48"/>
      <c r="L791" s="48"/>
      <c r="M791" s="48"/>
      <c r="N791" s="48"/>
      <c r="O791" s="44"/>
      <c r="P791" s="44"/>
      <c r="Q791" s="44"/>
      <c r="R791" s="44"/>
      <c r="S791" s="44"/>
      <c r="T791" s="44"/>
      <c r="U791" s="44"/>
      <c r="V791" s="44"/>
      <c r="W791" s="44"/>
      <c r="X791" s="44"/>
      <c r="Y791" s="44"/>
      <c r="Z791" s="44"/>
      <c r="AA791" s="44" t="s">
        <v>2905</v>
      </c>
      <c r="AB791" s="44" t="s">
        <v>2906</v>
      </c>
    </row>
    <row r="792" spans="1:28" ht="15.75" hidden="1" customHeight="1">
      <c r="A792" s="44"/>
      <c r="B792" s="44"/>
      <c r="C792" s="44"/>
      <c r="D792" s="44"/>
      <c r="E792" s="44"/>
      <c r="F792" s="44"/>
      <c r="G792" s="48"/>
      <c r="H792" s="48"/>
      <c r="I792" s="48"/>
      <c r="J792" s="48"/>
      <c r="K792" s="48"/>
      <c r="L792" s="48"/>
      <c r="M792" s="48"/>
      <c r="N792" s="48"/>
      <c r="O792" s="44"/>
      <c r="P792" s="44"/>
      <c r="Q792" s="44"/>
      <c r="R792" s="44"/>
      <c r="S792" s="44"/>
      <c r="T792" s="44"/>
      <c r="U792" s="44"/>
      <c r="V792" s="44"/>
      <c r="W792" s="44"/>
      <c r="X792" s="44"/>
      <c r="Y792" s="44"/>
      <c r="Z792" s="44"/>
      <c r="AA792" s="44" t="s">
        <v>2907</v>
      </c>
      <c r="AB792" s="44" t="s">
        <v>2908</v>
      </c>
    </row>
    <row r="793" spans="1:28" ht="15.75" hidden="1" customHeight="1">
      <c r="A793" s="44"/>
      <c r="B793" s="44"/>
      <c r="C793" s="44"/>
      <c r="D793" s="44"/>
      <c r="E793" s="44"/>
      <c r="F793" s="44"/>
      <c r="G793" s="48"/>
      <c r="H793" s="48"/>
      <c r="I793" s="48"/>
      <c r="J793" s="48"/>
      <c r="K793" s="48"/>
      <c r="L793" s="48"/>
      <c r="M793" s="48"/>
      <c r="N793" s="48"/>
      <c r="O793" s="44"/>
      <c r="P793" s="44"/>
      <c r="Q793" s="44"/>
      <c r="R793" s="44"/>
      <c r="S793" s="44"/>
      <c r="T793" s="44"/>
      <c r="U793" s="44"/>
      <c r="V793" s="44"/>
      <c r="W793" s="44"/>
      <c r="X793" s="44"/>
      <c r="Y793" s="44"/>
      <c r="Z793" s="44"/>
      <c r="AA793" s="44" t="s">
        <v>2909</v>
      </c>
      <c r="AB793" s="44" t="s">
        <v>2910</v>
      </c>
    </row>
    <row r="794" spans="1:28" ht="15.75" hidden="1" customHeight="1">
      <c r="A794" s="44"/>
      <c r="B794" s="44"/>
      <c r="C794" s="44"/>
      <c r="D794" s="44"/>
      <c r="E794" s="44"/>
      <c r="F794" s="44"/>
      <c r="G794" s="48"/>
      <c r="H794" s="48"/>
      <c r="I794" s="48"/>
      <c r="J794" s="48"/>
      <c r="K794" s="48"/>
      <c r="L794" s="48"/>
      <c r="M794" s="48"/>
      <c r="N794" s="48"/>
      <c r="O794" s="44"/>
      <c r="P794" s="44"/>
      <c r="Q794" s="44"/>
      <c r="R794" s="44"/>
      <c r="S794" s="44"/>
      <c r="T794" s="44"/>
      <c r="U794" s="44"/>
      <c r="V794" s="44"/>
      <c r="W794" s="44"/>
      <c r="X794" s="44"/>
      <c r="Y794" s="44"/>
      <c r="Z794" s="44"/>
      <c r="AA794" s="44" t="s">
        <v>2911</v>
      </c>
      <c r="AB794" s="44" t="s">
        <v>2912</v>
      </c>
    </row>
    <row r="795" spans="1:28" ht="15.75" hidden="1" customHeight="1">
      <c r="A795" s="44"/>
      <c r="B795" s="44"/>
      <c r="C795" s="44"/>
      <c r="D795" s="44"/>
      <c r="E795" s="44"/>
      <c r="F795" s="44"/>
      <c r="G795" s="48"/>
      <c r="H795" s="48"/>
      <c r="I795" s="48"/>
      <c r="J795" s="48"/>
      <c r="K795" s="48"/>
      <c r="L795" s="48"/>
      <c r="M795" s="48"/>
      <c r="N795" s="48"/>
      <c r="O795" s="44"/>
      <c r="P795" s="44"/>
      <c r="Q795" s="44"/>
      <c r="R795" s="44"/>
      <c r="S795" s="44"/>
      <c r="T795" s="44"/>
      <c r="U795" s="44"/>
      <c r="V795" s="44"/>
      <c r="W795" s="44"/>
      <c r="X795" s="44"/>
      <c r="Y795" s="44"/>
      <c r="Z795" s="44"/>
      <c r="AA795" s="44" t="s">
        <v>2913</v>
      </c>
      <c r="AB795" s="44" t="s">
        <v>2914</v>
      </c>
    </row>
    <row r="796" spans="1:28" ht="15.75" hidden="1" customHeight="1">
      <c r="A796" s="44"/>
      <c r="B796" s="44"/>
      <c r="C796" s="44"/>
      <c r="D796" s="44"/>
      <c r="E796" s="44"/>
      <c r="F796" s="44"/>
      <c r="G796" s="48"/>
      <c r="H796" s="48"/>
      <c r="I796" s="48"/>
      <c r="J796" s="48"/>
      <c r="K796" s="48"/>
      <c r="L796" s="48"/>
      <c r="M796" s="48"/>
      <c r="N796" s="48"/>
      <c r="O796" s="44"/>
      <c r="P796" s="44"/>
      <c r="Q796" s="44"/>
      <c r="R796" s="44"/>
      <c r="S796" s="44"/>
      <c r="T796" s="44"/>
      <c r="U796" s="44"/>
      <c r="V796" s="44"/>
      <c r="W796" s="44"/>
      <c r="X796" s="44"/>
      <c r="Y796" s="44"/>
      <c r="Z796" s="44"/>
      <c r="AA796" s="44" t="s">
        <v>2915</v>
      </c>
      <c r="AB796" s="44" t="s">
        <v>2916</v>
      </c>
    </row>
    <row r="797" spans="1:28" ht="15.75" hidden="1" customHeight="1">
      <c r="A797" s="44"/>
      <c r="B797" s="44"/>
      <c r="C797" s="44"/>
      <c r="D797" s="44"/>
      <c r="E797" s="44"/>
      <c r="F797" s="44"/>
      <c r="G797" s="48"/>
      <c r="H797" s="48"/>
      <c r="I797" s="48"/>
      <c r="J797" s="48"/>
      <c r="K797" s="48"/>
      <c r="L797" s="48"/>
      <c r="M797" s="48"/>
      <c r="N797" s="48"/>
      <c r="O797" s="44"/>
      <c r="P797" s="44"/>
      <c r="Q797" s="44"/>
      <c r="R797" s="44"/>
      <c r="S797" s="44"/>
      <c r="T797" s="44"/>
      <c r="U797" s="44"/>
      <c r="V797" s="44"/>
      <c r="W797" s="44"/>
      <c r="X797" s="44"/>
      <c r="Y797" s="44"/>
      <c r="Z797" s="44"/>
      <c r="AA797" s="44" t="s">
        <v>2917</v>
      </c>
      <c r="AB797" s="44" t="s">
        <v>2918</v>
      </c>
    </row>
    <row r="798" spans="1:28" ht="15.75" hidden="1" customHeight="1">
      <c r="A798" s="44"/>
      <c r="B798" s="44"/>
      <c r="C798" s="44"/>
      <c r="D798" s="44"/>
      <c r="E798" s="44"/>
      <c r="F798" s="44"/>
      <c r="G798" s="48"/>
      <c r="H798" s="48"/>
      <c r="I798" s="48"/>
      <c r="J798" s="48"/>
      <c r="K798" s="48"/>
      <c r="L798" s="48"/>
      <c r="M798" s="48"/>
      <c r="N798" s="48"/>
      <c r="O798" s="44"/>
      <c r="P798" s="44"/>
      <c r="Q798" s="44"/>
      <c r="R798" s="44"/>
      <c r="S798" s="44"/>
      <c r="T798" s="44"/>
      <c r="U798" s="44"/>
      <c r="V798" s="44"/>
      <c r="W798" s="44"/>
      <c r="X798" s="44"/>
      <c r="Y798" s="44"/>
      <c r="Z798" s="44"/>
      <c r="AA798" s="44" t="s">
        <v>2919</v>
      </c>
      <c r="AB798" s="44" t="s">
        <v>2920</v>
      </c>
    </row>
    <row r="799" spans="1:28" ht="15.75" hidden="1" customHeight="1">
      <c r="A799" s="44"/>
      <c r="B799" s="44"/>
      <c r="C799" s="44"/>
      <c r="D799" s="44"/>
      <c r="E799" s="44"/>
      <c r="F799" s="44"/>
      <c r="G799" s="48"/>
      <c r="H799" s="48"/>
      <c r="I799" s="48"/>
      <c r="J799" s="48"/>
      <c r="K799" s="48"/>
      <c r="L799" s="48"/>
      <c r="M799" s="48"/>
      <c r="N799" s="48"/>
      <c r="O799" s="44"/>
      <c r="P799" s="44"/>
      <c r="Q799" s="44"/>
      <c r="R799" s="44"/>
      <c r="S799" s="44"/>
      <c r="T799" s="44"/>
      <c r="U799" s="44"/>
      <c r="V799" s="44"/>
      <c r="W799" s="44"/>
      <c r="X799" s="44"/>
      <c r="Y799" s="44"/>
      <c r="Z799" s="44"/>
      <c r="AA799" s="44" t="s">
        <v>2921</v>
      </c>
      <c r="AB799" s="44" t="s">
        <v>2922</v>
      </c>
    </row>
    <row r="800" spans="1:28" ht="15.75" hidden="1" customHeight="1">
      <c r="A800" s="44"/>
      <c r="B800" s="44"/>
      <c r="C800" s="44"/>
      <c r="D800" s="44"/>
      <c r="E800" s="44"/>
      <c r="F800" s="44"/>
      <c r="G800" s="48"/>
      <c r="H800" s="48"/>
      <c r="I800" s="48"/>
      <c r="J800" s="48"/>
      <c r="K800" s="48"/>
      <c r="L800" s="48"/>
      <c r="M800" s="48"/>
      <c r="N800" s="48"/>
      <c r="O800" s="44"/>
      <c r="P800" s="44"/>
      <c r="Q800" s="44"/>
      <c r="R800" s="44"/>
      <c r="S800" s="44"/>
      <c r="T800" s="44"/>
      <c r="U800" s="44"/>
      <c r="V800" s="44"/>
      <c r="W800" s="44"/>
      <c r="X800" s="44"/>
      <c r="Y800" s="44"/>
      <c r="Z800" s="44"/>
      <c r="AA800" s="44" t="s">
        <v>2923</v>
      </c>
      <c r="AB800" s="44" t="s">
        <v>2924</v>
      </c>
    </row>
    <row r="801" spans="1:28" ht="15.75" hidden="1" customHeight="1">
      <c r="A801" s="44"/>
      <c r="B801" s="44"/>
      <c r="C801" s="44"/>
      <c r="D801" s="44"/>
      <c r="E801" s="44"/>
      <c r="F801" s="44"/>
      <c r="G801" s="48"/>
      <c r="H801" s="48"/>
      <c r="I801" s="48"/>
      <c r="J801" s="48"/>
      <c r="K801" s="48"/>
      <c r="L801" s="48"/>
      <c r="M801" s="48"/>
      <c r="N801" s="48"/>
      <c r="O801" s="44"/>
      <c r="P801" s="44"/>
      <c r="Q801" s="44"/>
      <c r="R801" s="44"/>
      <c r="S801" s="44"/>
      <c r="T801" s="44"/>
      <c r="U801" s="44"/>
      <c r="V801" s="44"/>
      <c r="W801" s="44"/>
      <c r="X801" s="44"/>
      <c r="Y801" s="44"/>
      <c r="Z801" s="44"/>
      <c r="AA801" s="44" t="s">
        <v>2925</v>
      </c>
      <c r="AB801" s="44" t="s">
        <v>2926</v>
      </c>
    </row>
    <row r="802" spans="1:28" ht="15.75" hidden="1" customHeight="1">
      <c r="A802" s="44"/>
      <c r="B802" s="44"/>
      <c r="C802" s="44"/>
      <c r="D802" s="44"/>
      <c r="E802" s="44"/>
      <c r="F802" s="44"/>
      <c r="G802" s="48"/>
      <c r="H802" s="48"/>
      <c r="I802" s="48"/>
      <c r="J802" s="48"/>
      <c r="K802" s="48"/>
      <c r="L802" s="48"/>
      <c r="M802" s="48"/>
      <c r="N802" s="48"/>
      <c r="O802" s="44"/>
      <c r="P802" s="44"/>
      <c r="Q802" s="44"/>
      <c r="R802" s="44"/>
      <c r="S802" s="44"/>
      <c r="T802" s="44"/>
      <c r="U802" s="44"/>
      <c r="V802" s="44"/>
      <c r="W802" s="44"/>
      <c r="X802" s="44"/>
      <c r="Y802" s="44"/>
      <c r="Z802" s="44"/>
      <c r="AA802" s="44" t="s">
        <v>2927</v>
      </c>
      <c r="AB802" s="44" t="s">
        <v>2928</v>
      </c>
    </row>
    <row r="803" spans="1:28" ht="15.75" hidden="1" customHeight="1">
      <c r="A803" s="44"/>
      <c r="B803" s="44"/>
      <c r="C803" s="44"/>
      <c r="D803" s="44"/>
      <c r="E803" s="44"/>
      <c r="F803" s="44"/>
      <c r="G803" s="48"/>
      <c r="H803" s="48"/>
      <c r="I803" s="48"/>
      <c r="J803" s="48"/>
      <c r="K803" s="48"/>
      <c r="L803" s="48"/>
      <c r="M803" s="48"/>
      <c r="N803" s="48"/>
      <c r="O803" s="44"/>
      <c r="P803" s="44"/>
      <c r="Q803" s="44"/>
      <c r="R803" s="44"/>
      <c r="S803" s="44"/>
      <c r="T803" s="44"/>
      <c r="U803" s="44"/>
      <c r="V803" s="44"/>
      <c r="W803" s="44"/>
      <c r="X803" s="44"/>
      <c r="Y803" s="44"/>
      <c r="Z803" s="44"/>
      <c r="AA803" s="44" t="s">
        <v>2929</v>
      </c>
      <c r="AB803" s="44" t="s">
        <v>2930</v>
      </c>
    </row>
    <row r="804" spans="1:28" ht="15.75" hidden="1" customHeight="1">
      <c r="A804" s="44"/>
      <c r="B804" s="44"/>
      <c r="C804" s="44"/>
      <c r="D804" s="44"/>
      <c r="E804" s="44"/>
      <c r="F804" s="44"/>
      <c r="G804" s="48"/>
      <c r="H804" s="48"/>
      <c r="I804" s="48"/>
      <c r="J804" s="48"/>
      <c r="K804" s="48"/>
      <c r="L804" s="48"/>
      <c r="M804" s="48"/>
      <c r="N804" s="48"/>
      <c r="O804" s="44"/>
      <c r="P804" s="44"/>
      <c r="Q804" s="44"/>
      <c r="R804" s="44"/>
      <c r="S804" s="44"/>
      <c r="T804" s="44"/>
      <c r="U804" s="44"/>
      <c r="V804" s="44"/>
      <c r="W804" s="44"/>
      <c r="X804" s="44"/>
      <c r="Y804" s="44"/>
      <c r="Z804" s="44"/>
      <c r="AA804" s="44" t="s">
        <v>2931</v>
      </c>
      <c r="AB804" s="44" t="s">
        <v>2932</v>
      </c>
    </row>
    <row r="805" spans="1:28" ht="15.75" hidden="1" customHeight="1">
      <c r="A805" s="44"/>
      <c r="B805" s="44"/>
      <c r="C805" s="44"/>
      <c r="D805" s="44"/>
      <c r="E805" s="44"/>
      <c r="F805" s="44"/>
      <c r="G805" s="48"/>
      <c r="H805" s="48"/>
      <c r="I805" s="48"/>
      <c r="J805" s="48"/>
      <c r="K805" s="48"/>
      <c r="L805" s="48"/>
      <c r="M805" s="48"/>
      <c r="N805" s="48"/>
      <c r="O805" s="44"/>
      <c r="P805" s="44"/>
      <c r="Q805" s="44"/>
      <c r="R805" s="44"/>
      <c r="S805" s="44"/>
      <c r="T805" s="44"/>
      <c r="U805" s="44"/>
      <c r="V805" s="44"/>
      <c r="W805" s="44"/>
      <c r="X805" s="44"/>
      <c r="Y805" s="44"/>
      <c r="Z805" s="44"/>
      <c r="AA805" s="44" t="s">
        <v>2933</v>
      </c>
      <c r="AB805" s="44" t="s">
        <v>2934</v>
      </c>
    </row>
    <row r="806" spans="1:28" ht="15.75" hidden="1" customHeight="1">
      <c r="A806" s="44"/>
      <c r="B806" s="44"/>
      <c r="C806" s="44"/>
      <c r="D806" s="44"/>
      <c r="E806" s="44"/>
      <c r="F806" s="44"/>
      <c r="G806" s="48"/>
      <c r="H806" s="48"/>
      <c r="I806" s="48"/>
      <c r="J806" s="48"/>
      <c r="K806" s="48"/>
      <c r="L806" s="48"/>
      <c r="M806" s="48"/>
      <c r="N806" s="48"/>
      <c r="O806" s="44"/>
      <c r="P806" s="44"/>
      <c r="Q806" s="44"/>
      <c r="R806" s="44"/>
      <c r="S806" s="44"/>
      <c r="T806" s="44"/>
      <c r="U806" s="44"/>
      <c r="V806" s="44"/>
      <c r="W806" s="44"/>
      <c r="X806" s="44"/>
      <c r="Y806" s="44"/>
      <c r="Z806" s="44"/>
      <c r="AA806" s="44" t="s">
        <v>2935</v>
      </c>
      <c r="AB806" s="44" t="s">
        <v>2936</v>
      </c>
    </row>
    <row r="807" spans="1:28" ht="15.75" hidden="1" customHeight="1">
      <c r="A807" s="44"/>
      <c r="B807" s="44"/>
      <c r="C807" s="44"/>
      <c r="D807" s="44"/>
      <c r="E807" s="44"/>
      <c r="F807" s="44"/>
      <c r="G807" s="48"/>
      <c r="H807" s="48"/>
      <c r="I807" s="48"/>
      <c r="J807" s="48"/>
      <c r="K807" s="48"/>
      <c r="L807" s="48"/>
      <c r="M807" s="48"/>
      <c r="N807" s="48"/>
      <c r="O807" s="44"/>
      <c r="P807" s="44"/>
      <c r="Q807" s="44"/>
      <c r="R807" s="44"/>
      <c r="S807" s="44"/>
      <c r="T807" s="44"/>
      <c r="U807" s="44"/>
      <c r="V807" s="44"/>
      <c r="W807" s="44"/>
      <c r="X807" s="44"/>
      <c r="Y807" s="44"/>
      <c r="Z807" s="44"/>
      <c r="AA807" s="44" t="s">
        <v>2937</v>
      </c>
      <c r="AB807" s="44" t="s">
        <v>2938</v>
      </c>
    </row>
    <row r="808" spans="1:28" ht="15.75" hidden="1" customHeight="1">
      <c r="A808" s="44"/>
      <c r="B808" s="44"/>
      <c r="C808" s="44"/>
      <c r="D808" s="44"/>
      <c r="E808" s="44"/>
      <c r="F808" s="44"/>
      <c r="G808" s="48"/>
      <c r="H808" s="48"/>
      <c r="I808" s="48"/>
      <c r="J808" s="48"/>
      <c r="K808" s="48"/>
      <c r="L808" s="48"/>
      <c r="M808" s="48"/>
      <c r="N808" s="48"/>
      <c r="O808" s="44"/>
      <c r="P808" s="44"/>
      <c r="Q808" s="44"/>
      <c r="R808" s="44"/>
      <c r="S808" s="44"/>
      <c r="T808" s="44"/>
      <c r="U808" s="44"/>
      <c r="V808" s="44"/>
      <c r="W808" s="44"/>
      <c r="X808" s="44"/>
      <c r="Y808" s="44"/>
      <c r="Z808" s="44"/>
      <c r="AA808" s="44" t="s">
        <v>2939</v>
      </c>
      <c r="AB808" s="44" t="s">
        <v>2940</v>
      </c>
    </row>
    <row r="809" spans="1:28" ht="15.75" hidden="1" customHeight="1">
      <c r="A809" s="44"/>
      <c r="B809" s="44"/>
      <c r="C809" s="44"/>
      <c r="D809" s="44"/>
      <c r="E809" s="44"/>
      <c r="F809" s="44"/>
      <c r="G809" s="48"/>
      <c r="H809" s="48"/>
      <c r="I809" s="48"/>
      <c r="J809" s="48"/>
      <c r="K809" s="48"/>
      <c r="L809" s="48"/>
      <c r="M809" s="48"/>
      <c r="N809" s="48"/>
      <c r="O809" s="44"/>
      <c r="P809" s="44"/>
      <c r="Q809" s="44"/>
      <c r="R809" s="44"/>
      <c r="S809" s="44"/>
      <c r="T809" s="44"/>
      <c r="U809" s="44"/>
      <c r="V809" s="44"/>
      <c r="W809" s="44"/>
      <c r="X809" s="44"/>
      <c r="Y809" s="44"/>
      <c r="Z809" s="44"/>
      <c r="AA809" s="44" t="s">
        <v>2941</v>
      </c>
      <c r="AB809" s="44" t="s">
        <v>2942</v>
      </c>
    </row>
    <row r="810" spans="1:28" ht="15.75" hidden="1" customHeight="1">
      <c r="A810" s="44"/>
      <c r="B810" s="44"/>
      <c r="C810" s="44"/>
      <c r="D810" s="44"/>
      <c r="E810" s="44"/>
      <c r="F810" s="44"/>
      <c r="G810" s="48"/>
      <c r="H810" s="48"/>
      <c r="I810" s="48"/>
      <c r="J810" s="48"/>
      <c r="K810" s="48"/>
      <c r="L810" s="48"/>
      <c r="M810" s="48"/>
      <c r="N810" s="48"/>
      <c r="O810" s="44"/>
      <c r="P810" s="44"/>
      <c r="Q810" s="44"/>
      <c r="R810" s="44"/>
      <c r="S810" s="44"/>
      <c r="T810" s="44"/>
      <c r="U810" s="44"/>
      <c r="V810" s="44"/>
      <c r="W810" s="44"/>
      <c r="X810" s="44"/>
      <c r="Y810" s="44"/>
      <c r="Z810" s="44"/>
      <c r="AA810" s="44" t="s">
        <v>2943</v>
      </c>
      <c r="AB810" s="44" t="s">
        <v>2944</v>
      </c>
    </row>
    <row r="811" spans="1:28" ht="15.75" hidden="1" customHeight="1">
      <c r="A811" s="44"/>
      <c r="B811" s="44"/>
      <c r="C811" s="44"/>
      <c r="D811" s="44"/>
      <c r="E811" s="44"/>
      <c r="F811" s="44"/>
      <c r="G811" s="48"/>
      <c r="H811" s="48"/>
      <c r="I811" s="48"/>
      <c r="J811" s="48"/>
      <c r="K811" s="48"/>
      <c r="L811" s="48"/>
      <c r="M811" s="48"/>
      <c r="N811" s="48"/>
      <c r="O811" s="44"/>
      <c r="P811" s="44"/>
      <c r="Q811" s="44"/>
      <c r="R811" s="44"/>
      <c r="S811" s="44"/>
      <c r="T811" s="44"/>
      <c r="U811" s="44"/>
      <c r="V811" s="44"/>
      <c r="W811" s="44"/>
      <c r="X811" s="44"/>
      <c r="Y811" s="44"/>
      <c r="Z811" s="44"/>
      <c r="AA811" s="44" t="s">
        <v>2945</v>
      </c>
      <c r="AB811" s="44" t="s">
        <v>2946</v>
      </c>
    </row>
    <row r="812" spans="1:28" ht="15.75" hidden="1" customHeight="1">
      <c r="A812" s="44"/>
      <c r="B812" s="44"/>
      <c r="C812" s="44"/>
      <c r="D812" s="44"/>
      <c r="E812" s="44"/>
      <c r="F812" s="44"/>
      <c r="G812" s="48"/>
      <c r="H812" s="48"/>
      <c r="I812" s="48"/>
      <c r="J812" s="48"/>
      <c r="K812" s="48"/>
      <c r="L812" s="48"/>
      <c r="M812" s="48"/>
      <c r="N812" s="48"/>
      <c r="O812" s="44"/>
      <c r="P812" s="44"/>
      <c r="Q812" s="44"/>
      <c r="R812" s="44"/>
      <c r="S812" s="44"/>
      <c r="T812" s="44"/>
      <c r="U812" s="44"/>
      <c r="V812" s="44"/>
      <c r="W812" s="44"/>
      <c r="X812" s="44"/>
      <c r="Y812" s="44"/>
      <c r="Z812" s="44"/>
      <c r="AA812" s="44" t="s">
        <v>2947</v>
      </c>
      <c r="AB812" s="44" t="s">
        <v>2948</v>
      </c>
    </row>
    <row r="813" spans="1:28" ht="15.75" hidden="1" customHeight="1">
      <c r="A813" s="44"/>
      <c r="B813" s="44"/>
      <c r="C813" s="44"/>
      <c r="D813" s="44"/>
      <c r="E813" s="44"/>
      <c r="F813" s="44"/>
      <c r="G813" s="48"/>
      <c r="H813" s="48"/>
      <c r="I813" s="48"/>
      <c r="J813" s="48"/>
      <c r="K813" s="48"/>
      <c r="L813" s="48"/>
      <c r="M813" s="48"/>
      <c r="N813" s="48"/>
      <c r="O813" s="44"/>
      <c r="P813" s="44"/>
      <c r="Q813" s="44"/>
      <c r="R813" s="44"/>
      <c r="S813" s="44"/>
      <c r="T813" s="44"/>
      <c r="U813" s="44"/>
      <c r="V813" s="44"/>
      <c r="W813" s="44"/>
      <c r="X813" s="44"/>
      <c r="Y813" s="44"/>
      <c r="Z813" s="44"/>
      <c r="AA813" s="44" t="s">
        <v>2949</v>
      </c>
      <c r="AB813" s="44" t="s">
        <v>2950</v>
      </c>
    </row>
    <row r="814" spans="1:28" ht="15.75" hidden="1" customHeight="1">
      <c r="A814" s="44"/>
      <c r="B814" s="44"/>
      <c r="C814" s="44"/>
      <c r="D814" s="44"/>
      <c r="E814" s="44"/>
      <c r="F814" s="44"/>
      <c r="G814" s="48"/>
      <c r="H814" s="48"/>
      <c r="I814" s="48"/>
      <c r="J814" s="48"/>
      <c r="K814" s="48"/>
      <c r="L814" s="48"/>
      <c r="M814" s="48"/>
      <c r="N814" s="48"/>
      <c r="O814" s="44"/>
      <c r="P814" s="44"/>
      <c r="Q814" s="44"/>
      <c r="R814" s="44"/>
      <c r="S814" s="44"/>
      <c r="T814" s="44"/>
      <c r="U814" s="44"/>
      <c r="V814" s="44"/>
      <c r="W814" s="44"/>
      <c r="X814" s="44"/>
      <c r="Y814" s="44"/>
      <c r="Z814" s="44"/>
      <c r="AA814" s="44" t="s">
        <v>2951</v>
      </c>
      <c r="AB814" s="44" t="s">
        <v>2952</v>
      </c>
    </row>
    <row r="815" spans="1:28" ht="15.75" hidden="1" customHeight="1">
      <c r="A815" s="44"/>
      <c r="B815" s="44"/>
      <c r="C815" s="44"/>
      <c r="D815" s="44"/>
      <c r="E815" s="44"/>
      <c r="F815" s="44"/>
      <c r="G815" s="48"/>
      <c r="H815" s="48"/>
      <c r="I815" s="48"/>
      <c r="J815" s="48"/>
      <c r="K815" s="48"/>
      <c r="L815" s="48"/>
      <c r="M815" s="48"/>
      <c r="N815" s="48"/>
      <c r="O815" s="44"/>
      <c r="P815" s="44"/>
      <c r="Q815" s="44"/>
      <c r="R815" s="44"/>
      <c r="S815" s="44"/>
      <c r="T815" s="44"/>
      <c r="U815" s="44"/>
      <c r="V815" s="44"/>
      <c r="W815" s="44"/>
      <c r="X815" s="44"/>
      <c r="Y815" s="44"/>
      <c r="Z815" s="44"/>
      <c r="AA815" s="44" t="s">
        <v>2953</v>
      </c>
      <c r="AB815" s="44" t="s">
        <v>2954</v>
      </c>
    </row>
    <row r="816" spans="1:28" ht="15.75" hidden="1" customHeight="1">
      <c r="A816" s="44"/>
      <c r="B816" s="44"/>
      <c r="C816" s="44"/>
      <c r="D816" s="44"/>
      <c r="E816" s="44"/>
      <c r="F816" s="44"/>
      <c r="G816" s="48"/>
      <c r="H816" s="48"/>
      <c r="I816" s="48"/>
      <c r="J816" s="48"/>
      <c r="K816" s="48"/>
      <c r="L816" s="48"/>
      <c r="M816" s="48"/>
      <c r="N816" s="48"/>
      <c r="O816" s="44"/>
      <c r="P816" s="44"/>
      <c r="Q816" s="44"/>
      <c r="R816" s="44"/>
      <c r="S816" s="44"/>
      <c r="T816" s="44"/>
      <c r="U816" s="44"/>
      <c r="V816" s="44"/>
      <c r="W816" s="44"/>
      <c r="X816" s="44"/>
      <c r="Y816" s="44"/>
      <c r="Z816" s="44"/>
      <c r="AA816" s="44" t="s">
        <v>2955</v>
      </c>
      <c r="AB816" s="44" t="s">
        <v>2956</v>
      </c>
    </row>
    <row r="817" spans="1:28" ht="15.75" hidden="1" customHeight="1">
      <c r="A817" s="44"/>
      <c r="B817" s="44"/>
      <c r="C817" s="44"/>
      <c r="D817" s="44"/>
      <c r="E817" s="44"/>
      <c r="F817" s="44"/>
      <c r="G817" s="48"/>
      <c r="H817" s="48"/>
      <c r="I817" s="48"/>
      <c r="J817" s="48"/>
      <c r="K817" s="48"/>
      <c r="L817" s="48"/>
      <c r="M817" s="48"/>
      <c r="N817" s="48"/>
      <c r="O817" s="44"/>
      <c r="P817" s="44"/>
      <c r="Q817" s="44"/>
      <c r="R817" s="44"/>
      <c r="S817" s="44"/>
      <c r="T817" s="44"/>
      <c r="U817" s="44"/>
      <c r="V817" s="44"/>
      <c r="W817" s="44"/>
      <c r="X817" s="44"/>
      <c r="Y817" s="44"/>
      <c r="Z817" s="44"/>
      <c r="AA817" s="44" t="s">
        <v>2957</v>
      </c>
      <c r="AB817" s="44" t="s">
        <v>2958</v>
      </c>
    </row>
    <row r="818" spans="1:28" ht="15.75" hidden="1" customHeight="1">
      <c r="A818" s="44"/>
      <c r="B818" s="44"/>
      <c r="C818" s="44"/>
      <c r="D818" s="44"/>
      <c r="E818" s="44"/>
      <c r="F818" s="44"/>
      <c r="G818" s="48"/>
      <c r="H818" s="48"/>
      <c r="I818" s="48"/>
      <c r="J818" s="48"/>
      <c r="K818" s="48"/>
      <c r="L818" s="48"/>
      <c r="M818" s="48"/>
      <c r="N818" s="48"/>
      <c r="O818" s="44"/>
      <c r="P818" s="44"/>
      <c r="Q818" s="44"/>
      <c r="R818" s="44"/>
      <c r="S818" s="44"/>
      <c r="T818" s="44"/>
      <c r="U818" s="44"/>
      <c r="V818" s="44"/>
      <c r="W818" s="44"/>
      <c r="X818" s="44"/>
      <c r="Y818" s="44"/>
      <c r="Z818" s="44"/>
      <c r="AA818" s="44" t="s">
        <v>2959</v>
      </c>
      <c r="AB818" s="44" t="s">
        <v>2960</v>
      </c>
    </row>
    <row r="819" spans="1:28" ht="15.75" hidden="1" customHeight="1">
      <c r="A819" s="44"/>
      <c r="B819" s="44"/>
      <c r="C819" s="44"/>
      <c r="D819" s="44"/>
      <c r="E819" s="44"/>
      <c r="F819" s="44"/>
      <c r="G819" s="48"/>
      <c r="H819" s="48"/>
      <c r="I819" s="48"/>
      <c r="J819" s="48"/>
      <c r="K819" s="48"/>
      <c r="L819" s="48"/>
      <c r="M819" s="48"/>
      <c r="N819" s="48"/>
      <c r="O819" s="44"/>
      <c r="P819" s="44"/>
      <c r="Q819" s="44"/>
      <c r="R819" s="44"/>
      <c r="S819" s="44"/>
      <c r="T819" s="44"/>
      <c r="U819" s="44"/>
      <c r="V819" s="44"/>
      <c r="W819" s="44"/>
      <c r="X819" s="44"/>
      <c r="Y819" s="44"/>
      <c r="Z819" s="44"/>
      <c r="AA819" s="44" t="s">
        <v>2961</v>
      </c>
      <c r="AB819" s="44" t="s">
        <v>2962</v>
      </c>
    </row>
    <row r="820" spans="1:28" ht="15.75" hidden="1" customHeight="1">
      <c r="A820" s="44"/>
      <c r="B820" s="44"/>
      <c r="C820" s="44"/>
      <c r="D820" s="44"/>
      <c r="E820" s="44"/>
      <c r="F820" s="44"/>
      <c r="G820" s="48"/>
      <c r="H820" s="48"/>
      <c r="I820" s="48"/>
      <c r="J820" s="48"/>
      <c r="K820" s="48"/>
      <c r="L820" s="48"/>
      <c r="M820" s="48"/>
      <c r="N820" s="48"/>
      <c r="O820" s="44"/>
      <c r="P820" s="44"/>
      <c r="Q820" s="44"/>
      <c r="R820" s="44"/>
      <c r="S820" s="44"/>
      <c r="T820" s="44"/>
      <c r="U820" s="44"/>
      <c r="V820" s="44"/>
      <c r="W820" s="44"/>
      <c r="X820" s="44"/>
      <c r="Y820" s="44"/>
      <c r="Z820" s="44"/>
      <c r="AA820" s="44" t="s">
        <v>2963</v>
      </c>
      <c r="AB820" s="44" t="s">
        <v>2894</v>
      </c>
    </row>
    <row r="821" spans="1:28" ht="15.75" hidden="1" customHeight="1">
      <c r="A821" s="44"/>
      <c r="B821" s="44"/>
      <c r="C821" s="44"/>
      <c r="D821" s="44"/>
      <c r="E821" s="44"/>
      <c r="F821" s="44"/>
      <c r="G821" s="48"/>
      <c r="H821" s="48"/>
      <c r="I821" s="48"/>
      <c r="J821" s="48"/>
      <c r="K821" s="48"/>
      <c r="L821" s="48"/>
      <c r="M821" s="48"/>
      <c r="N821" s="48"/>
      <c r="O821" s="44"/>
      <c r="P821" s="44"/>
      <c r="Q821" s="44"/>
      <c r="R821" s="44"/>
      <c r="S821" s="44"/>
      <c r="T821" s="44"/>
      <c r="U821" s="44"/>
      <c r="V821" s="44"/>
      <c r="W821" s="44"/>
      <c r="X821" s="44"/>
      <c r="Y821" s="44"/>
      <c r="Z821" s="44"/>
      <c r="AA821" s="44" t="s">
        <v>2964</v>
      </c>
      <c r="AB821" s="44" t="s">
        <v>2900</v>
      </c>
    </row>
    <row r="822" spans="1:28" ht="15.75" hidden="1" customHeight="1">
      <c r="A822" s="44"/>
      <c r="B822" s="44"/>
      <c r="C822" s="44"/>
      <c r="D822" s="44"/>
      <c r="E822" s="44"/>
      <c r="F822" s="44"/>
      <c r="G822" s="48"/>
      <c r="H822" s="48"/>
      <c r="I822" s="48"/>
      <c r="J822" s="48"/>
      <c r="K822" s="48"/>
      <c r="L822" s="48"/>
      <c r="M822" s="48"/>
      <c r="N822" s="48"/>
      <c r="O822" s="44"/>
      <c r="P822" s="44"/>
      <c r="Q822" s="44"/>
      <c r="R822" s="44"/>
      <c r="S822" s="44"/>
      <c r="T822" s="44"/>
      <c r="U822" s="44"/>
      <c r="V822" s="44"/>
      <c r="W822" s="44"/>
      <c r="X822" s="44"/>
      <c r="Y822" s="44"/>
      <c r="Z822" s="44"/>
      <c r="AA822" s="44" t="s">
        <v>2965</v>
      </c>
      <c r="AB822" s="44" t="s">
        <v>2966</v>
      </c>
    </row>
    <row r="823" spans="1:28" ht="15.75" hidden="1" customHeight="1">
      <c r="A823" s="44"/>
      <c r="B823" s="44"/>
      <c r="C823" s="44"/>
      <c r="D823" s="44"/>
      <c r="E823" s="44"/>
      <c r="F823" s="44"/>
      <c r="G823" s="48"/>
      <c r="H823" s="48"/>
      <c r="I823" s="48"/>
      <c r="J823" s="48"/>
      <c r="K823" s="48"/>
      <c r="L823" s="48"/>
      <c r="M823" s="48"/>
      <c r="N823" s="48"/>
      <c r="O823" s="44"/>
      <c r="P823" s="44"/>
      <c r="Q823" s="44"/>
      <c r="R823" s="44"/>
      <c r="S823" s="44"/>
      <c r="T823" s="44"/>
      <c r="U823" s="44"/>
      <c r="V823" s="44"/>
      <c r="W823" s="44"/>
      <c r="X823" s="44"/>
      <c r="Y823" s="44"/>
      <c r="Z823" s="44"/>
      <c r="AA823" s="44" t="s">
        <v>2967</v>
      </c>
      <c r="AB823" s="44" t="s">
        <v>2968</v>
      </c>
    </row>
    <row r="824" spans="1:28" ht="15.75" hidden="1" customHeight="1">
      <c r="A824" s="44"/>
      <c r="B824" s="44"/>
      <c r="C824" s="44"/>
      <c r="D824" s="44"/>
      <c r="E824" s="44"/>
      <c r="F824" s="44"/>
      <c r="G824" s="48"/>
      <c r="H824" s="48"/>
      <c r="I824" s="48"/>
      <c r="J824" s="48"/>
      <c r="K824" s="48"/>
      <c r="L824" s="48"/>
      <c r="M824" s="48"/>
      <c r="N824" s="48"/>
      <c r="O824" s="44"/>
      <c r="P824" s="44"/>
      <c r="Q824" s="44"/>
      <c r="R824" s="44"/>
      <c r="S824" s="44"/>
      <c r="T824" s="44"/>
      <c r="U824" s="44"/>
      <c r="V824" s="44"/>
      <c r="W824" s="44"/>
      <c r="X824" s="44"/>
      <c r="Y824" s="44"/>
      <c r="Z824" s="44"/>
      <c r="AA824" s="44" t="s">
        <v>2969</v>
      </c>
      <c r="AB824" s="44" t="s">
        <v>2970</v>
      </c>
    </row>
    <row r="825" spans="1:28" ht="15.75" hidden="1" customHeight="1">
      <c r="A825" s="44"/>
      <c r="B825" s="44"/>
      <c r="C825" s="44"/>
      <c r="D825" s="44"/>
      <c r="E825" s="44"/>
      <c r="F825" s="44"/>
      <c r="G825" s="48"/>
      <c r="H825" s="48"/>
      <c r="I825" s="48"/>
      <c r="J825" s="48"/>
      <c r="K825" s="48"/>
      <c r="L825" s="48"/>
      <c r="M825" s="48"/>
      <c r="N825" s="48"/>
      <c r="O825" s="44"/>
      <c r="P825" s="44"/>
      <c r="Q825" s="44"/>
      <c r="R825" s="44"/>
      <c r="S825" s="44"/>
      <c r="T825" s="44"/>
      <c r="U825" s="44"/>
      <c r="V825" s="44"/>
      <c r="W825" s="44"/>
      <c r="X825" s="44"/>
      <c r="Y825" s="44"/>
      <c r="Z825" s="44"/>
      <c r="AA825" s="44" t="s">
        <v>2971</v>
      </c>
      <c r="AB825" s="44" t="s">
        <v>2972</v>
      </c>
    </row>
    <row r="826" spans="1:28" ht="15.75" hidden="1" customHeight="1">
      <c r="A826" s="44"/>
      <c r="B826" s="44"/>
      <c r="C826" s="44"/>
      <c r="D826" s="44"/>
      <c r="E826" s="44"/>
      <c r="F826" s="44"/>
      <c r="G826" s="48"/>
      <c r="H826" s="48"/>
      <c r="I826" s="48"/>
      <c r="J826" s="48"/>
      <c r="K826" s="48"/>
      <c r="L826" s="48"/>
      <c r="M826" s="48"/>
      <c r="N826" s="48"/>
      <c r="O826" s="44"/>
      <c r="P826" s="44"/>
      <c r="Q826" s="44"/>
      <c r="R826" s="44"/>
      <c r="S826" s="44"/>
      <c r="T826" s="44"/>
      <c r="U826" s="44"/>
      <c r="V826" s="44"/>
      <c r="W826" s="44"/>
      <c r="X826" s="44"/>
      <c r="Y826" s="44"/>
      <c r="Z826" s="44"/>
      <c r="AA826" s="44" t="s">
        <v>2973</v>
      </c>
      <c r="AB826" s="44" t="s">
        <v>2974</v>
      </c>
    </row>
    <row r="827" spans="1:28" ht="15.75" hidden="1" customHeight="1">
      <c r="A827" s="44"/>
      <c r="B827" s="44"/>
      <c r="C827" s="44"/>
      <c r="D827" s="44"/>
      <c r="E827" s="44"/>
      <c r="F827" s="44"/>
      <c r="G827" s="48"/>
      <c r="H827" s="48"/>
      <c r="I827" s="48"/>
      <c r="J827" s="48"/>
      <c r="K827" s="48"/>
      <c r="L827" s="48"/>
      <c r="M827" s="48"/>
      <c r="N827" s="48"/>
      <c r="O827" s="44"/>
      <c r="P827" s="44"/>
      <c r="Q827" s="44"/>
      <c r="R827" s="44"/>
      <c r="S827" s="44"/>
      <c r="T827" s="44"/>
      <c r="U827" s="44"/>
      <c r="V827" s="44"/>
      <c r="W827" s="44"/>
      <c r="X827" s="44"/>
      <c r="Y827" s="44"/>
      <c r="Z827" s="44"/>
      <c r="AA827" s="44" t="s">
        <v>2975</v>
      </c>
      <c r="AB827" s="44" t="s">
        <v>2976</v>
      </c>
    </row>
    <row r="828" spans="1:28" ht="15.75" hidden="1" customHeight="1">
      <c r="A828" s="44"/>
      <c r="B828" s="44"/>
      <c r="C828" s="44"/>
      <c r="D828" s="44"/>
      <c r="E828" s="44"/>
      <c r="F828" s="44"/>
      <c r="G828" s="48"/>
      <c r="H828" s="48"/>
      <c r="I828" s="48"/>
      <c r="J828" s="48"/>
      <c r="K828" s="48"/>
      <c r="L828" s="48"/>
      <c r="M828" s="48"/>
      <c r="N828" s="48"/>
      <c r="O828" s="44"/>
      <c r="P828" s="44"/>
      <c r="Q828" s="44"/>
      <c r="R828" s="44"/>
      <c r="S828" s="44"/>
      <c r="T828" s="44"/>
      <c r="U828" s="44"/>
      <c r="V828" s="44"/>
      <c r="W828" s="44"/>
      <c r="X828" s="44"/>
      <c r="Y828" s="44"/>
      <c r="Z828" s="44"/>
      <c r="AA828" s="44" t="s">
        <v>2977</v>
      </c>
      <c r="AB828" s="44" t="s">
        <v>2978</v>
      </c>
    </row>
    <row r="829" spans="1:28" ht="15.75" hidden="1" customHeight="1">
      <c r="A829" s="44"/>
      <c r="B829" s="44"/>
      <c r="C829" s="44"/>
      <c r="D829" s="44"/>
      <c r="E829" s="44"/>
      <c r="F829" s="44"/>
      <c r="G829" s="48"/>
      <c r="H829" s="48"/>
      <c r="I829" s="48"/>
      <c r="J829" s="48"/>
      <c r="K829" s="48"/>
      <c r="L829" s="48"/>
      <c r="M829" s="48"/>
      <c r="N829" s="48"/>
      <c r="O829" s="44"/>
      <c r="P829" s="44"/>
      <c r="Q829" s="44"/>
      <c r="R829" s="44"/>
      <c r="S829" s="44"/>
      <c r="T829" s="44"/>
      <c r="U829" s="44"/>
      <c r="V829" s="44"/>
      <c r="W829" s="44"/>
      <c r="X829" s="44"/>
      <c r="Y829" s="44"/>
      <c r="Z829" s="44"/>
      <c r="AA829" s="44" t="s">
        <v>2979</v>
      </c>
      <c r="AB829" s="44" t="s">
        <v>2980</v>
      </c>
    </row>
    <row r="830" spans="1:28" ht="15.75" hidden="1" customHeight="1">
      <c r="A830" s="44"/>
      <c r="B830" s="44"/>
      <c r="C830" s="44"/>
      <c r="D830" s="44"/>
      <c r="E830" s="44"/>
      <c r="F830" s="44"/>
      <c r="G830" s="48"/>
      <c r="H830" s="48"/>
      <c r="I830" s="48"/>
      <c r="J830" s="48"/>
      <c r="K830" s="48"/>
      <c r="L830" s="48"/>
      <c r="M830" s="48"/>
      <c r="N830" s="48"/>
      <c r="O830" s="44"/>
      <c r="P830" s="44"/>
      <c r="Q830" s="44"/>
      <c r="R830" s="44"/>
      <c r="S830" s="44"/>
      <c r="T830" s="44"/>
      <c r="U830" s="44"/>
      <c r="V830" s="44"/>
      <c r="W830" s="44"/>
      <c r="X830" s="44"/>
      <c r="Y830" s="44"/>
      <c r="Z830" s="44"/>
      <c r="AA830" s="44" t="s">
        <v>2981</v>
      </c>
      <c r="AB830" s="44" t="s">
        <v>2982</v>
      </c>
    </row>
    <row r="831" spans="1:28" ht="15.75" hidden="1" customHeight="1">
      <c r="A831" s="44"/>
      <c r="B831" s="44"/>
      <c r="C831" s="44"/>
      <c r="D831" s="44"/>
      <c r="E831" s="44"/>
      <c r="F831" s="44"/>
      <c r="G831" s="48"/>
      <c r="H831" s="48"/>
      <c r="I831" s="48"/>
      <c r="J831" s="48"/>
      <c r="K831" s="48"/>
      <c r="L831" s="48"/>
      <c r="M831" s="48"/>
      <c r="N831" s="48"/>
      <c r="O831" s="44"/>
      <c r="P831" s="44"/>
      <c r="Q831" s="44"/>
      <c r="R831" s="44"/>
      <c r="S831" s="44"/>
      <c r="T831" s="44"/>
      <c r="U831" s="44"/>
      <c r="V831" s="44"/>
      <c r="W831" s="44"/>
      <c r="X831" s="44"/>
      <c r="Y831" s="44"/>
      <c r="Z831" s="44"/>
      <c r="AA831" s="44" t="s">
        <v>2983</v>
      </c>
      <c r="AB831" s="44" t="s">
        <v>2984</v>
      </c>
    </row>
    <row r="832" spans="1:28" ht="15.75" hidden="1" customHeight="1">
      <c r="A832" s="44"/>
      <c r="B832" s="44"/>
      <c r="C832" s="44"/>
      <c r="D832" s="44"/>
      <c r="E832" s="44"/>
      <c r="F832" s="44"/>
      <c r="G832" s="48"/>
      <c r="H832" s="48"/>
      <c r="I832" s="48"/>
      <c r="J832" s="48"/>
      <c r="K832" s="48"/>
      <c r="L832" s="48"/>
      <c r="M832" s="48"/>
      <c r="N832" s="48"/>
      <c r="O832" s="44"/>
      <c r="P832" s="44"/>
      <c r="Q832" s="44"/>
      <c r="R832" s="44"/>
      <c r="S832" s="44"/>
      <c r="T832" s="44"/>
      <c r="U832" s="44"/>
      <c r="V832" s="44"/>
      <c r="W832" s="44"/>
      <c r="X832" s="44"/>
      <c r="Y832" s="44"/>
      <c r="Z832" s="44"/>
      <c r="AA832" s="44" t="s">
        <v>2985</v>
      </c>
      <c r="AB832" s="44" t="s">
        <v>2986</v>
      </c>
    </row>
    <row r="833" spans="1:28" ht="15.75" hidden="1" customHeight="1">
      <c r="A833" s="44"/>
      <c r="B833" s="44"/>
      <c r="C833" s="44"/>
      <c r="D833" s="44"/>
      <c r="E833" s="44"/>
      <c r="F833" s="44"/>
      <c r="G833" s="48"/>
      <c r="H833" s="48"/>
      <c r="I833" s="48"/>
      <c r="J833" s="48"/>
      <c r="K833" s="48"/>
      <c r="L833" s="48"/>
      <c r="M833" s="48"/>
      <c r="N833" s="48"/>
      <c r="O833" s="44"/>
      <c r="P833" s="44"/>
      <c r="Q833" s="44"/>
      <c r="R833" s="44"/>
      <c r="S833" s="44"/>
      <c r="T833" s="44"/>
      <c r="U833" s="44"/>
      <c r="V833" s="44"/>
      <c r="W833" s="44"/>
      <c r="X833" s="44"/>
      <c r="Y833" s="44"/>
      <c r="Z833" s="44"/>
      <c r="AA833" s="44" t="s">
        <v>2987</v>
      </c>
      <c r="AB833" s="44" t="s">
        <v>2988</v>
      </c>
    </row>
    <row r="834" spans="1:28" ht="15.75" hidden="1" customHeight="1">
      <c r="A834" s="44"/>
      <c r="B834" s="44"/>
      <c r="C834" s="44"/>
      <c r="D834" s="44"/>
      <c r="E834" s="44"/>
      <c r="F834" s="44"/>
      <c r="G834" s="48"/>
      <c r="H834" s="48"/>
      <c r="I834" s="48"/>
      <c r="J834" s="48"/>
      <c r="K834" s="48"/>
      <c r="L834" s="48"/>
      <c r="M834" s="48"/>
      <c r="N834" s="48"/>
      <c r="O834" s="44"/>
      <c r="P834" s="44"/>
      <c r="Q834" s="44"/>
      <c r="R834" s="44"/>
      <c r="S834" s="44"/>
      <c r="T834" s="44"/>
      <c r="U834" s="44"/>
      <c r="V834" s="44"/>
      <c r="W834" s="44"/>
      <c r="X834" s="44"/>
      <c r="Y834" s="44"/>
      <c r="Z834" s="44"/>
      <c r="AA834" s="44" t="s">
        <v>2989</v>
      </c>
      <c r="AB834" s="44" t="s">
        <v>2990</v>
      </c>
    </row>
    <row r="835" spans="1:28" ht="15.75" hidden="1" customHeight="1">
      <c r="A835" s="44"/>
      <c r="B835" s="44"/>
      <c r="C835" s="44"/>
      <c r="D835" s="44"/>
      <c r="E835" s="44"/>
      <c r="F835" s="44"/>
      <c r="G835" s="48"/>
      <c r="H835" s="48"/>
      <c r="I835" s="48"/>
      <c r="J835" s="48"/>
      <c r="K835" s="48"/>
      <c r="L835" s="48"/>
      <c r="M835" s="48"/>
      <c r="N835" s="48"/>
      <c r="O835" s="44"/>
      <c r="P835" s="44"/>
      <c r="Q835" s="44"/>
      <c r="R835" s="44"/>
      <c r="S835" s="44"/>
      <c r="T835" s="44"/>
      <c r="U835" s="44"/>
      <c r="V835" s="44"/>
      <c r="W835" s="44"/>
      <c r="X835" s="44"/>
      <c r="Y835" s="44"/>
      <c r="Z835" s="44"/>
      <c r="AA835" s="44" t="s">
        <v>2991</v>
      </c>
      <c r="AB835" s="44" t="s">
        <v>2992</v>
      </c>
    </row>
    <row r="836" spans="1:28" ht="15.75" hidden="1" customHeight="1">
      <c r="A836" s="44"/>
      <c r="B836" s="44"/>
      <c r="C836" s="44"/>
      <c r="D836" s="44"/>
      <c r="E836" s="44"/>
      <c r="F836" s="44"/>
      <c r="G836" s="48"/>
      <c r="H836" s="48"/>
      <c r="I836" s="48"/>
      <c r="J836" s="48"/>
      <c r="K836" s="48"/>
      <c r="L836" s="48"/>
      <c r="M836" s="48"/>
      <c r="N836" s="48"/>
      <c r="O836" s="44"/>
      <c r="P836" s="44"/>
      <c r="Q836" s="44"/>
      <c r="R836" s="44"/>
      <c r="S836" s="44"/>
      <c r="T836" s="44"/>
      <c r="U836" s="44"/>
      <c r="V836" s="44"/>
      <c r="W836" s="44"/>
      <c r="X836" s="44"/>
      <c r="Y836" s="44"/>
      <c r="Z836" s="44"/>
      <c r="AA836" s="44" t="s">
        <v>2993</v>
      </c>
      <c r="AB836" s="44" t="s">
        <v>2994</v>
      </c>
    </row>
    <row r="837" spans="1:28" ht="15.75" hidden="1" customHeight="1">
      <c r="A837" s="44"/>
      <c r="B837" s="44"/>
      <c r="C837" s="44"/>
      <c r="D837" s="44"/>
      <c r="E837" s="44"/>
      <c r="F837" s="44"/>
      <c r="G837" s="48"/>
      <c r="H837" s="48"/>
      <c r="I837" s="48"/>
      <c r="J837" s="48"/>
      <c r="K837" s="48"/>
      <c r="L837" s="48"/>
      <c r="M837" s="48"/>
      <c r="N837" s="48"/>
      <c r="O837" s="44"/>
      <c r="P837" s="44"/>
      <c r="Q837" s="44"/>
      <c r="R837" s="44"/>
      <c r="S837" s="44"/>
      <c r="T837" s="44"/>
      <c r="U837" s="44"/>
      <c r="V837" s="44"/>
      <c r="W837" s="44"/>
      <c r="X837" s="44"/>
      <c r="Y837" s="44"/>
      <c r="Z837" s="44"/>
      <c r="AA837" s="44" t="s">
        <v>2995</v>
      </c>
      <c r="AB837" s="44" t="s">
        <v>2996</v>
      </c>
    </row>
    <row r="838" spans="1:28" ht="15.75" hidden="1" customHeight="1">
      <c r="A838" s="44"/>
      <c r="B838" s="44"/>
      <c r="C838" s="44"/>
      <c r="D838" s="44"/>
      <c r="E838" s="44"/>
      <c r="F838" s="44"/>
      <c r="G838" s="48"/>
      <c r="H838" s="48"/>
      <c r="I838" s="48"/>
      <c r="J838" s="48"/>
      <c r="K838" s="48"/>
      <c r="L838" s="48"/>
      <c r="M838" s="48"/>
      <c r="N838" s="48"/>
      <c r="O838" s="44"/>
      <c r="P838" s="44"/>
      <c r="Q838" s="44"/>
      <c r="R838" s="44"/>
      <c r="S838" s="44"/>
      <c r="T838" s="44"/>
      <c r="U838" s="44"/>
      <c r="V838" s="44"/>
      <c r="W838" s="44"/>
      <c r="X838" s="44"/>
      <c r="Y838" s="44"/>
      <c r="Z838" s="44"/>
      <c r="AA838" s="44" t="s">
        <v>2997</v>
      </c>
      <c r="AB838" s="44" t="s">
        <v>2998</v>
      </c>
    </row>
    <row r="839" spans="1:28" ht="15.75" hidden="1" customHeight="1">
      <c r="A839" s="44"/>
      <c r="B839" s="44"/>
      <c r="C839" s="44"/>
      <c r="D839" s="44"/>
      <c r="E839" s="44"/>
      <c r="F839" s="44"/>
      <c r="G839" s="48"/>
      <c r="H839" s="48"/>
      <c r="I839" s="48"/>
      <c r="J839" s="48"/>
      <c r="K839" s="48"/>
      <c r="L839" s="48"/>
      <c r="M839" s="48"/>
      <c r="N839" s="48"/>
      <c r="O839" s="44"/>
      <c r="P839" s="44"/>
      <c r="Q839" s="44"/>
      <c r="R839" s="44"/>
      <c r="S839" s="44"/>
      <c r="T839" s="44"/>
      <c r="U839" s="44"/>
      <c r="V839" s="44"/>
      <c r="W839" s="44"/>
      <c r="X839" s="44"/>
      <c r="Y839" s="44"/>
      <c r="Z839" s="44"/>
      <c r="AA839" s="44" t="s">
        <v>2999</v>
      </c>
      <c r="AB839" s="44" t="s">
        <v>3000</v>
      </c>
    </row>
    <row r="840" spans="1:28" ht="15.75" hidden="1" customHeight="1">
      <c r="A840" s="44"/>
      <c r="B840" s="44"/>
      <c r="C840" s="44"/>
      <c r="D840" s="44"/>
      <c r="E840" s="44"/>
      <c r="F840" s="44"/>
      <c r="G840" s="48"/>
      <c r="H840" s="48"/>
      <c r="I840" s="48"/>
      <c r="J840" s="48"/>
      <c r="K840" s="48"/>
      <c r="L840" s="48"/>
      <c r="M840" s="48"/>
      <c r="N840" s="48"/>
      <c r="O840" s="44"/>
      <c r="P840" s="44"/>
      <c r="Q840" s="44"/>
      <c r="R840" s="44"/>
      <c r="S840" s="44"/>
      <c r="T840" s="44"/>
      <c r="U840" s="44"/>
      <c r="V840" s="44"/>
      <c r="W840" s="44"/>
      <c r="X840" s="44"/>
      <c r="Y840" s="44"/>
      <c r="Z840" s="44"/>
      <c r="AA840" s="44" t="s">
        <v>3001</v>
      </c>
      <c r="AB840" s="44" t="s">
        <v>3002</v>
      </c>
    </row>
    <row r="841" spans="1:28" ht="15.75" hidden="1" customHeight="1">
      <c r="A841" s="44"/>
      <c r="B841" s="44"/>
      <c r="C841" s="44"/>
      <c r="D841" s="44"/>
      <c r="E841" s="44"/>
      <c r="F841" s="44"/>
      <c r="G841" s="48"/>
      <c r="H841" s="48"/>
      <c r="I841" s="48"/>
      <c r="J841" s="48"/>
      <c r="K841" s="48"/>
      <c r="L841" s="48"/>
      <c r="M841" s="48"/>
      <c r="N841" s="48"/>
      <c r="O841" s="44"/>
      <c r="P841" s="44"/>
      <c r="Q841" s="44"/>
      <c r="R841" s="44"/>
      <c r="S841" s="44"/>
      <c r="T841" s="44"/>
      <c r="U841" s="44"/>
      <c r="V841" s="44"/>
      <c r="W841" s="44"/>
      <c r="X841" s="44"/>
      <c r="Y841" s="44"/>
      <c r="Z841" s="44"/>
      <c r="AA841" s="44" t="s">
        <v>3003</v>
      </c>
      <c r="AB841" s="44" t="s">
        <v>3004</v>
      </c>
    </row>
    <row r="842" spans="1:28" ht="15.75" hidden="1" customHeight="1">
      <c r="A842" s="44"/>
      <c r="B842" s="44"/>
      <c r="C842" s="44"/>
      <c r="D842" s="44"/>
      <c r="E842" s="44"/>
      <c r="F842" s="44"/>
      <c r="G842" s="48"/>
      <c r="H842" s="48"/>
      <c r="I842" s="48"/>
      <c r="J842" s="48"/>
      <c r="K842" s="48"/>
      <c r="L842" s="48"/>
      <c r="M842" s="48"/>
      <c r="N842" s="48"/>
      <c r="O842" s="44"/>
      <c r="P842" s="44"/>
      <c r="Q842" s="44"/>
      <c r="R842" s="44"/>
      <c r="S842" s="44"/>
      <c r="T842" s="44"/>
      <c r="U842" s="44"/>
      <c r="V842" s="44"/>
      <c r="W842" s="44"/>
      <c r="X842" s="44"/>
      <c r="Y842" s="44"/>
      <c r="Z842" s="44"/>
      <c r="AA842" s="44" t="s">
        <v>3005</v>
      </c>
      <c r="AB842" s="44" t="s">
        <v>3006</v>
      </c>
    </row>
    <row r="843" spans="1:28" ht="15.75" hidden="1" customHeight="1">
      <c r="A843" s="44"/>
      <c r="B843" s="44"/>
      <c r="C843" s="44"/>
      <c r="D843" s="44"/>
      <c r="E843" s="44"/>
      <c r="F843" s="44"/>
      <c r="G843" s="48"/>
      <c r="H843" s="48"/>
      <c r="I843" s="48"/>
      <c r="J843" s="48"/>
      <c r="K843" s="48"/>
      <c r="L843" s="48"/>
      <c r="M843" s="48"/>
      <c r="N843" s="48"/>
      <c r="O843" s="44"/>
      <c r="P843" s="44"/>
      <c r="Q843" s="44"/>
      <c r="R843" s="44"/>
      <c r="S843" s="44"/>
      <c r="T843" s="44"/>
      <c r="U843" s="44"/>
      <c r="V843" s="44"/>
      <c r="W843" s="44"/>
      <c r="X843" s="44"/>
      <c r="Y843" s="44"/>
      <c r="Z843" s="44"/>
      <c r="AA843" s="44" t="s">
        <v>3007</v>
      </c>
      <c r="AB843" s="44" t="s">
        <v>3008</v>
      </c>
    </row>
    <row r="844" spans="1:28" ht="15.75" hidden="1" customHeight="1">
      <c r="A844" s="44"/>
      <c r="B844" s="44"/>
      <c r="C844" s="44"/>
      <c r="D844" s="44"/>
      <c r="E844" s="44"/>
      <c r="F844" s="44"/>
      <c r="G844" s="48"/>
      <c r="H844" s="48"/>
      <c r="I844" s="48"/>
      <c r="J844" s="48"/>
      <c r="K844" s="48"/>
      <c r="L844" s="48"/>
      <c r="M844" s="48"/>
      <c r="N844" s="48"/>
      <c r="O844" s="44"/>
      <c r="P844" s="44"/>
      <c r="Q844" s="44"/>
      <c r="R844" s="44"/>
      <c r="S844" s="44"/>
      <c r="T844" s="44"/>
      <c r="U844" s="44"/>
      <c r="V844" s="44"/>
      <c r="W844" s="44"/>
      <c r="X844" s="44"/>
      <c r="Y844" s="44"/>
      <c r="Z844" s="44"/>
      <c r="AA844" s="44" t="s">
        <v>3009</v>
      </c>
      <c r="AB844" s="44" t="s">
        <v>3010</v>
      </c>
    </row>
    <row r="845" spans="1:28" ht="15.75" hidden="1" customHeight="1">
      <c r="A845" s="44"/>
      <c r="B845" s="44"/>
      <c r="C845" s="44"/>
      <c r="D845" s="44"/>
      <c r="E845" s="44"/>
      <c r="F845" s="44"/>
      <c r="G845" s="48"/>
      <c r="H845" s="48"/>
      <c r="I845" s="48"/>
      <c r="J845" s="48"/>
      <c r="K845" s="48"/>
      <c r="L845" s="48"/>
      <c r="M845" s="48"/>
      <c r="N845" s="48"/>
      <c r="O845" s="44"/>
      <c r="P845" s="44"/>
      <c r="Q845" s="44"/>
      <c r="R845" s="44"/>
      <c r="S845" s="44"/>
      <c r="T845" s="44"/>
      <c r="U845" s="44"/>
      <c r="V845" s="44"/>
      <c r="W845" s="44"/>
      <c r="X845" s="44"/>
      <c r="Y845" s="44"/>
      <c r="Z845" s="44"/>
      <c r="AA845" s="44" t="s">
        <v>3011</v>
      </c>
      <c r="AB845" s="44" t="s">
        <v>3012</v>
      </c>
    </row>
    <row r="846" spans="1:28" ht="15.75" hidden="1" customHeight="1">
      <c r="A846" s="44"/>
      <c r="B846" s="44"/>
      <c r="C846" s="44"/>
      <c r="D846" s="44"/>
      <c r="E846" s="44"/>
      <c r="F846" s="44"/>
      <c r="G846" s="48"/>
      <c r="H846" s="48"/>
      <c r="I846" s="48"/>
      <c r="J846" s="48"/>
      <c r="K846" s="48"/>
      <c r="L846" s="48"/>
      <c r="M846" s="48"/>
      <c r="N846" s="48"/>
      <c r="O846" s="44"/>
      <c r="P846" s="44"/>
      <c r="Q846" s="44"/>
      <c r="R846" s="44"/>
      <c r="S846" s="44"/>
      <c r="T846" s="44"/>
      <c r="U846" s="44"/>
      <c r="V846" s="44"/>
      <c r="W846" s="44"/>
      <c r="X846" s="44"/>
      <c r="Y846" s="44"/>
      <c r="Z846" s="44"/>
      <c r="AA846" s="44" t="s">
        <v>3013</v>
      </c>
      <c r="AB846" s="44" t="s">
        <v>3014</v>
      </c>
    </row>
    <row r="847" spans="1:28" ht="15.75" hidden="1" customHeight="1">
      <c r="A847" s="44"/>
      <c r="B847" s="44"/>
      <c r="C847" s="44"/>
      <c r="D847" s="44"/>
      <c r="E847" s="44"/>
      <c r="F847" s="44"/>
      <c r="G847" s="48"/>
      <c r="H847" s="48"/>
      <c r="I847" s="48"/>
      <c r="J847" s="48"/>
      <c r="K847" s="48"/>
      <c r="L847" s="48"/>
      <c r="M847" s="48"/>
      <c r="N847" s="48"/>
      <c r="O847" s="44"/>
      <c r="P847" s="44"/>
      <c r="Q847" s="44"/>
      <c r="R847" s="44"/>
      <c r="S847" s="44"/>
      <c r="T847" s="44"/>
      <c r="U847" s="44"/>
      <c r="V847" s="44"/>
      <c r="W847" s="44"/>
      <c r="X847" s="44"/>
      <c r="Y847" s="44"/>
      <c r="Z847" s="44"/>
      <c r="AA847" s="44" t="s">
        <v>3015</v>
      </c>
      <c r="AB847" s="44" t="s">
        <v>3016</v>
      </c>
    </row>
    <row r="848" spans="1:28" ht="15.75" hidden="1" customHeight="1">
      <c r="A848" s="44"/>
      <c r="B848" s="44"/>
      <c r="C848" s="44"/>
      <c r="D848" s="44"/>
      <c r="E848" s="44"/>
      <c r="F848" s="44"/>
      <c r="G848" s="48"/>
      <c r="H848" s="48"/>
      <c r="I848" s="48"/>
      <c r="J848" s="48"/>
      <c r="K848" s="48"/>
      <c r="L848" s="48"/>
      <c r="M848" s="48"/>
      <c r="N848" s="48"/>
      <c r="O848" s="44"/>
      <c r="P848" s="44"/>
      <c r="Q848" s="44"/>
      <c r="R848" s="44"/>
      <c r="S848" s="44"/>
      <c r="T848" s="44"/>
      <c r="U848" s="44"/>
      <c r="V848" s="44"/>
      <c r="W848" s="44"/>
      <c r="X848" s="44"/>
      <c r="Y848" s="44"/>
      <c r="Z848" s="44"/>
      <c r="AA848" s="44" t="s">
        <v>3017</v>
      </c>
      <c r="AB848" s="44" t="s">
        <v>3018</v>
      </c>
    </row>
    <row r="849" spans="1:28" ht="15.75" hidden="1" customHeight="1">
      <c r="A849" s="44"/>
      <c r="B849" s="44"/>
      <c r="C849" s="44"/>
      <c r="D849" s="44"/>
      <c r="E849" s="44"/>
      <c r="F849" s="44"/>
      <c r="G849" s="48"/>
      <c r="H849" s="48"/>
      <c r="I849" s="48"/>
      <c r="J849" s="48"/>
      <c r="K849" s="48"/>
      <c r="L849" s="48"/>
      <c r="M849" s="48"/>
      <c r="N849" s="48"/>
      <c r="O849" s="44"/>
      <c r="P849" s="44"/>
      <c r="Q849" s="44"/>
      <c r="R849" s="44"/>
      <c r="S849" s="44"/>
      <c r="T849" s="44"/>
      <c r="U849" s="44"/>
      <c r="V849" s="44"/>
      <c r="W849" s="44"/>
      <c r="X849" s="44"/>
      <c r="Y849" s="44"/>
      <c r="Z849" s="44"/>
      <c r="AA849" s="44" t="s">
        <v>3019</v>
      </c>
      <c r="AB849" s="44" t="s">
        <v>3020</v>
      </c>
    </row>
    <row r="850" spans="1:28" ht="15.75" hidden="1" customHeight="1">
      <c r="A850" s="44"/>
      <c r="B850" s="44"/>
      <c r="C850" s="44"/>
      <c r="D850" s="44"/>
      <c r="E850" s="44"/>
      <c r="F850" s="44"/>
      <c r="G850" s="48"/>
      <c r="H850" s="48"/>
      <c r="I850" s="48"/>
      <c r="J850" s="48"/>
      <c r="K850" s="48"/>
      <c r="L850" s="48"/>
      <c r="M850" s="48"/>
      <c r="N850" s="48"/>
      <c r="O850" s="44"/>
      <c r="P850" s="44"/>
      <c r="Q850" s="44"/>
      <c r="R850" s="44"/>
      <c r="S850" s="44"/>
      <c r="T850" s="44"/>
      <c r="U850" s="44"/>
      <c r="V850" s="44"/>
      <c r="W850" s="44"/>
      <c r="X850" s="44"/>
      <c r="Y850" s="44"/>
      <c r="Z850" s="44"/>
      <c r="AA850" s="44" t="s">
        <v>3021</v>
      </c>
      <c r="AB850" s="44" t="s">
        <v>3022</v>
      </c>
    </row>
    <row r="851" spans="1:28" ht="15.75" hidden="1" customHeight="1">
      <c r="A851" s="44"/>
      <c r="B851" s="44"/>
      <c r="C851" s="44"/>
      <c r="D851" s="44"/>
      <c r="E851" s="44"/>
      <c r="F851" s="44"/>
      <c r="G851" s="48"/>
      <c r="H851" s="48"/>
      <c r="I851" s="48"/>
      <c r="J851" s="48"/>
      <c r="K851" s="48"/>
      <c r="L851" s="48"/>
      <c r="M851" s="48"/>
      <c r="N851" s="48"/>
      <c r="O851" s="44"/>
      <c r="P851" s="44"/>
      <c r="Q851" s="44"/>
      <c r="R851" s="44"/>
      <c r="S851" s="44"/>
      <c r="T851" s="44"/>
      <c r="U851" s="44"/>
      <c r="V851" s="44"/>
      <c r="W851" s="44"/>
      <c r="X851" s="44"/>
      <c r="Y851" s="44"/>
      <c r="Z851" s="44"/>
      <c r="AA851" s="44" t="s">
        <v>3023</v>
      </c>
      <c r="AB851" s="44" t="s">
        <v>3024</v>
      </c>
    </row>
    <row r="852" spans="1:28" ht="15.75" hidden="1" customHeight="1">
      <c r="A852" s="44"/>
      <c r="B852" s="44"/>
      <c r="C852" s="44"/>
      <c r="D852" s="44"/>
      <c r="E852" s="44"/>
      <c r="F852" s="44"/>
      <c r="G852" s="48"/>
      <c r="H852" s="48"/>
      <c r="I852" s="48"/>
      <c r="J852" s="48"/>
      <c r="K852" s="48"/>
      <c r="L852" s="48"/>
      <c r="M852" s="48"/>
      <c r="N852" s="48"/>
      <c r="O852" s="44"/>
      <c r="P852" s="44"/>
      <c r="Q852" s="44"/>
      <c r="R852" s="44"/>
      <c r="S852" s="44"/>
      <c r="T852" s="44"/>
      <c r="U852" s="44"/>
      <c r="V852" s="44"/>
      <c r="W852" s="44"/>
      <c r="X852" s="44"/>
      <c r="Y852" s="44"/>
      <c r="Z852" s="44"/>
      <c r="AA852" s="44" t="s">
        <v>3025</v>
      </c>
      <c r="AB852" s="44" t="s">
        <v>3026</v>
      </c>
    </row>
    <row r="853" spans="1:28" ht="15.75" hidden="1" customHeight="1">
      <c r="A853" s="44"/>
      <c r="B853" s="44"/>
      <c r="C853" s="44"/>
      <c r="D853" s="44"/>
      <c r="E853" s="44"/>
      <c r="F853" s="44"/>
      <c r="G853" s="48"/>
      <c r="H853" s="48"/>
      <c r="I853" s="48"/>
      <c r="J853" s="48"/>
      <c r="K853" s="48"/>
      <c r="L853" s="48"/>
      <c r="M853" s="48"/>
      <c r="N853" s="48"/>
      <c r="O853" s="44"/>
      <c r="P853" s="44"/>
      <c r="Q853" s="44"/>
      <c r="R853" s="44"/>
      <c r="S853" s="44"/>
      <c r="T853" s="44"/>
      <c r="U853" s="44"/>
      <c r="V853" s="44"/>
      <c r="W853" s="44"/>
      <c r="X853" s="44"/>
      <c r="Y853" s="44"/>
      <c r="Z853" s="44"/>
      <c r="AA853" s="44" t="s">
        <v>3027</v>
      </c>
      <c r="AB853" s="44" t="s">
        <v>3028</v>
      </c>
    </row>
    <row r="854" spans="1:28" ht="15.75" hidden="1" customHeight="1">
      <c r="A854" s="44"/>
      <c r="B854" s="44"/>
      <c r="C854" s="44"/>
      <c r="D854" s="44"/>
      <c r="E854" s="44"/>
      <c r="F854" s="44"/>
      <c r="G854" s="48"/>
      <c r="H854" s="48"/>
      <c r="I854" s="48"/>
      <c r="J854" s="48"/>
      <c r="K854" s="48"/>
      <c r="L854" s="48"/>
      <c r="M854" s="48"/>
      <c r="N854" s="48"/>
      <c r="O854" s="44"/>
      <c r="P854" s="44"/>
      <c r="Q854" s="44"/>
      <c r="R854" s="44"/>
      <c r="S854" s="44"/>
      <c r="T854" s="44"/>
      <c r="U854" s="44"/>
      <c r="V854" s="44"/>
      <c r="W854" s="44"/>
      <c r="X854" s="44"/>
      <c r="Y854" s="44"/>
      <c r="Z854" s="44"/>
      <c r="AA854" s="44" t="s">
        <v>3029</v>
      </c>
      <c r="AB854" s="44" t="s">
        <v>3030</v>
      </c>
    </row>
    <row r="855" spans="1:28" ht="15.75" hidden="1" customHeight="1">
      <c r="A855" s="44"/>
      <c r="B855" s="44"/>
      <c r="C855" s="44"/>
      <c r="D855" s="44"/>
      <c r="E855" s="44"/>
      <c r="F855" s="44"/>
      <c r="G855" s="48"/>
      <c r="H855" s="48"/>
      <c r="I855" s="48"/>
      <c r="J855" s="48"/>
      <c r="K855" s="48"/>
      <c r="L855" s="48"/>
      <c r="M855" s="48"/>
      <c r="N855" s="48"/>
      <c r="O855" s="44"/>
      <c r="P855" s="44"/>
      <c r="Q855" s="44"/>
      <c r="R855" s="44"/>
      <c r="S855" s="44"/>
      <c r="T855" s="44"/>
      <c r="U855" s="44"/>
      <c r="V855" s="44"/>
      <c r="W855" s="44"/>
      <c r="X855" s="44"/>
      <c r="Y855" s="44"/>
      <c r="Z855" s="44"/>
      <c r="AA855" s="44" t="s">
        <v>3031</v>
      </c>
      <c r="AB855" s="44" t="s">
        <v>2677</v>
      </c>
    </row>
    <row r="856" spans="1:28" ht="15.75" hidden="1" customHeight="1">
      <c r="A856" s="44"/>
      <c r="B856" s="44"/>
      <c r="C856" s="44"/>
      <c r="D856" s="44"/>
      <c r="E856" s="44"/>
      <c r="F856" s="44"/>
      <c r="G856" s="48"/>
      <c r="H856" s="48"/>
      <c r="I856" s="48"/>
      <c r="J856" s="48"/>
      <c r="K856" s="48"/>
      <c r="L856" s="48"/>
      <c r="M856" s="48"/>
      <c r="N856" s="48"/>
      <c r="O856" s="44"/>
      <c r="P856" s="44"/>
      <c r="Q856" s="44"/>
      <c r="R856" s="44"/>
      <c r="S856" s="44"/>
      <c r="T856" s="44"/>
      <c r="U856" s="44"/>
      <c r="V856" s="44"/>
      <c r="W856" s="44"/>
      <c r="X856" s="44"/>
      <c r="Y856" s="44"/>
      <c r="Z856" s="44"/>
      <c r="AA856" s="44" t="s">
        <v>3032</v>
      </c>
      <c r="AB856" s="44" t="s">
        <v>3033</v>
      </c>
    </row>
    <row r="857" spans="1:28" ht="15.75" hidden="1" customHeight="1">
      <c r="A857" s="44"/>
      <c r="B857" s="44"/>
      <c r="C857" s="44"/>
      <c r="D857" s="44"/>
      <c r="E857" s="44"/>
      <c r="F857" s="44"/>
      <c r="G857" s="48"/>
      <c r="H857" s="48"/>
      <c r="I857" s="48"/>
      <c r="J857" s="48"/>
      <c r="K857" s="48"/>
      <c r="L857" s="48"/>
      <c r="M857" s="48"/>
      <c r="N857" s="48"/>
      <c r="O857" s="44"/>
      <c r="P857" s="44"/>
      <c r="Q857" s="44"/>
      <c r="R857" s="44"/>
      <c r="S857" s="44"/>
      <c r="T857" s="44"/>
      <c r="U857" s="44"/>
      <c r="V857" s="44"/>
      <c r="W857" s="44"/>
      <c r="X857" s="44"/>
      <c r="Y857" s="44"/>
      <c r="Z857" s="44"/>
      <c r="AA857" s="44" t="s">
        <v>3034</v>
      </c>
      <c r="AB857" s="44" t="s">
        <v>3035</v>
      </c>
    </row>
    <row r="858" spans="1:28" ht="15.75" hidden="1" customHeight="1">
      <c r="A858" s="44"/>
      <c r="B858" s="44"/>
      <c r="C858" s="44"/>
      <c r="D858" s="44"/>
      <c r="E858" s="44"/>
      <c r="F858" s="44"/>
      <c r="G858" s="48"/>
      <c r="H858" s="48"/>
      <c r="I858" s="48"/>
      <c r="J858" s="48"/>
      <c r="K858" s="48"/>
      <c r="L858" s="48"/>
      <c r="M858" s="48"/>
      <c r="N858" s="48"/>
      <c r="O858" s="44"/>
      <c r="P858" s="44"/>
      <c r="Q858" s="44"/>
      <c r="R858" s="44"/>
      <c r="S858" s="44"/>
      <c r="T858" s="44"/>
      <c r="U858" s="44"/>
      <c r="V858" s="44"/>
      <c r="W858" s="44"/>
      <c r="X858" s="44"/>
      <c r="Y858" s="44"/>
      <c r="Z858" s="44"/>
      <c r="AA858" s="44" t="s">
        <v>3036</v>
      </c>
      <c r="AB858" s="44" t="s">
        <v>3037</v>
      </c>
    </row>
    <row r="859" spans="1:28" ht="15.75" hidden="1" customHeight="1">
      <c r="A859" s="44"/>
      <c r="B859" s="44"/>
      <c r="C859" s="44"/>
      <c r="D859" s="44"/>
      <c r="E859" s="44"/>
      <c r="F859" s="44"/>
      <c r="G859" s="48"/>
      <c r="H859" s="48"/>
      <c r="I859" s="48"/>
      <c r="J859" s="48"/>
      <c r="K859" s="48"/>
      <c r="L859" s="48"/>
      <c r="M859" s="48"/>
      <c r="N859" s="48"/>
      <c r="O859" s="44"/>
      <c r="P859" s="44"/>
      <c r="Q859" s="44"/>
      <c r="R859" s="44"/>
      <c r="S859" s="44"/>
      <c r="T859" s="44"/>
      <c r="U859" s="44"/>
      <c r="V859" s="44"/>
      <c r="W859" s="44"/>
      <c r="X859" s="44"/>
      <c r="Y859" s="44"/>
      <c r="Z859" s="44"/>
      <c r="AA859" s="44" t="s">
        <v>3038</v>
      </c>
      <c r="AB859" s="44" t="s">
        <v>3039</v>
      </c>
    </row>
    <row r="860" spans="1:28" ht="15.75" hidden="1" customHeight="1">
      <c r="A860" s="44"/>
      <c r="B860" s="44"/>
      <c r="C860" s="44"/>
      <c r="D860" s="44"/>
      <c r="E860" s="44"/>
      <c r="F860" s="44"/>
      <c r="G860" s="48"/>
      <c r="H860" s="48"/>
      <c r="I860" s="48"/>
      <c r="J860" s="48"/>
      <c r="K860" s="48"/>
      <c r="L860" s="48"/>
      <c r="M860" s="48"/>
      <c r="N860" s="48"/>
      <c r="O860" s="44"/>
      <c r="P860" s="44"/>
      <c r="Q860" s="44"/>
      <c r="R860" s="44"/>
      <c r="S860" s="44"/>
      <c r="T860" s="44"/>
      <c r="U860" s="44"/>
      <c r="V860" s="44"/>
      <c r="W860" s="44"/>
      <c r="X860" s="44"/>
      <c r="Y860" s="44"/>
      <c r="Z860" s="44"/>
      <c r="AA860" s="44" t="s">
        <v>3040</v>
      </c>
      <c r="AB860" s="44" t="s">
        <v>3041</v>
      </c>
    </row>
    <row r="861" spans="1:28" ht="15.75" hidden="1" customHeight="1">
      <c r="A861" s="44"/>
      <c r="B861" s="44"/>
      <c r="C861" s="44"/>
      <c r="D861" s="44"/>
      <c r="E861" s="44"/>
      <c r="F861" s="44"/>
      <c r="G861" s="48"/>
      <c r="H861" s="48"/>
      <c r="I861" s="48"/>
      <c r="J861" s="48"/>
      <c r="K861" s="48"/>
      <c r="L861" s="48"/>
      <c r="M861" s="48"/>
      <c r="N861" s="48"/>
      <c r="O861" s="44"/>
      <c r="P861" s="44"/>
      <c r="Q861" s="44"/>
      <c r="R861" s="44"/>
      <c r="S861" s="44"/>
      <c r="T861" s="44"/>
      <c r="U861" s="44"/>
      <c r="V861" s="44"/>
      <c r="W861" s="44"/>
      <c r="X861" s="44"/>
      <c r="Y861" s="44"/>
      <c r="Z861" s="44"/>
      <c r="AA861" s="44" t="s">
        <v>3042</v>
      </c>
      <c r="AB861" s="44" t="s">
        <v>3043</v>
      </c>
    </row>
    <row r="862" spans="1:28" ht="15.75" hidden="1" customHeight="1">
      <c r="A862" s="44"/>
      <c r="B862" s="44"/>
      <c r="C862" s="44"/>
      <c r="D862" s="44"/>
      <c r="E862" s="44"/>
      <c r="F862" s="44"/>
      <c r="G862" s="48"/>
      <c r="H862" s="48"/>
      <c r="I862" s="48"/>
      <c r="J862" s="48"/>
      <c r="K862" s="48"/>
      <c r="L862" s="48"/>
      <c r="M862" s="48"/>
      <c r="N862" s="48"/>
      <c r="O862" s="44"/>
      <c r="P862" s="44"/>
      <c r="Q862" s="44"/>
      <c r="R862" s="44"/>
      <c r="S862" s="44"/>
      <c r="T862" s="44"/>
      <c r="U862" s="44"/>
      <c r="V862" s="44"/>
      <c r="W862" s="44"/>
      <c r="X862" s="44"/>
      <c r="Y862" s="44"/>
      <c r="Z862" s="44"/>
      <c r="AA862" s="44" t="s">
        <v>3044</v>
      </c>
      <c r="AB862" s="44" t="s">
        <v>3045</v>
      </c>
    </row>
    <row r="863" spans="1:28" ht="15.75" hidden="1" customHeight="1">
      <c r="A863" s="44"/>
      <c r="B863" s="44"/>
      <c r="C863" s="44"/>
      <c r="D863" s="44"/>
      <c r="E863" s="44"/>
      <c r="F863" s="44"/>
      <c r="G863" s="48"/>
      <c r="H863" s="48"/>
      <c r="I863" s="48"/>
      <c r="J863" s="48"/>
      <c r="K863" s="48"/>
      <c r="L863" s="48"/>
      <c r="M863" s="48"/>
      <c r="N863" s="48"/>
      <c r="O863" s="44"/>
      <c r="P863" s="44"/>
      <c r="Q863" s="44"/>
      <c r="R863" s="44"/>
      <c r="S863" s="44"/>
      <c r="T863" s="44"/>
      <c r="U863" s="44"/>
      <c r="V863" s="44"/>
      <c r="W863" s="44"/>
      <c r="X863" s="44"/>
      <c r="Y863" s="44"/>
      <c r="Z863" s="44"/>
      <c r="AA863" s="44" t="s">
        <v>3046</v>
      </c>
      <c r="AB863" s="44" t="s">
        <v>3047</v>
      </c>
    </row>
    <row r="864" spans="1:28" ht="15.75" hidden="1" customHeight="1">
      <c r="A864" s="44"/>
      <c r="B864" s="44"/>
      <c r="C864" s="44"/>
      <c r="D864" s="44"/>
      <c r="E864" s="44"/>
      <c r="F864" s="44"/>
      <c r="G864" s="48"/>
      <c r="H864" s="48"/>
      <c r="I864" s="48"/>
      <c r="J864" s="48"/>
      <c r="K864" s="48"/>
      <c r="L864" s="48"/>
      <c r="M864" s="48"/>
      <c r="N864" s="48"/>
      <c r="O864" s="44"/>
      <c r="P864" s="44"/>
      <c r="Q864" s="44"/>
      <c r="R864" s="44"/>
      <c r="S864" s="44"/>
      <c r="T864" s="44"/>
      <c r="U864" s="44"/>
      <c r="V864" s="44"/>
      <c r="W864" s="44"/>
      <c r="X864" s="44"/>
      <c r="Y864" s="44"/>
      <c r="Z864" s="44"/>
      <c r="AA864" s="44" t="s">
        <v>3048</v>
      </c>
      <c r="AB864" s="44" t="s">
        <v>3049</v>
      </c>
    </row>
    <row r="865" spans="1:28" ht="15.75" hidden="1" customHeight="1">
      <c r="A865" s="44"/>
      <c r="B865" s="44"/>
      <c r="C865" s="44"/>
      <c r="D865" s="44"/>
      <c r="E865" s="44"/>
      <c r="F865" s="44"/>
      <c r="G865" s="48"/>
      <c r="H865" s="48"/>
      <c r="I865" s="48"/>
      <c r="J865" s="48"/>
      <c r="K865" s="48"/>
      <c r="L865" s="48"/>
      <c r="M865" s="48"/>
      <c r="N865" s="48"/>
      <c r="O865" s="44"/>
      <c r="P865" s="44"/>
      <c r="Q865" s="44"/>
      <c r="R865" s="44"/>
      <c r="S865" s="44"/>
      <c r="T865" s="44"/>
      <c r="U865" s="44"/>
      <c r="V865" s="44"/>
      <c r="W865" s="44"/>
      <c r="X865" s="44"/>
      <c r="Y865" s="44"/>
      <c r="Z865" s="44"/>
      <c r="AA865" s="44" t="s">
        <v>3050</v>
      </c>
      <c r="AB865" s="44" t="s">
        <v>3051</v>
      </c>
    </row>
    <row r="866" spans="1:28" ht="15.75" hidden="1" customHeight="1">
      <c r="A866" s="44"/>
      <c r="B866" s="44"/>
      <c r="C866" s="44"/>
      <c r="D866" s="44"/>
      <c r="E866" s="44"/>
      <c r="F866" s="44"/>
      <c r="G866" s="48"/>
      <c r="H866" s="48"/>
      <c r="I866" s="48"/>
      <c r="J866" s="48"/>
      <c r="K866" s="48"/>
      <c r="L866" s="48"/>
      <c r="M866" s="48"/>
      <c r="N866" s="48"/>
      <c r="O866" s="44"/>
      <c r="P866" s="44"/>
      <c r="Q866" s="44"/>
      <c r="R866" s="44"/>
      <c r="S866" s="44"/>
      <c r="T866" s="44"/>
      <c r="U866" s="44"/>
      <c r="V866" s="44"/>
      <c r="W866" s="44"/>
      <c r="X866" s="44"/>
      <c r="Y866" s="44"/>
      <c r="Z866" s="44"/>
      <c r="AA866" s="44" t="s">
        <v>3052</v>
      </c>
      <c r="AB866" s="44" t="s">
        <v>3053</v>
      </c>
    </row>
    <row r="867" spans="1:28" ht="15.75" hidden="1" customHeight="1">
      <c r="A867" s="44"/>
      <c r="B867" s="44"/>
      <c r="C867" s="44"/>
      <c r="D867" s="44"/>
      <c r="E867" s="44"/>
      <c r="F867" s="44"/>
      <c r="G867" s="48"/>
      <c r="H867" s="48"/>
      <c r="I867" s="48"/>
      <c r="J867" s="48"/>
      <c r="K867" s="48"/>
      <c r="L867" s="48"/>
      <c r="M867" s="48"/>
      <c r="N867" s="48"/>
      <c r="O867" s="44"/>
      <c r="P867" s="44"/>
      <c r="Q867" s="44"/>
      <c r="R867" s="44"/>
      <c r="S867" s="44"/>
      <c r="T867" s="44"/>
      <c r="U867" s="44"/>
      <c r="V867" s="44"/>
      <c r="W867" s="44"/>
      <c r="X867" s="44"/>
      <c r="Y867" s="44"/>
      <c r="Z867" s="44"/>
      <c r="AA867" s="44" t="s">
        <v>3054</v>
      </c>
      <c r="AB867" s="44" t="s">
        <v>3055</v>
      </c>
    </row>
    <row r="868" spans="1:28" ht="15.75" hidden="1" customHeight="1">
      <c r="A868" s="44"/>
      <c r="B868" s="44"/>
      <c r="C868" s="44"/>
      <c r="D868" s="44"/>
      <c r="E868" s="44"/>
      <c r="F868" s="44"/>
      <c r="G868" s="48"/>
      <c r="H868" s="48"/>
      <c r="I868" s="48"/>
      <c r="J868" s="48"/>
      <c r="K868" s="48"/>
      <c r="L868" s="48"/>
      <c r="M868" s="48"/>
      <c r="N868" s="48"/>
      <c r="O868" s="44"/>
      <c r="P868" s="44"/>
      <c r="Q868" s="44"/>
      <c r="R868" s="44"/>
      <c r="S868" s="44"/>
      <c r="T868" s="44"/>
      <c r="U868" s="44"/>
      <c r="V868" s="44"/>
      <c r="W868" s="44"/>
      <c r="X868" s="44"/>
      <c r="Y868" s="44"/>
      <c r="Z868" s="44"/>
      <c r="AA868" s="44" t="s">
        <v>3056</v>
      </c>
      <c r="AB868" s="44" t="s">
        <v>3057</v>
      </c>
    </row>
    <row r="869" spans="1:28" ht="15.75" hidden="1" customHeight="1">
      <c r="A869" s="44"/>
      <c r="B869" s="44"/>
      <c r="C869" s="44"/>
      <c r="D869" s="44"/>
      <c r="E869" s="44"/>
      <c r="F869" s="44"/>
      <c r="G869" s="48"/>
      <c r="H869" s="48"/>
      <c r="I869" s="48"/>
      <c r="J869" s="48"/>
      <c r="K869" s="48"/>
      <c r="L869" s="48"/>
      <c r="M869" s="48"/>
      <c r="N869" s="48"/>
      <c r="O869" s="44"/>
      <c r="P869" s="44"/>
      <c r="Q869" s="44"/>
      <c r="R869" s="44"/>
      <c r="S869" s="44"/>
      <c r="T869" s="44"/>
      <c r="U869" s="44"/>
      <c r="V869" s="44"/>
      <c r="W869" s="44"/>
      <c r="X869" s="44"/>
      <c r="Y869" s="44"/>
      <c r="Z869" s="44"/>
      <c r="AA869" s="44" t="s">
        <v>3058</v>
      </c>
      <c r="AB869" s="44" t="s">
        <v>3059</v>
      </c>
    </row>
    <row r="870" spans="1:28" ht="15.75" hidden="1" customHeight="1">
      <c r="A870" s="44"/>
      <c r="B870" s="44"/>
      <c r="C870" s="44"/>
      <c r="D870" s="44"/>
      <c r="E870" s="44"/>
      <c r="F870" s="44"/>
      <c r="G870" s="48"/>
      <c r="H870" s="48"/>
      <c r="I870" s="48"/>
      <c r="J870" s="48"/>
      <c r="K870" s="48"/>
      <c r="L870" s="48"/>
      <c r="M870" s="48"/>
      <c r="N870" s="48"/>
      <c r="O870" s="44"/>
      <c r="P870" s="44"/>
      <c r="Q870" s="44"/>
      <c r="R870" s="44"/>
      <c r="S870" s="44"/>
      <c r="T870" s="44"/>
      <c r="U870" s="44"/>
      <c r="V870" s="44"/>
      <c r="W870" s="44"/>
      <c r="X870" s="44"/>
      <c r="Y870" s="44"/>
      <c r="Z870" s="44"/>
      <c r="AA870" s="44" t="s">
        <v>3060</v>
      </c>
      <c r="AB870" s="44" t="s">
        <v>3061</v>
      </c>
    </row>
    <row r="871" spans="1:28" ht="15.75" hidden="1" customHeight="1">
      <c r="A871" s="44"/>
      <c r="B871" s="44"/>
      <c r="C871" s="44"/>
      <c r="D871" s="44"/>
      <c r="E871" s="44"/>
      <c r="F871" s="44"/>
      <c r="G871" s="48"/>
      <c r="H871" s="48"/>
      <c r="I871" s="48"/>
      <c r="J871" s="48"/>
      <c r="K871" s="48"/>
      <c r="L871" s="48"/>
      <c r="M871" s="48"/>
      <c r="N871" s="48"/>
      <c r="O871" s="44"/>
      <c r="P871" s="44"/>
      <c r="Q871" s="44"/>
      <c r="R871" s="44"/>
      <c r="S871" s="44"/>
      <c r="T871" s="44"/>
      <c r="U871" s="44"/>
      <c r="V871" s="44"/>
      <c r="W871" s="44"/>
      <c r="X871" s="44"/>
      <c r="Y871" s="44"/>
      <c r="Z871" s="44"/>
      <c r="AA871" s="44" t="s">
        <v>3062</v>
      </c>
      <c r="AB871" s="44" t="s">
        <v>3063</v>
      </c>
    </row>
    <row r="872" spans="1:28" ht="15.75" hidden="1" customHeight="1">
      <c r="A872" s="44"/>
      <c r="B872" s="44"/>
      <c r="C872" s="44"/>
      <c r="D872" s="44"/>
      <c r="E872" s="44"/>
      <c r="F872" s="44"/>
      <c r="G872" s="48"/>
      <c r="H872" s="48"/>
      <c r="I872" s="48"/>
      <c r="J872" s="48"/>
      <c r="K872" s="48"/>
      <c r="L872" s="48"/>
      <c r="M872" s="48"/>
      <c r="N872" s="48"/>
      <c r="O872" s="44"/>
      <c r="P872" s="44"/>
      <c r="Q872" s="44"/>
      <c r="R872" s="44"/>
      <c r="S872" s="44"/>
      <c r="T872" s="44"/>
      <c r="U872" s="44"/>
      <c r="V872" s="44"/>
      <c r="W872" s="44"/>
      <c r="X872" s="44"/>
      <c r="Y872" s="44"/>
      <c r="Z872" s="44"/>
      <c r="AA872" s="44" t="s">
        <v>3064</v>
      </c>
      <c r="AB872" s="44" t="s">
        <v>3065</v>
      </c>
    </row>
    <row r="873" spans="1:28" ht="15.75" hidden="1" customHeight="1">
      <c r="A873" s="44"/>
      <c r="B873" s="44"/>
      <c r="C873" s="44"/>
      <c r="D873" s="44"/>
      <c r="E873" s="44"/>
      <c r="F873" s="44"/>
      <c r="G873" s="48"/>
      <c r="H873" s="48"/>
      <c r="I873" s="48"/>
      <c r="J873" s="48"/>
      <c r="K873" s="48"/>
      <c r="L873" s="48"/>
      <c r="M873" s="48"/>
      <c r="N873" s="48"/>
      <c r="O873" s="44"/>
      <c r="P873" s="44"/>
      <c r="Q873" s="44"/>
      <c r="R873" s="44"/>
      <c r="S873" s="44"/>
      <c r="T873" s="44"/>
      <c r="U873" s="44"/>
      <c r="V873" s="44"/>
      <c r="W873" s="44"/>
      <c r="X873" s="44"/>
      <c r="Y873" s="44"/>
      <c r="Z873" s="44"/>
      <c r="AA873" s="44" t="s">
        <v>3066</v>
      </c>
      <c r="AB873" s="44" t="s">
        <v>3067</v>
      </c>
    </row>
    <row r="874" spans="1:28" ht="15.75" hidden="1" customHeight="1">
      <c r="A874" s="44"/>
      <c r="B874" s="44"/>
      <c r="C874" s="44"/>
      <c r="D874" s="44"/>
      <c r="E874" s="44"/>
      <c r="F874" s="44"/>
      <c r="G874" s="48"/>
      <c r="H874" s="48"/>
      <c r="I874" s="48"/>
      <c r="J874" s="48"/>
      <c r="K874" s="48"/>
      <c r="L874" s="48"/>
      <c r="M874" s="48"/>
      <c r="N874" s="48"/>
      <c r="O874" s="44"/>
      <c r="P874" s="44"/>
      <c r="Q874" s="44"/>
      <c r="R874" s="44"/>
      <c r="S874" s="44"/>
      <c r="T874" s="44"/>
      <c r="U874" s="44"/>
      <c r="V874" s="44"/>
      <c r="W874" s="44"/>
      <c r="X874" s="44"/>
      <c r="Y874" s="44"/>
      <c r="Z874" s="44"/>
      <c r="AA874" s="44" t="s">
        <v>3068</v>
      </c>
      <c r="AB874" s="44" t="s">
        <v>3069</v>
      </c>
    </row>
    <row r="875" spans="1:28" ht="15.75" hidden="1" customHeight="1">
      <c r="A875" s="44"/>
      <c r="B875" s="44"/>
      <c r="C875" s="44"/>
      <c r="D875" s="44"/>
      <c r="E875" s="44"/>
      <c r="F875" s="44"/>
      <c r="G875" s="48"/>
      <c r="H875" s="48"/>
      <c r="I875" s="48"/>
      <c r="J875" s="48"/>
      <c r="K875" s="48"/>
      <c r="L875" s="48"/>
      <c r="M875" s="48"/>
      <c r="N875" s="48"/>
      <c r="O875" s="44"/>
      <c r="P875" s="44"/>
      <c r="Q875" s="44"/>
      <c r="R875" s="44"/>
      <c r="S875" s="44"/>
      <c r="T875" s="44"/>
      <c r="U875" s="44"/>
      <c r="V875" s="44"/>
      <c r="W875" s="44"/>
      <c r="X875" s="44"/>
      <c r="Y875" s="44"/>
      <c r="Z875" s="44"/>
      <c r="AA875" s="44" t="s">
        <v>3070</v>
      </c>
      <c r="AB875" s="44" t="s">
        <v>3071</v>
      </c>
    </row>
    <row r="876" spans="1:28" ht="15.75" hidden="1" customHeight="1">
      <c r="A876" s="44"/>
      <c r="B876" s="44"/>
      <c r="C876" s="44"/>
      <c r="D876" s="44"/>
      <c r="E876" s="44"/>
      <c r="F876" s="44"/>
      <c r="G876" s="48"/>
      <c r="H876" s="48"/>
      <c r="I876" s="48"/>
      <c r="J876" s="48"/>
      <c r="K876" s="48"/>
      <c r="L876" s="48"/>
      <c r="M876" s="48"/>
      <c r="N876" s="48"/>
      <c r="O876" s="44"/>
      <c r="P876" s="44"/>
      <c r="Q876" s="44"/>
      <c r="R876" s="44"/>
      <c r="S876" s="44"/>
      <c r="T876" s="44"/>
      <c r="U876" s="44"/>
      <c r="V876" s="44"/>
      <c r="W876" s="44"/>
      <c r="X876" s="44"/>
      <c r="Y876" s="44"/>
      <c r="Z876" s="44"/>
      <c r="AA876" s="44" t="s">
        <v>3072</v>
      </c>
      <c r="AB876" s="44" t="s">
        <v>3071</v>
      </c>
    </row>
    <row r="877" spans="1:28" ht="15.75" hidden="1" customHeight="1">
      <c r="A877" s="44"/>
      <c r="B877" s="44"/>
      <c r="C877" s="44"/>
      <c r="D877" s="44"/>
      <c r="E877" s="44"/>
      <c r="F877" s="44"/>
      <c r="G877" s="48"/>
      <c r="H877" s="48"/>
      <c r="I877" s="48"/>
      <c r="J877" s="48"/>
      <c r="K877" s="48"/>
      <c r="L877" s="48"/>
      <c r="M877" s="48"/>
      <c r="N877" s="48"/>
      <c r="O877" s="44"/>
      <c r="P877" s="44"/>
      <c r="Q877" s="44"/>
      <c r="R877" s="44"/>
      <c r="S877" s="44"/>
      <c r="T877" s="44"/>
      <c r="U877" s="44"/>
      <c r="V877" s="44"/>
      <c r="W877" s="44"/>
      <c r="X877" s="44"/>
      <c r="Y877" s="44"/>
      <c r="Z877" s="44"/>
      <c r="AA877" s="44" t="s">
        <v>3073</v>
      </c>
      <c r="AB877" s="44" t="s">
        <v>3074</v>
      </c>
    </row>
    <row r="878" spans="1:28" ht="15.75" hidden="1" customHeight="1">
      <c r="A878" s="44"/>
      <c r="B878" s="44"/>
      <c r="C878" s="44"/>
      <c r="D878" s="44"/>
      <c r="E878" s="44"/>
      <c r="F878" s="44"/>
      <c r="G878" s="48"/>
      <c r="H878" s="48"/>
      <c r="I878" s="48"/>
      <c r="J878" s="48"/>
      <c r="K878" s="48"/>
      <c r="L878" s="48"/>
      <c r="M878" s="48"/>
      <c r="N878" s="48"/>
      <c r="O878" s="44"/>
      <c r="P878" s="44"/>
      <c r="Q878" s="44"/>
      <c r="R878" s="44"/>
      <c r="S878" s="44"/>
      <c r="T878" s="44"/>
      <c r="U878" s="44"/>
      <c r="V878" s="44"/>
      <c r="W878" s="44"/>
      <c r="X878" s="44"/>
      <c r="Y878" s="44"/>
      <c r="Z878" s="44"/>
      <c r="AA878" s="44" t="s">
        <v>3075</v>
      </c>
      <c r="AB878" s="44" t="s">
        <v>3076</v>
      </c>
    </row>
    <row r="879" spans="1:28" ht="15.75" hidden="1" customHeight="1">
      <c r="A879" s="44"/>
      <c r="B879" s="44"/>
      <c r="C879" s="44"/>
      <c r="D879" s="44"/>
      <c r="E879" s="44"/>
      <c r="F879" s="44"/>
      <c r="G879" s="48"/>
      <c r="H879" s="48"/>
      <c r="I879" s="48"/>
      <c r="J879" s="48"/>
      <c r="K879" s="48"/>
      <c r="L879" s="48"/>
      <c r="M879" s="48"/>
      <c r="N879" s="48"/>
      <c r="O879" s="44"/>
      <c r="P879" s="44"/>
      <c r="Q879" s="44"/>
      <c r="R879" s="44"/>
      <c r="S879" s="44"/>
      <c r="T879" s="44"/>
      <c r="U879" s="44"/>
      <c r="V879" s="44"/>
      <c r="W879" s="44"/>
      <c r="X879" s="44"/>
      <c r="Y879" s="44"/>
      <c r="Z879" s="44"/>
      <c r="AA879" s="44" t="s">
        <v>1338</v>
      </c>
      <c r="AB879" s="44" t="s">
        <v>3077</v>
      </c>
    </row>
    <row r="880" spans="1:28" ht="15.75" hidden="1" customHeight="1">
      <c r="A880" s="44"/>
      <c r="B880" s="44"/>
      <c r="C880" s="44"/>
      <c r="D880" s="44"/>
      <c r="E880" s="44"/>
      <c r="F880" s="44"/>
      <c r="G880" s="48"/>
      <c r="H880" s="48"/>
      <c r="I880" s="48"/>
      <c r="J880" s="48"/>
      <c r="K880" s="48"/>
      <c r="L880" s="48"/>
      <c r="M880" s="48"/>
      <c r="N880" s="48"/>
      <c r="O880" s="44"/>
      <c r="P880" s="44"/>
      <c r="Q880" s="44"/>
      <c r="R880" s="44"/>
      <c r="S880" s="44"/>
      <c r="T880" s="44"/>
      <c r="U880" s="44"/>
      <c r="V880" s="44"/>
      <c r="W880" s="44"/>
      <c r="X880" s="44"/>
      <c r="Y880" s="44"/>
      <c r="Z880" s="44"/>
      <c r="AA880" s="44" t="s">
        <v>3078</v>
      </c>
      <c r="AB880" s="44" t="s">
        <v>1296</v>
      </c>
    </row>
    <row r="881" spans="1:28" ht="15.75" hidden="1" customHeight="1">
      <c r="A881" s="44"/>
      <c r="B881" s="44"/>
      <c r="C881" s="44"/>
      <c r="D881" s="44"/>
      <c r="E881" s="44"/>
      <c r="F881" s="44"/>
      <c r="G881" s="48"/>
      <c r="H881" s="48"/>
      <c r="I881" s="48"/>
      <c r="J881" s="48"/>
      <c r="K881" s="48"/>
      <c r="L881" s="48"/>
      <c r="M881" s="48"/>
      <c r="N881" s="48"/>
      <c r="O881" s="44"/>
      <c r="P881" s="44"/>
      <c r="Q881" s="44"/>
      <c r="R881" s="44"/>
      <c r="S881" s="44"/>
      <c r="T881" s="44"/>
      <c r="U881" s="44"/>
      <c r="V881" s="44"/>
      <c r="W881" s="44"/>
      <c r="X881" s="44"/>
      <c r="Y881" s="44"/>
      <c r="Z881" s="44"/>
      <c r="AA881" s="44" t="s">
        <v>3079</v>
      </c>
      <c r="AB881" s="44" t="s">
        <v>3080</v>
      </c>
    </row>
    <row r="882" spans="1:28" ht="15.75" hidden="1" customHeight="1">
      <c r="A882" s="44"/>
      <c r="B882" s="44"/>
      <c r="C882" s="44"/>
      <c r="D882" s="44"/>
      <c r="E882" s="44"/>
      <c r="F882" s="44"/>
      <c r="G882" s="48"/>
      <c r="H882" s="48"/>
      <c r="I882" s="48"/>
      <c r="J882" s="48"/>
      <c r="K882" s="48"/>
      <c r="L882" s="48"/>
      <c r="M882" s="48"/>
      <c r="N882" s="48"/>
      <c r="O882" s="44"/>
      <c r="P882" s="44"/>
      <c r="Q882" s="44"/>
      <c r="R882" s="44"/>
      <c r="S882" s="44"/>
      <c r="T882" s="44"/>
      <c r="U882" s="44"/>
      <c r="V882" s="44"/>
      <c r="W882" s="44"/>
      <c r="X882" s="44"/>
      <c r="Y882" s="44"/>
      <c r="Z882" s="44"/>
      <c r="AA882" s="44" t="s">
        <v>3081</v>
      </c>
      <c r="AB882" s="44" t="s">
        <v>3082</v>
      </c>
    </row>
    <row r="883" spans="1:28" ht="15.75" hidden="1" customHeight="1">
      <c r="A883" s="44"/>
      <c r="B883" s="44"/>
      <c r="C883" s="44"/>
      <c r="D883" s="44"/>
      <c r="E883" s="44"/>
      <c r="F883" s="44"/>
      <c r="G883" s="48"/>
      <c r="H883" s="48"/>
      <c r="I883" s="48"/>
      <c r="J883" s="48"/>
      <c r="K883" s="48"/>
      <c r="L883" s="48"/>
      <c r="M883" s="48"/>
      <c r="N883" s="48"/>
      <c r="O883" s="44"/>
      <c r="P883" s="44"/>
      <c r="Q883" s="44"/>
      <c r="R883" s="44"/>
      <c r="S883" s="44"/>
      <c r="T883" s="44"/>
      <c r="U883" s="44"/>
      <c r="V883" s="44"/>
      <c r="W883" s="44"/>
      <c r="X883" s="44"/>
      <c r="Y883" s="44"/>
      <c r="Z883" s="44"/>
      <c r="AA883" s="44" t="s">
        <v>3083</v>
      </c>
      <c r="AB883" s="44" t="s">
        <v>1292</v>
      </c>
    </row>
    <row r="884" spans="1:28" ht="15.75" hidden="1" customHeight="1">
      <c r="A884" s="44"/>
      <c r="B884" s="44"/>
      <c r="C884" s="44"/>
      <c r="D884" s="44"/>
      <c r="E884" s="44"/>
      <c r="F884" s="44"/>
      <c r="G884" s="48"/>
      <c r="H884" s="48"/>
      <c r="I884" s="48"/>
      <c r="J884" s="48"/>
      <c r="K884" s="48"/>
      <c r="L884" s="48"/>
      <c r="M884" s="48"/>
      <c r="N884" s="48"/>
      <c r="O884" s="44"/>
      <c r="P884" s="44"/>
      <c r="Q884" s="44"/>
      <c r="R884" s="44"/>
      <c r="S884" s="44"/>
      <c r="T884" s="44"/>
      <c r="U884" s="44"/>
      <c r="V884" s="44"/>
      <c r="W884" s="44"/>
      <c r="X884" s="44"/>
      <c r="Y884" s="44"/>
      <c r="Z884" s="44"/>
      <c r="AA884" s="44" t="s">
        <v>3084</v>
      </c>
      <c r="AB884" s="44" t="s">
        <v>3085</v>
      </c>
    </row>
    <row r="885" spans="1:28" ht="15.75" hidden="1" customHeight="1">
      <c r="A885" s="44"/>
      <c r="B885" s="44"/>
      <c r="C885" s="44"/>
      <c r="D885" s="44"/>
      <c r="E885" s="44"/>
      <c r="F885" s="44"/>
      <c r="G885" s="48"/>
      <c r="H885" s="48"/>
      <c r="I885" s="48"/>
      <c r="J885" s="48"/>
      <c r="K885" s="48"/>
      <c r="L885" s="48"/>
      <c r="M885" s="48"/>
      <c r="N885" s="48"/>
      <c r="O885" s="44"/>
      <c r="P885" s="44"/>
      <c r="Q885" s="44"/>
      <c r="R885" s="44"/>
      <c r="S885" s="44"/>
      <c r="T885" s="44"/>
      <c r="U885" s="44"/>
      <c r="V885" s="44"/>
      <c r="W885" s="44"/>
      <c r="X885" s="44"/>
      <c r="Y885" s="44"/>
      <c r="Z885" s="44"/>
      <c r="AA885" s="44" t="s">
        <v>3086</v>
      </c>
      <c r="AB885" s="44" t="s">
        <v>1305</v>
      </c>
    </row>
    <row r="886" spans="1:28" ht="15.75" hidden="1" customHeight="1">
      <c r="A886" s="44"/>
      <c r="B886" s="44"/>
      <c r="C886" s="44"/>
      <c r="D886" s="44"/>
      <c r="E886" s="44"/>
      <c r="F886" s="44"/>
      <c r="G886" s="48"/>
      <c r="H886" s="48"/>
      <c r="I886" s="48"/>
      <c r="J886" s="48"/>
      <c r="K886" s="48"/>
      <c r="L886" s="48"/>
      <c r="M886" s="48"/>
      <c r="N886" s="48"/>
      <c r="O886" s="44"/>
      <c r="P886" s="44"/>
      <c r="Q886" s="44"/>
      <c r="R886" s="44"/>
      <c r="S886" s="44"/>
      <c r="T886" s="44"/>
      <c r="U886" s="44"/>
      <c r="V886" s="44"/>
      <c r="W886" s="44"/>
      <c r="X886" s="44"/>
      <c r="Y886" s="44"/>
      <c r="Z886" s="44"/>
      <c r="AA886" s="44" t="s">
        <v>3087</v>
      </c>
      <c r="AB886" s="44" t="s">
        <v>1335</v>
      </c>
    </row>
    <row r="887" spans="1:28" ht="15.75" hidden="1" customHeight="1">
      <c r="A887" s="44"/>
      <c r="B887" s="44"/>
      <c r="C887" s="44"/>
      <c r="D887" s="44"/>
      <c r="E887" s="44"/>
      <c r="F887" s="44"/>
      <c r="G887" s="48"/>
      <c r="H887" s="48"/>
      <c r="I887" s="48"/>
      <c r="J887" s="48"/>
      <c r="K887" s="48"/>
      <c r="L887" s="48"/>
      <c r="M887" s="48"/>
      <c r="N887" s="48"/>
      <c r="O887" s="44"/>
      <c r="P887" s="44"/>
      <c r="Q887" s="44"/>
      <c r="R887" s="44"/>
      <c r="S887" s="44"/>
      <c r="T887" s="44"/>
      <c r="U887" s="44"/>
      <c r="V887" s="44"/>
      <c r="W887" s="44"/>
      <c r="X887" s="44"/>
      <c r="Y887" s="44"/>
      <c r="Z887" s="44"/>
      <c r="AA887" s="44" t="s">
        <v>1437</v>
      </c>
      <c r="AB887" s="44" t="s">
        <v>1337</v>
      </c>
    </row>
    <row r="888" spans="1:28" ht="15.75" hidden="1" customHeight="1">
      <c r="A888" s="44"/>
      <c r="B888" s="44"/>
      <c r="C888" s="44"/>
      <c r="D888" s="44"/>
      <c r="E888" s="44"/>
      <c r="F888" s="44"/>
      <c r="G888" s="48"/>
      <c r="H888" s="48"/>
      <c r="I888" s="48"/>
      <c r="J888" s="48"/>
      <c r="K888" s="48"/>
      <c r="L888" s="48"/>
      <c r="M888" s="48"/>
      <c r="N888" s="48"/>
      <c r="O888" s="44"/>
      <c r="P888" s="44"/>
      <c r="Q888" s="44"/>
      <c r="R888" s="44"/>
      <c r="S888" s="44"/>
      <c r="T888" s="44"/>
      <c r="U888" s="44"/>
      <c r="V888" s="44"/>
      <c r="W888" s="44"/>
      <c r="X888" s="44"/>
      <c r="Y888" s="44"/>
      <c r="Z888" s="44"/>
      <c r="AA888" s="44" t="s">
        <v>3088</v>
      </c>
      <c r="AB888" s="44" t="s">
        <v>1343</v>
      </c>
    </row>
    <row r="889" spans="1:28" ht="15.75" hidden="1" customHeight="1">
      <c r="A889" s="44"/>
      <c r="B889" s="44"/>
      <c r="C889" s="44"/>
      <c r="D889" s="44"/>
      <c r="E889" s="44"/>
      <c r="F889" s="44"/>
      <c r="G889" s="48"/>
      <c r="H889" s="48"/>
      <c r="I889" s="48"/>
      <c r="J889" s="48"/>
      <c r="K889" s="48"/>
      <c r="L889" s="48"/>
      <c r="M889" s="48"/>
      <c r="N889" s="48"/>
      <c r="O889" s="44"/>
      <c r="P889" s="44"/>
      <c r="Q889" s="44"/>
      <c r="R889" s="44"/>
      <c r="S889" s="44"/>
      <c r="T889" s="44"/>
      <c r="U889" s="44"/>
      <c r="V889" s="44"/>
      <c r="W889" s="44"/>
      <c r="X889" s="44"/>
      <c r="Y889" s="44"/>
      <c r="Z889" s="44"/>
      <c r="AA889" s="44" t="s">
        <v>3089</v>
      </c>
      <c r="AB889" s="44" t="s">
        <v>3090</v>
      </c>
    </row>
    <row r="890" spans="1:28" ht="15.75" hidden="1" customHeight="1">
      <c r="A890" s="44"/>
      <c r="B890" s="44"/>
      <c r="C890" s="44"/>
      <c r="D890" s="44"/>
      <c r="E890" s="44"/>
      <c r="F890" s="44"/>
      <c r="G890" s="48"/>
      <c r="H890" s="48"/>
      <c r="I890" s="48"/>
      <c r="J890" s="48"/>
      <c r="K890" s="48"/>
      <c r="L890" s="48"/>
      <c r="M890" s="48"/>
      <c r="N890" s="48"/>
      <c r="O890" s="44"/>
      <c r="P890" s="44"/>
      <c r="Q890" s="44"/>
      <c r="R890" s="44"/>
      <c r="S890" s="44"/>
      <c r="T890" s="44"/>
      <c r="U890" s="44"/>
      <c r="V890" s="44"/>
      <c r="W890" s="44"/>
      <c r="X890" s="44"/>
      <c r="Y890" s="44"/>
      <c r="Z890" s="44"/>
      <c r="AA890" s="44" t="s">
        <v>3091</v>
      </c>
      <c r="AB890" s="44" t="s">
        <v>3092</v>
      </c>
    </row>
    <row r="891" spans="1:28" ht="15.75" hidden="1" customHeight="1">
      <c r="A891" s="44"/>
      <c r="B891" s="44"/>
      <c r="C891" s="44"/>
      <c r="D891" s="44"/>
      <c r="E891" s="44"/>
      <c r="F891" s="44"/>
      <c r="G891" s="48"/>
      <c r="H891" s="48"/>
      <c r="I891" s="48"/>
      <c r="J891" s="48"/>
      <c r="K891" s="48"/>
      <c r="L891" s="48"/>
      <c r="M891" s="48"/>
      <c r="N891" s="48"/>
      <c r="O891" s="44"/>
      <c r="P891" s="44"/>
      <c r="Q891" s="44"/>
      <c r="R891" s="44"/>
      <c r="S891" s="44"/>
      <c r="T891" s="44"/>
      <c r="U891" s="44"/>
      <c r="V891" s="44"/>
      <c r="W891" s="44"/>
      <c r="X891" s="44"/>
      <c r="Y891" s="44"/>
      <c r="Z891" s="44"/>
      <c r="AA891" s="44" t="s">
        <v>3093</v>
      </c>
      <c r="AB891" s="44" t="s">
        <v>3094</v>
      </c>
    </row>
    <row r="892" spans="1:28" ht="15.75" hidden="1" customHeight="1">
      <c r="A892" s="44"/>
      <c r="B892" s="44"/>
      <c r="C892" s="44"/>
      <c r="D892" s="44"/>
      <c r="E892" s="44"/>
      <c r="F892" s="44"/>
      <c r="G892" s="48"/>
      <c r="H892" s="48"/>
      <c r="I892" s="48"/>
      <c r="J892" s="48"/>
      <c r="K892" s="48"/>
      <c r="L892" s="48"/>
      <c r="M892" s="48"/>
      <c r="N892" s="48"/>
      <c r="O892" s="44"/>
      <c r="P892" s="44"/>
      <c r="Q892" s="44"/>
      <c r="R892" s="44"/>
      <c r="S892" s="44"/>
      <c r="T892" s="44"/>
      <c r="U892" s="44"/>
      <c r="V892" s="44"/>
      <c r="W892" s="44"/>
      <c r="X892" s="44"/>
      <c r="Y892" s="44"/>
      <c r="Z892" s="44"/>
      <c r="AA892" s="44" t="s">
        <v>3095</v>
      </c>
      <c r="AB892" s="44" t="s">
        <v>3096</v>
      </c>
    </row>
    <row r="893" spans="1:28" ht="15.75" hidden="1" customHeight="1">
      <c r="A893" s="44"/>
      <c r="B893" s="44"/>
      <c r="C893" s="44"/>
      <c r="D893" s="44"/>
      <c r="E893" s="44"/>
      <c r="F893" s="44"/>
      <c r="G893" s="48"/>
      <c r="H893" s="48"/>
      <c r="I893" s="48"/>
      <c r="J893" s="48"/>
      <c r="K893" s="48"/>
      <c r="L893" s="48"/>
      <c r="M893" s="48"/>
      <c r="N893" s="48"/>
      <c r="O893" s="44"/>
      <c r="P893" s="44"/>
      <c r="Q893" s="44"/>
      <c r="R893" s="44"/>
      <c r="S893" s="44"/>
      <c r="T893" s="44"/>
      <c r="U893" s="44"/>
      <c r="V893" s="44"/>
      <c r="W893" s="44"/>
      <c r="X893" s="44"/>
      <c r="Y893" s="44"/>
      <c r="Z893" s="44"/>
      <c r="AA893" s="44" t="s">
        <v>3097</v>
      </c>
      <c r="AB893" s="44" t="s">
        <v>3098</v>
      </c>
    </row>
    <row r="894" spans="1:28" ht="15.75" hidden="1" customHeight="1">
      <c r="A894" s="44"/>
      <c r="B894" s="44"/>
      <c r="C894" s="44"/>
      <c r="D894" s="44"/>
      <c r="E894" s="44"/>
      <c r="F894" s="44"/>
      <c r="G894" s="48"/>
      <c r="H894" s="48"/>
      <c r="I894" s="48"/>
      <c r="J894" s="48"/>
      <c r="K894" s="48"/>
      <c r="L894" s="48"/>
      <c r="M894" s="48"/>
      <c r="N894" s="48"/>
      <c r="O894" s="44"/>
      <c r="P894" s="44"/>
      <c r="Q894" s="44"/>
      <c r="R894" s="44"/>
      <c r="S894" s="44"/>
      <c r="T894" s="44"/>
      <c r="U894" s="44"/>
      <c r="V894" s="44"/>
      <c r="W894" s="44"/>
      <c r="X894" s="44"/>
      <c r="Y894" s="44"/>
      <c r="Z894" s="44"/>
      <c r="AA894" s="44" t="s">
        <v>3099</v>
      </c>
      <c r="AB894" s="44" t="s">
        <v>3100</v>
      </c>
    </row>
    <row r="895" spans="1:28" ht="15.75" hidden="1" customHeight="1">
      <c r="A895" s="44"/>
      <c r="B895" s="44"/>
      <c r="C895" s="44"/>
      <c r="D895" s="44"/>
      <c r="E895" s="44"/>
      <c r="F895" s="44"/>
      <c r="G895" s="48"/>
      <c r="H895" s="48"/>
      <c r="I895" s="48"/>
      <c r="J895" s="48"/>
      <c r="K895" s="48"/>
      <c r="L895" s="48"/>
      <c r="M895" s="48"/>
      <c r="N895" s="48"/>
      <c r="O895" s="44"/>
      <c r="P895" s="44"/>
      <c r="Q895" s="44"/>
      <c r="R895" s="44"/>
      <c r="S895" s="44"/>
      <c r="T895" s="44"/>
      <c r="U895" s="44"/>
      <c r="V895" s="44"/>
      <c r="W895" s="44"/>
      <c r="X895" s="44"/>
      <c r="Y895" s="44"/>
      <c r="Z895" s="44"/>
      <c r="AA895" s="44" t="s">
        <v>3101</v>
      </c>
      <c r="AB895" s="44" t="s">
        <v>3102</v>
      </c>
    </row>
    <row r="896" spans="1:28" ht="15.75" hidden="1" customHeight="1">
      <c r="A896" s="44"/>
      <c r="B896" s="44"/>
      <c r="C896" s="44"/>
      <c r="D896" s="44"/>
      <c r="E896" s="44"/>
      <c r="F896" s="44"/>
      <c r="G896" s="48"/>
      <c r="H896" s="48"/>
      <c r="I896" s="48"/>
      <c r="J896" s="48"/>
      <c r="K896" s="48"/>
      <c r="L896" s="48"/>
      <c r="M896" s="48"/>
      <c r="N896" s="48"/>
      <c r="O896" s="44"/>
      <c r="P896" s="44"/>
      <c r="Q896" s="44"/>
      <c r="R896" s="44"/>
      <c r="S896" s="44"/>
      <c r="T896" s="44"/>
      <c r="U896" s="44"/>
      <c r="V896" s="44"/>
      <c r="W896" s="44"/>
      <c r="X896" s="44"/>
      <c r="Y896" s="44"/>
      <c r="Z896" s="44"/>
      <c r="AA896" s="44" t="s">
        <v>3103</v>
      </c>
      <c r="AB896" s="44" t="s">
        <v>3104</v>
      </c>
    </row>
    <row r="897" spans="1:28" ht="15.75" hidden="1" customHeight="1">
      <c r="A897" s="44"/>
      <c r="B897" s="44"/>
      <c r="C897" s="44"/>
      <c r="D897" s="44"/>
      <c r="E897" s="44"/>
      <c r="F897" s="44"/>
      <c r="G897" s="48"/>
      <c r="H897" s="48"/>
      <c r="I897" s="48"/>
      <c r="J897" s="48"/>
      <c r="K897" s="48"/>
      <c r="L897" s="48"/>
      <c r="M897" s="48"/>
      <c r="N897" s="48"/>
      <c r="O897" s="44"/>
      <c r="P897" s="44"/>
      <c r="Q897" s="44"/>
      <c r="R897" s="44"/>
      <c r="S897" s="44"/>
      <c r="T897" s="44"/>
      <c r="U897" s="44"/>
      <c r="V897" s="44"/>
      <c r="W897" s="44"/>
      <c r="X897" s="44"/>
      <c r="Y897" s="44"/>
      <c r="Z897" s="44"/>
      <c r="AA897" s="44" t="s">
        <v>3105</v>
      </c>
      <c r="AB897" s="44" t="s">
        <v>3106</v>
      </c>
    </row>
    <row r="898" spans="1:28" ht="15.75" hidden="1" customHeight="1">
      <c r="A898" s="44"/>
      <c r="B898" s="44"/>
      <c r="C898" s="44"/>
      <c r="D898" s="44"/>
      <c r="E898" s="44"/>
      <c r="F898" s="44"/>
      <c r="G898" s="48"/>
      <c r="H898" s="48"/>
      <c r="I898" s="48"/>
      <c r="J898" s="48"/>
      <c r="K898" s="48"/>
      <c r="L898" s="48"/>
      <c r="M898" s="48"/>
      <c r="N898" s="48"/>
      <c r="O898" s="44"/>
      <c r="P898" s="44"/>
      <c r="Q898" s="44"/>
      <c r="R898" s="44"/>
      <c r="S898" s="44"/>
      <c r="T898" s="44"/>
      <c r="U898" s="44"/>
      <c r="V898" s="44"/>
      <c r="W898" s="44"/>
      <c r="X898" s="44"/>
      <c r="Y898" s="44"/>
      <c r="Z898" s="44"/>
      <c r="AA898" s="44" t="s">
        <v>3107</v>
      </c>
      <c r="AB898" s="44" t="s">
        <v>3108</v>
      </c>
    </row>
    <row r="899" spans="1:28" ht="15.75" hidden="1" customHeight="1">
      <c r="A899" s="44"/>
      <c r="B899" s="44"/>
      <c r="C899" s="44"/>
      <c r="D899" s="44"/>
      <c r="E899" s="44"/>
      <c r="F899" s="44"/>
      <c r="G899" s="48"/>
      <c r="H899" s="48"/>
      <c r="I899" s="48"/>
      <c r="J899" s="48"/>
      <c r="K899" s="48"/>
      <c r="L899" s="48"/>
      <c r="M899" s="48"/>
      <c r="N899" s="48"/>
      <c r="O899" s="44"/>
      <c r="P899" s="44"/>
      <c r="Q899" s="44"/>
      <c r="R899" s="44"/>
      <c r="S899" s="44"/>
      <c r="T899" s="44"/>
      <c r="U899" s="44"/>
      <c r="V899" s="44"/>
      <c r="W899" s="44"/>
      <c r="X899" s="44"/>
      <c r="Y899" s="44"/>
      <c r="Z899" s="44"/>
      <c r="AA899" s="44" t="s">
        <v>3109</v>
      </c>
      <c r="AB899" s="44" t="s">
        <v>3110</v>
      </c>
    </row>
    <row r="900" spans="1:28" ht="15.75" hidden="1" customHeight="1">
      <c r="A900" s="44"/>
      <c r="B900" s="44"/>
      <c r="C900" s="44"/>
      <c r="D900" s="44"/>
      <c r="E900" s="44"/>
      <c r="F900" s="44"/>
      <c r="G900" s="48"/>
      <c r="H900" s="48"/>
      <c r="I900" s="48"/>
      <c r="J900" s="48"/>
      <c r="K900" s="48"/>
      <c r="L900" s="48"/>
      <c r="M900" s="48"/>
      <c r="N900" s="48"/>
      <c r="O900" s="44"/>
      <c r="P900" s="44"/>
      <c r="Q900" s="44"/>
      <c r="R900" s="44"/>
      <c r="S900" s="44"/>
      <c r="T900" s="44"/>
      <c r="U900" s="44"/>
      <c r="V900" s="44"/>
      <c r="W900" s="44"/>
      <c r="X900" s="44"/>
      <c r="Y900" s="44"/>
      <c r="Z900" s="44"/>
      <c r="AA900" s="44" t="s">
        <v>3111</v>
      </c>
      <c r="AB900" s="44" t="s">
        <v>3112</v>
      </c>
    </row>
    <row r="901" spans="1:28" ht="15.75" hidden="1" customHeight="1">
      <c r="A901" s="44"/>
      <c r="B901" s="44"/>
      <c r="C901" s="44"/>
      <c r="D901" s="44"/>
      <c r="E901" s="44"/>
      <c r="F901" s="44"/>
      <c r="G901" s="48"/>
      <c r="H901" s="48"/>
      <c r="I901" s="48"/>
      <c r="J901" s="48"/>
      <c r="K901" s="48"/>
      <c r="L901" s="48"/>
      <c r="M901" s="48"/>
      <c r="N901" s="48"/>
      <c r="O901" s="44"/>
      <c r="P901" s="44"/>
      <c r="Q901" s="44"/>
      <c r="R901" s="44"/>
      <c r="S901" s="44"/>
      <c r="T901" s="44"/>
      <c r="U901" s="44"/>
      <c r="V901" s="44"/>
      <c r="W901" s="44"/>
      <c r="X901" s="44"/>
      <c r="Y901" s="44"/>
      <c r="Z901" s="44"/>
      <c r="AA901" s="44" t="s">
        <v>3113</v>
      </c>
      <c r="AB901" s="44" t="s">
        <v>3114</v>
      </c>
    </row>
    <row r="902" spans="1:28" ht="15.75" hidden="1" customHeight="1">
      <c r="A902" s="44"/>
      <c r="B902" s="44"/>
      <c r="C902" s="44"/>
      <c r="D902" s="44"/>
      <c r="E902" s="44"/>
      <c r="F902" s="44"/>
      <c r="G902" s="48"/>
      <c r="H902" s="48"/>
      <c r="I902" s="48"/>
      <c r="J902" s="48"/>
      <c r="K902" s="48"/>
      <c r="L902" s="48"/>
      <c r="M902" s="48"/>
      <c r="N902" s="48"/>
      <c r="O902" s="44"/>
      <c r="P902" s="44"/>
      <c r="Q902" s="44"/>
      <c r="R902" s="44"/>
      <c r="S902" s="44"/>
      <c r="T902" s="44"/>
      <c r="U902" s="44"/>
      <c r="V902" s="44"/>
      <c r="W902" s="44"/>
      <c r="X902" s="44"/>
      <c r="Y902" s="44"/>
      <c r="Z902" s="44"/>
      <c r="AA902" s="44" t="s">
        <v>3115</v>
      </c>
      <c r="AB902" s="44" t="s">
        <v>3116</v>
      </c>
    </row>
    <row r="903" spans="1:28" ht="15.75" hidden="1" customHeight="1">
      <c r="A903" s="44"/>
      <c r="B903" s="44"/>
      <c r="C903" s="44"/>
      <c r="D903" s="44"/>
      <c r="E903" s="44"/>
      <c r="F903" s="44"/>
      <c r="G903" s="48"/>
      <c r="H903" s="48"/>
      <c r="I903" s="48"/>
      <c r="J903" s="48"/>
      <c r="K903" s="48"/>
      <c r="L903" s="48"/>
      <c r="M903" s="48"/>
      <c r="N903" s="48"/>
      <c r="O903" s="44"/>
      <c r="P903" s="44"/>
      <c r="Q903" s="44"/>
      <c r="R903" s="44"/>
      <c r="S903" s="44"/>
      <c r="T903" s="44"/>
      <c r="U903" s="44"/>
      <c r="V903" s="44"/>
      <c r="W903" s="44"/>
      <c r="X903" s="44"/>
      <c r="Y903" s="44"/>
      <c r="Z903" s="44"/>
      <c r="AA903" s="44" t="s">
        <v>3117</v>
      </c>
      <c r="AB903" s="44" t="s">
        <v>3118</v>
      </c>
    </row>
    <row r="904" spans="1:28" ht="15.75" hidden="1" customHeight="1">
      <c r="A904" s="44"/>
      <c r="B904" s="44"/>
      <c r="C904" s="44"/>
      <c r="D904" s="44"/>
      <c r="E904" s="44"/>
      <c r="F904" s="44"/>
      <c r="G904" s="48"/>
      <c r="H904" s="48"/>
      <c r="I904" s="48"/>
      <c r="J904" s="48"/>
      <c r="K904" s="48"/>
      <c r="L904" s="48"/>
      <c r="M904" s="48"/>
      <c r="N904" s="48"/>
      <c r="O904" s="44"/>
      <c r="P904" s="44"/>
      <c r="Q904" s="44"/>
      <c r="R904" s="44"/>
      <c r="S904" s="44"/>
      <c r="T904" s="44"/>
      <c r="U904" s="44"/>
      <c r="V904" s="44"/>
      <c r="W904" s="44"/>
      <c r="X904" s="44"/>
      <c r="Y904" s="44"/>
      <c r="Z904" s="44"/>
      <c r="AA904" s="44" t="s">
        <v>3119</v>
      </c>
      <c r="AB904" s="44" t="s">
        <v>3120</v>
      </c>
    </row>
    <row r="905" spans="1:28" ht="15.75" hidden="1" customHeight="1">
      <c r="A905" s="44"/>
      <c r="B905" s="44"/>
      <c r="C905" s="44"/>
      <c r="D905" s="44"/>
      <c r="E905" s="44"/>
      <c r="F905" s="44"/>
      <c r="G905" s="48"/>
      <c r="H905" s="48"/>
      <c r="I905" s="48"/>
      <c r="J905" s="48"/>
      <c r="K905" s="48"/>
      <c r="L905" s="48"/>
      <c r="M905" s="48"/>
      <c r="N905" s="48"/>
      <c r="O905" s="44"/>
      <c r="P905" s="44"/>
      <c r="Q905" s="44"/>
      <c r="R905" s="44"/>
      <c r="S905" s="44"/>
      <c r="T905" s="44"/>
      <c r="U905" s="44"/>
      <c r="V905" s="44"/>
      <c r="W905" s="44"/>
      <c r="X905" s="44"/>
      <c r="Y905" s="44"/>
      <c r="Z905" s="44"/>
      <c r="AA905" s="44" t="s">
        <v>3121</v>
      </c>
      <c r="AB905" s="44" t="s">
        <v>3122</v>
      </c>
    </row>
    <row r="906" spans="1:28" ht="15.75" hidden="1" customHeight="1">
      <c r="A906" s="44"/>
      <c r="B906" s="44"/>
      <c r="C906" s="44"/>
      <c r="D906" s="44"/>
      <c r="E906" s="44"/>
      <c r="F906" s="44"/>
      <c r="G906" s="48"/>
      <c r="H906" s="48"/>
      <c r="I906" s="48"/>
      <c r="J906" s="48"/>
      <c r="K906" s="48"/>
      <c r="L906" s="48"/>
      <c r="M906" s="48"/>
      <c r="N906" s="48"/>
      <c r="O906" s="44"/>
      <c r="P906" s="44"/>
      <c r="Q906" s="44"/>
      <c r="R906" s="44"/>
      <c r="S906" s="44"/>
      <c r="T906" s="44"/>
      <c r="U906" s="44"/>
      <c r="V906" s="44"/>
      <c r="W906" s="44"/>
      <c r="X906" s="44"/>
      <c r="Y906" s="44"/>
      <c r="Z906" s="44"/>
      <c r="AA906" s="44" t="s">
        <v>3123</v>
      </c>
      <c r="AB906" s="44" t="s">
        <v>3124</v>
      </c>
    </row>
    <row r="907" spans="1:28" ht="15.75" hidden="1" customHeight="1">
      <c r="A907" s="44"/>
      <c r="B907" s="44"/>
      <c r="C907" s="44"/>
      <c r="D907" s="44"/>
      <c r="E907" s="44"/>
      <c r="F907" s="44"/>
      <c r="G907" s="48"/>
      <c r="H907" s="48"/>
      <c r="I907" s="48"/>
      <c r="J907" s="48"/>
      <c r="K907" s="48"/>
      <c r="L907" s="48"/>
      <c r="M907" s="48"/>
      <c r="N907" s="48"/>
      <c r="O907" s="44"/>
      <c r="P907" s="44"/>
      <c r="Q907" s="44"/>
      <c r="R907" s="44"/>
      <c r="S907" s="44"/>
      <c r="T907" s="44"/>
      <c r="U907" s="44"/>
      <c r="V907" s="44"/>
      <c r="W907" s="44"/>
      <c r="X907" s="44"/>
      <c r="Y907" s="44"/>
      <c r="Z907" s="44"/>
      <c r="AA907" s="44" t="s">
        <v>3125</v>
      </c>
      <c r="AB907" s="44" t="s">
        <v>3126</v>
      </c>
    </row>
    <row r="908" spans="1:28" ht="15.75" hidden="1" customHeight="1">
      <c r="A908" s="44"/>
      <c r="B908" s="44"/>
      <c r="C908" s="44"/>
      <c r="D908" s="44"/>
      <c r="E908" s="44"/>
      <c r="F908" s="44"/>
      <c r="G908" s="48"/>
      <c r="H908" s="48"/>
      <c r="I908" s="48"/>
      <c r="J908" s="48"/>
      <c r="K908" s="48"/>
      <c r="L908" s="48"/>
      <c r="M908" s="48"/>
      <c r="N908" s="48"/>
      <c r="O908" s="44"/>
      <c r="P908" s="44"/>
      <c r="Q908" s="44"/>
      <c r="R908" s="44"/>
      <c r="S908" s="44"/>
      <c r="T908" s="44"/>
      <c r="U908" s="44"/>
      <c r="V908" s="44"/>
      <c r="W908" s="44"/>
      <c r="X908" s="44"/>
      <c r="Y908" s="44"/>
      <c r="Z908" s="44"/>
      <c r="AA908" s="44" t="s">
        <v>3127</v>
      </c>
      <c r="AB908" s="44" t="s">
        <v>3128</v>
      </c>
    </row>
    <row r="909" spans="1:28" ht="15.75" hidden="1" customHeight="1">
      <c r="A909" s="44"/>
      <c r="B909" s="44"/>
      <c r="C909" s="44"/>
      <c r="D909" s="44"/>
      <c r="E909" s="44"/>
      <c r="F909" s="44"/>
      <c r="G909" s="48"/>
      <c r="H909" s="48"/>
      <c r="I909" s="48"/>
      <c r="J909" s="48"/>
      <c r="K909" s="48"/>
      <c r="L909" s="48"/>
      <c r="M909" s="48"/>
      <c r="N909" s="48"/>
      <c r="O909" s="44"/>
      <c r="P909" s="44"/>
      <c r="Q909" s="44"/>
      <c r="R909" s="44"/>
      <c r="S909" s="44"/>
      <c r="T909" s="44"/>
      <c r="U909" s="44"/>
      <c r="V909" s="44"/>
      <c r="W909" s="44"/>
      <c r="X909" s="44"/>
      <c r="Y909" s="44"/>
      <c r="Z909" s="44"/>
      <c r="AA909" s="44" t="s">
        <v>3129</v>
      </c>
      <c r="AB909" s="44" t="s">
        <v>3130</v>
      </c>
    </row>
    <row r="910" spans="1:28" ht="15.75" hidden="1" customHeight="1">
      <c r="A910" s="44"/>
      <c r="B910" s="44"/>
      <c r="C910" s="44"/>
      <c r="D910" s="44"/>
      <c r="E910" s="44"/>
      <c r="F910" s="44"/>
      <c r="G910" s="48"/>
      <c r="H910" s="48"/>
      <c r="I910" s="48"/>
      <c r="J910" s="48"/>
      <c r="K910" s="48"/>
      <c r="L910" s="48"/>
      <c r="M910" s="48"/>
      <c r="N910" s="48"/>
      <c r="O910" s="44"/>
      <c r="P910" s="44"/>
      <c r="Q910" s="44"/>
      <c r="R910" s="44"/>
      <c r="S910" s="44"/>
      <c r="T910" s="44"/>
      <c r="U910" s="44"/>
      <c r="V910" s="44"/>
      <c r="W910" s="44"/>
      <c r="X910" s="44"/>
      <c r="Y910" s="44"/>
      <c r="Z910" s="44"/>
      <c r="AA910" s="44" t="s">
        <v>3131</v>
      </c>
      <c r="AB910" s="44" t="s">
        <v>3132</v>
      </c>
    </row>
    <row r="911" spans="1:28" ht="15.75" hidden="1" customHeight="1">
      <c r="A911" s="44"/>
      <c r="B911" s="44"/>
      <c r="C911" s="44"/>
      <c r="D911" s="44"/>
      <c r="E911" s="44"/>
      <c r="F911" s="44"/>
      <c r="G911" s="48"/>
      <c r="H911" s="48"/>
      <c r="I911" s="48"/>
      <c r="J911" s="48"/>
      <c r="K911" s="48"/>
      <c r="L911" s="48"/>
      <c r="M911" s="48"/>
      <c r="N911" s="48"/>
      <c r="O911" s="44"/>
      <c r="P911" s="44"/>
      <c r="Q911" s="44"/>
      <c r="R911" s="44"/>
      <c r="S911" s="44"/>
      <c r="T911" s="44"/>
      <c r="U911" s="44"/>
      <c r="V911" s="44"/>
      <c r="W911" s="44"/>
      <c r="X911" s="44"/>
      <c r="Y911" s="44"/>
      <c r="Z911" s="44"/>
      <c r="AA911" s="44" t="s">
        <v>3133</v>
      </c>
      <c r="AB911" s="44" t="s">
        <v>3134</v>
      </c>
    </row>
    <row r="912" spans="1:28" ht="15.75" hidden="1" customHeight="1">
      <c r="A912" s="44"/>
      <c r="B912" s="44"/>
      <c r="C912" s="44"/>
      <c r="D912" s="44"/>
      <c r="E912" s="44"/>
      <c r="F912" s="44"/>
      <c r="G912" s="48"/>
      <c r="H912" s="48"/>
      <c r="I912" s="48"/>
      <c r="J912" s="48"/>
      <c r="K912" s="48"/>
      <c r="L912" s="48"/>
      <c r="M912" s="48"/>
      <c r="N912" s="48"/>
      <c r="O912" s="44"/>
      <c r="P912" s="44"/>
      <c r="Q912" s="44"/>
      <c r="R912" s="44"/>
      <c r="S912" s="44"/>
      <c r="T912" s="44"/>
      <c r="U912" s="44"/>
      <c r="V912" s="44"/>
      <c r="W912" s="44"/>
      <c r="X912" s="44"/>
      <c r="Y912" s="44"/>
      <c r="Z912" s="44"/>
      <c r="AA912" s="44" t="s">
        <v>3135</v>
      </c>
      <c r="AB912" s="44" t="s">
        <v>3136</v>
      </c>
    </row>
    <row r="913" spans="1:28" ht="15.75" hidden="1" customHeight="1">
      <c r="A913" s="44"/>
      <c r="B913" s="44"/>
      <c r="C913" s="44"/>
      <c r="D913" s="44"/>
      <c r="E913" s="44"/>
      <c r="F913" s="44"/>
      <c r="G913" s="48"/>
      <c r="H913" s="48"/>
      <c r="I913" s="48"/>
      <c r="J913" s="48"/>
      <c r="K913" s="48"/>
      <c r="L913" s="48"/>
      <c r="M913" s="48"/>
      <c r="N913" s="48"/>
      <c r="O913" s="44"/>
      <c r="P913" s="44"/>
      <c r="Q913" s="44"/>
      <c r="R913" s="44"/>
      <c r="S913" s="44"/>
      <c r="T913" s="44"/>
      <c r="U913" s="44"/>
      <c r="V913" s="44"/>
      <c r="W913" s="44"/>
      <c r="X913" s="44"/>
      <c r="Y913" s="44"/>
      <c r="Z913" s="44"/>
      <c r="AA913" s="44" t="s">
        <v>3137</v>
      </c>
      <c r="AB913" s="44" t="s">
        <v>3138</v>
      </c>
    </row>
    <row r="914" spans="1:28" ht="15.75" hidden="1" customHeight="1">
      <c r="A914" s="44"/>
      <c r="B914" s="44"/>
      <c r="C914" s="44"/>
      <c r="D914" s="44"/>
      <c r="E914" s="44"/>
      <c r="F914" s="44"/>
      <c r="G914" s="48"/>
      <c r="H914" s="48"/>
      <c r="I914" s="48"/>
      <c r="J914" s="48"/>
      <c r="K914" s="48"/>
      <c r="L914" s="48"/>
      <c r="M914" s="48"/>
      <c r="N914" s="48"/>
      <c r="O914" s="44"/>
      <c r="P914" s="44"/>
      <c r="Q914" s="44"/>
      <c r="R914" s="44"/>
      <c r="S914" s="44"/>
      <c r="T914" s="44"/>
      <c r="U914" s="44"/>
      <c r="V914" s="44"/>
      <c r="W914" s="44"/>
      <c r="X914" s="44"/>
      <c r="Y914" s="44"/>
      <c r="Z914" s="44"/>
      <c r="AA914" s="44" t="s">
        <v>3139</v>
      </c>
      <c r="AB914" s="44" t="s">
        <v>3140</v>
      </c>
    </row>
    <row r="915" spans="1:28" ht="15.75" hidden="1" customHeight="1">
      <c r="A915" s="44"/>
      <c r="B915" s="44"/>
      <c r="C915" s="44"/>
      <c r="D915" s="44"/>
      <c r="E915" s="44"/>
      <c r="F915" s="44"/>
      <c r="G915" s="48"/>
      <c r="H915" s="48"/>
      <c r="I915" s="48"/>
      <c r="J915" s="48"/>
      <c r="K915" s="48"/>
      <c r="L915" s="48"/>
      <c r="M915" s="48"/>
      <c r="N915" s="48"/>
      <c r="O915" s="44"/>
      <c r="P915" s="44"/>
      <c r="Q915" s="44"/>
      <c r="R915" s="44"/>
      <c r="S915" s="44"/>
      <c r="T915" s="44"/>
      <c r="U915" s="44"/>
      <c r="V915" s="44"/>
      <c r="W915" s="44"/>
      <c r="X915" s="44"/>
      <c r="Y915" s="44"/>
      <c r="Z915" s="44"/>
      <c r="AA915" s="44" t="s">
        <v>3141</v>
      </c>
      <c r="AB915" s="44" t="s">
        <v>3142</v>
      </c>
    </row>
    <row r="916" spans="1:28" ht="15.75" hidden="1" customHeight="1">
      <c r="A916" s="44"/>
      <c r="B916" s="44"/>
      <c r="C916" s="44"/>
      <c r="D916" s="44"/>
      <c r="E916" s="44"/>
      <c r="F916" s="44"/>
      <c r="G916" s="48"/>
      <c r="H916" s="48"/>
      <c r="I916" s="48"/>
      <c r="J916" s="48"/>
      <c r="K916" s="48"/>
      <c r="L916" s="48"/>
      <c r="M916" s="48"/>
      <c r="N916" s="48"/>
      <c r="O916" s="44"/>
      <c r="P916" s="44"/>
      <c r="Q916" s="44"/>
      <c r="R916" s="44"/>
      <c r="S916" s="44"/>
      <c r="T916" s="44"/>
      <c r="U916" s="44"/>
      <c r="V916" s="44"/>
      <c r="W916" s="44"/>
      <c r="X916" s="44"/>
      <c r="Y916" s="44"/>
      <c r="Z916" s="44"/>
      <c r="AA916" s="44" t="s">
        <v>3143</v>
      </c>
      <c r="AB916" s="44" t="s">
        <v>3144</v>
      </c>
    </row>
    <row r="917" spans="1:28" ht="15.75" hidden="1" customHeight="1">
      <c r="A917" s="44"/>
      <c r="B917" s="44"/>
      <c r="C917" s="44"/>
      <c r="D917" s="44"/>
      <c r="E917" s="44"/>
      <c r="F917" s="44"/>
      <c r="G917" s="48"/>
      <c r="H917" s="48"/>
      <c r="I917" s="48"/>
      <c r="J917" s="48"/>
      <c r="K917" s="48"/>
      <c r="L917" s="48"/>
      <c r="M917" s="48"/>
      <c r="N917" s="48"/>
      <c r="O917" s="44"/>
      <c r="P917" s="44"/>
      <c r="Q917" s="44"/>
      <c r="R917" s="44"/>
      <c r="S917" s="44"/>
      <c r="T917" s="44"/>
      <c r="U917" s="44"/>
      <c r="V917" s="44"/>
      <c r="W917" s="44"/>
      <c r="X917" s="44"/>
      <c r="Y917" s="44"/>
      <c r="Z917" s="44"/>
      <c r="AA917" s="44" t="s">
        <v>3145</v>
      </c>
      <c r="AB917" s="44" t="s">
        <v>3146</v>
      </c>
    </row>
    <row r="918" spans="1:28" ht="15.75" hidden="1" customHeight="1">
      <c r="A918" s="44"/>
      <c r="B918" s="44"/>
      <c r="C918" s="44"/>
      <c r="D918" s="44"/>
      <c r="E918" s="44"/>
      <c r="F918" s="44"/>
      <c r="G918" s="48"/>
      <c r="H918" s="48"/>
      <c r="I918" s="48"/>
      <c r="J918" s="48"/>
      <c r="K918" s="48"/>
      <c r="L918" s="48"/>
      <c r="M918" s="48"/>
      <c r="N918" s="48"/>
      <c r="O918" s="44"/>
      <c r="P918" s="44"/>
      <c r="Q918" s="44"/>
      <c r="R918" s="44"/>
      <c r="S918" s="44"/>
      <c r="T918" s="44"/>
      <c r="U918" s="44"/>
      <c r="V918" s="44"/>
      <c r="W918" s="44"/>
      <c r="X918" s="44"/>
      <c r="Y918" s="44"/>
      <c r="Z918" s="44"/>
      <c r="AA918" s="44" t="s">
        <v>3147</v>
      </c>
      <c r="AB918" s="44" t="s">
        <v>3148</v>
      </c>
    </row>
    <row r="919" spans="1:28" ht="15.75" hidden="1" customHeight="1">
      <c r="A919" s="44"/>
      <c r="B919" s="44"/>
      <c r="C919" s="44"/>
      <c r="D919" s="44"/>
      <c r="E919" s="44"/>
      <c r="F919" s="44"/>
      <c r="G919" s="48"/>
      <c r="H919" s="48"/>
      <c r="I919" s="48"/>
      <c r="J919" s="48"/>
      <c r="K919" s="48"/>
      <c r="L919" s="48"/>
      <c r="M919" s="48"/>
      <c r="N919" s="48"/>
      <c r="O919" s="44"/>
      <c r="P919" s="44"/>
      <c r="Q919" s="44"/>
      <c r="R919" s="44"/>
      <c r="S919" s="44"/>
      <c r="T919" s="44"/>
      <c r="U919" s="44"/>
      <c r="V919" s="44"/>
      <c r="W919" s="44"/>
      <c r="X919" s="44"/>
      <c r="Y919" s="44"/>
      <c r="Z919" s="44"/>
      <c r="AA919" s="44" t="s">
        <v>3149</v>
      </c>
      <c r="AB919" s="44" t="s">
        <v>3150</v>
      </c>
    </row>
    <row r="920" spans="1:28" ht="15.75" hidden="1" customHeight="1">
      <c r="A920" s="44"/>
      <c r="B920" s="44"/>
      <c r="C920" s="44"/>
      <c r="D920" s="44"/>
      <c r="E920" s="44"/>
      <c r="F920" s="44"/>
      <c r="G920" s="48"/>
      <c r="H920" s="48"/>
      <c r="I920" s="48"/>
      <c r="J920" s="48"/>
      <c r="K920" s="48"/>
      <c r="L920" s="48"/>
      <c r="M920" s="48"/>
      <c r="N920" s="48"/>
      <c r="O920" s="44"/>
      <c r="P920" s="44"/>
      <c r="Q920" s="44"/>
      <c r="R920" s="44"/>
      <c r="S920" s="44"/>
      <c r="T920" s="44"/>
      <c r="U920" s="44"/>
      <c r="V920" s="44"/>
      <c r="W920" s="44"/>
      <c r="X920" s="44"/>
      <c r="Y920" s="44"/>
      <c r="Z920" s="44"/>
      <c r="AA920" s="44" t="s">
        <v>3151</v>
      </c>
      <c r="AB920" s="44" t="s">
        <v>3152</v>
      </c>
    </row>
    <row r="921" spans="1:28" ht="15.75" hidden="1" customHeight="1">
      <c r="A921" s="44"/>
      <c r="B921" s="44"/>
      <c r="C921" s="44"/>
      <c r="D921" s="44"/>
      <c r="E921" s="44"/>
      <c r="F921" s="44"/>
      <c r="G921" s="48"/>
      <c r="H921" s="48"/>
      <c r="I921" s="48"/>
      <c r="J921" s="48"/>
      <c r="K921" s="48"/>
      <c r="L921" s="48"/>
      <c r="M921" s="48"/>
      <c r="N921" s="48"/>
      <c r="O921" s="44"/>
      <c r="P921" s="44"/>
      <c r="Q921" s="44"/>
      <c r="R921" s="44"/>
      <c r="S921" s="44"/>
      <c r="T921" s="44"/>
      <c r="U921" s="44"/>
      <c r="V921" s="44"/>
      <c r="W921" s="44"/>
      <c r="X921" s="44"/>
      <c r="Y921" s="44"/>
      <c r="Z921" s="44"/>
      <c r="AA921" s="44" t="s">
        <v>3153</v>
      </c>
      <c r="AB921" s="44" t="s">
        <v>3154</v>
      </c>
    </row>
    <row r="922" spans="1:28" ht="15.75" hidden="1" customHeight="1">
      <c r="A922" s="44"/>
      <c r="B922" s="44"/>
      <c r="C922" s="44"/>
      <c r="D922" s="44"/>
      <c r="E922" s="44"/>
      <c r="F922" s="44"/>
      <c r="G922" s="48"/>
      <c r="H922" s="48"/>
      <c r="I922" s="48"/>
      <c r="J922" s="48"/>
      <c r="K922" s="48"/>
      <c r="L922" s="48"/>
      <c r="M922" s="48"/>
      <c r="N922" s="48"/>
      <c r="O922" s="44"/>
      <c r="P922" s="44"/>
      <c r="Q922" s="44"/>
      <c r="R922" s="44"/>
      <c r="S922" s="44"/>
      <c r="T922" s="44"/>
      <c r="U922" s="44"/>
      <c r="V922" s="44"/>
      <c r="W922" s="44"/>
      <c r="X922" s="44"/>
      <c r="Y922" s="44"/>
      <c r="Z922" s="44"/>
      <c r="AA922" s="44" t="s">
        <v>3155</v>
      </c>
      <c r="AB922" s="44" t="s">
        <v>3156</v>
      </c>
    </row>
    <row r="923" spans="1:28" ht="15.75" hidden="1" customHeight="1">
      <c r="A923" s="44"/>
      <c r="B923" s="44"/>
      <c r="C923" s="44"/>
      <c r="D923" s="44"/>
      <c r="E923" s="44"/>
      <c r="F923" s="44"/>
      <c r="G923" s="48"/>
      <c r="H923" s="48"/>
      <c r="I923" s="48"/>
      <c r="J923" s="48"/>
      <c r="K923" s="48"/>
      <c r="L923" s="48"/>
      <c r="M923" s="48"/>
      <c r="N923" s="48"/>
      <c r="O923" s="44"/>
      <c r="P923" s="44"/>
      <c r="Q923" s="44"/>
      <c r="R923" s="44"/>
      <c r="S923" s="44"/>
      <c r="T923" s="44"/>
      <c r="U923" s="44"/>
      <c r="V923" s="44"/>
      <c r="W923" s="44"/>
      <c r="X923" s="44"/>
      <c r="Y923" s="44"/>
      <c r="Z923" s="44"/>
      <c r="AA923" s="44" t="s">
        <v>3157</v>
      </c>
      <c r="AB923" s="44" t="s">
        <v>3158</v>
      </c>
    </row>
    <row r="924" spans="1:28" ht="15.75" hidden="1" customHeight="1">
      <c r="A924" s="44"/>
      <c r="B924" s="44"/>
      <c r="C924" s="44"/>
      <c r="D924" s="44"/>
      <c r="E924" s="44"/>
      <c r="F924" s="44"/>
      <c r="G924" s="48"/>
      <c r="H924" s="48"/>
      <c r="I924" s="48"/>
      <c r="J924" s="48"/>
      <c r="K924" s="48"/>
      <c r="L924" s="48"/>
      <c r="M924" s="48"/>
      <c r="N924" s="48"/>
      <c r="O924" s="44"/>
      <c r="P924" s="44"/>
      <c r="Q924" s="44"/>
      <c r="R924" s="44"/>
      <c r="S924" s="44"/>
      <c r="T924" s="44"/>
      <c r="U924" s="44"/>
      <c r="V924" s="44"/>
      <c r="W924" s="44"/>
      <c r="X924" s="44"/>
      <c r="Y924" s="44"/>
      <c r="Z924" s="44"/>
      <c r="AA924" s="44" t="s">
        <v>3159</v>
      </c>
      <c r="AB924" s="44" t="s">
        <v>3160</v>
      </c>
    </row>
    <row r="925" spans="1:28" ht="15.75" hidden="1" customHeight="1">
      <c r="A925" s="44"/>
      <c r="B925" s="44"/>
      <c r="C925" s="44"/>
      <c r="D925" s="44"/>
      <c r="E925" s="44"/>
      <c r="F925" s="44"/>
      <c r="G925" s="48"/>
      <c r="H925" s="48"/>
      <c r="I925" s="48"/>
      <c r="J925" s="48"/>
      <c r="K925" s="48"/>
      <c r="L925" s="48"/>
      <c r="M925" s="48"/>
      <c r="N925" s="48"/>
      <c r="O925" s="44"/>
      <c r="P925" s="44"/>
      <c r="Q925" s="44"/>
      <c r="R925" s="44"/>
      <c r="S925" s="44"/>
      <c r="T925" s="44"/>
      <c r="U925" s="44"/>
      <c r="V925" s="44"/>
      <c r="W925" s="44"/>
      <c r="X925" s="44"/>
      <c r="Y925" s="44"/>
      <c r="Z925" s="44"/>
      <c r="AA925" s="44" t="s">
        <v>3161</v>
      </c>
      <c r="AB925" s="44" t="s">
        <v>3162</v>
      </c>
    </row>
    <row r="926" spans="1:28" ht="15.75" hidden="1" customHeight="1">
      <c r="A926" s="44"/>
      <c r="B926" s="44"/>
      <c r="C926" s="44"/>
      <c r="D926" s="44"/>
      <c r="E926" s="44"/>
      <c r="F926" s="44"/>
      <c r="G926" s="48"/>
      <c r="H926" s="48"/>
      <c r="I926" s="48"/>
      <c r="J926" s="48"/>
      <c r="K926" s="48"/>
      <c r="L926" s="48"/>
      <c r="M926" s="48"/>
      <c r="N926" s="48"/>
      <c r="O926" s="44"/>
      <c r="P926" s="44"/>
      <c r="Q926" s="44"/>
      <c r="R926" s="44"/>
      <c r="S926" s="44"/>
      <c r="T926" s="44"/>
      <c r="U926" s="44"/>
      <c r="V926" s="44"/>
      <c r="W926" s="44"/>
      <c r="X926" s="44"/>
      <c r="Y926" s="44"/>
      <c r="Z926" s="44"/>
      <c r="AA926" s="44" t="s">
        <v>3163</v>
      </c>
      <c r="AB926" s="44" t="s">
        <v>3164</v>
      </c>
    </row>
    <row r="927" spans="1:28" ht="15.75" hidden="1" customHeight="1">
      <c r="A927" s="44"/>
      <c r="B927" s="44"/>
      <c r="C927" s="44"/>
      <c r="D927" s="44"/>
      <c r="E927" s="44"/>
      <c r="F927" s="44"/>
      <c r="G927" s="48"/>
      <c r="H927" s="48"/>
      <c r="I927" s="48"/>
      <c r="J927" s="48"/>
      <c r="K927" s="48"/>
      <c r="L927" s="48"/>
      <c r="M927" s="48"/>
      <c r="N927" s="48"/>
      <c r="O927" s="44"/>
      <c r="P927" s="44"/>
      <c r="Q927" s="44"/>
      <c r="R927" s="44"/>
      <c r="S927" s="44"/>
      <c r="T927" s="44"/>
      <c r="U927" s="44"/>
      <c r="V927" s="44"/>
      <c r="W927" s="44"/>
      <c r="X927" s="44"/>
      <c r="Y927" s="44"/>
      <c r="Z927" s="44"/>
      <c r="AA927" s="44" t="s">
        <v>3165</v>
      </c>
      <c r="AB927" s="44" t="s">
        <v>3166</v>
      </c>
    </row>
    <row r="928" spans="1:28" ht="15.75" hidden="1" customHeight="1">
      <c r="A928" s="44"/>
      <c r="B928" s="44"/>
      <c r="C928" s="44"/>
      <c r="D928" s="44"/>
      <c r="E928" s="44"/>
      <c r="F928" s="44"/>
      <c r="G928" s="48"/>
      <c r="H928" s="48"/>
      <c r="I928" s="48"/>
      <c r="J928" s="48"/>
      <c r="K928" s="48"/>
      <c r="L928" s="48"/>
      <c r="M928" s="48"/>
      <c r="N928" s="48"/>
      <c r="O928" s="44"/>
      <c r="P928" s="44"/>
      <c r="Q928" s="44"/>
      <c r="R928" s="44"/>
      <c r="S928" s="44"/>
      <c r="T928" s="44"/>
      <c r="U928" s="44"/>
      <c r="V928" s="44"/>
      <c r="W928" s="44"/>
      <c r="X928" s="44"/>
      <c r="Y928" s="44"/>
      <c r="Z928" s="44"/>
      <c r="AA928" s="44" t="s">
        <v>3167</v>
      </c>
      <c r="AB928" s="44" t="s">
        <v>3168</v>
      </c>
    </row>
    <row r="929" spans="1:28" ht="15.75" hidden="1" customHeight="1">
      <c r="A929" s="44"/>
      <c r="B929" s="44"/>
      <c r="C929" s="44"/>
      <c r="D929" s="44"/>
      <c r="E929" s="44"/>
      <c r="F929" s="44"/>
      <c r="G929" s="48"/>
      <c r="H929" s="48"/>
      <c r="I929" s="48"/>
      <c r="J929" s="48"/>
      <c r="K929" s="48"/>
      <c r="L929" s="48"/>
      <c r="M929" s="48"/>
      <c r="N929" s="48"/>
      <c r="O929" s="44"/>
      <c r="P929" s="44"/>
      <c r="Q929" s="44"/>
      <c r="R929" s="44"/>
      <c r="S929" s="44"/>
      <c r="T929" s="44"/>
      <c r="U929" s="44"/>
      <c r="V929" s="44"/>
      <c r="W929" s="44"/>
      <c r="X929" s="44"/>
      <c r="Y929" s="44"/>
      <c r="Z929" s="44"/>
      <c r="AA929" s="44" t="s">
        <v>3169</v>
      </c>
      <c r="AB929" s="44" t="s">
        <v>3170</v>
      </c>
    </row>
    <row r="930" spans="1:28" ht="15.75" hidden="1" customHeight="1">
      <c r="A930" s="44"/>
      <c r="B930" s="44"/>
      <c r="C930" s="44"/>
      <c r="D930" s="44"/>
      <c r="E930" s="44"/>
      <c r="F930" s="44"/>
      <c r="G930" s="48"/>
      <c r="H930" s="48"/>
      <c r="I930" s="48"/>
      <c r="J930" s="48"/>
      <c r="K930" s="48"/>
      <c r="L930" s="48"/>
      <c r="M930" s="48"/>
      <c r="N930" s="48"/>
      <c r="O930" s="44"/>
      <c r="P930" s="44"/>
      <c r="Q930" s="44"/>
      <c r="R930" s="44"/>
      <c r="S930" s="44"/>
      <c r="T930" s="44"/>
      <c r="U930" s="44"/>
      <c r="V930" s="44"/>
      <c r="W930" s="44"/>
      <c r="X930" s="44"/>
      <c r="Y930" s="44"/>
      <c r="Z930" s="44"/>
      <c r="AA930" s="44" t="s">
        <v>3171</v>
      </c>
      <c r="AB930" s="44" t="s">
        <v>3172</v>
      </c>
    </row>
    <row r="931" spans="1:28" ht="15.75" hidden="1" customHeight="1">
      <c r="A931" s="44"/>
      <c r="B931" s="44"/>
      <c r="C931" s="44"/>
      <c r="D931" s="44"/>
      <c r="E931" s="44"/>
      <c r="F931" s="44"/>
      <c r="G931" s="48"/>
      <c r="H931" s="48"/>
      <c r="I931" s="48"/>
      <c r="J931" s="48"/>
      <c r="K931" s="48"/>
      <c r="L931" s="48"/>
      <c r="M931" s="48"/>
      <c r="N931" s="48"/>
      <c r="O931" s="44"/>
      <c r="P931" s="44"/>
      <c r="Q931" s="44"/>
      <c r="R931" s="44"/>
      <c r="S931" s="44"/>
      <c r="T931" s="44"/>
      <c r="U931" s="44"/>
      <c r="V931" s="44"/>
      <c r="W931" s="44"/>
      <c r="X931" s="44"/>
      <c r="Y931" s="44"/>
      <c r="Z931" s="44"/>
      <c r="AA931" s="44" t="s">
        <v>3173</v>
      </c>
      <c r="AB931" s="44" t="s">
        <v>3174</v>
      </c>
    </row>
    <row r="932" spans="1:28" ht="15.75" hidden="1" customHeight="1">
      <c r="A932" s="44"/>
      <c r="B932" s="44"/>
      <c r="C932" s="44"/>
      <c r="D932" s="44"/>
      <c r="E932" s="44"/>
      <c r="F932" s="44"/>
      <c r="G932" s="48"/>
      <c r="H932" s="48"/>
      <c r="I932" s="48"/>
      <c r="J932" s="48"/>
      <c r="K932" s="48"/>
      <c r="L932" s="48"/>
      <c r="M932" s="48"/>
      <c r="N932" s="48"/>
      <c r="O932" s="44"/>
      <c r="P932" s="44"/>
      <c r="Q932" s="44"/>
      <c r="R932" s="44"/>
      <c r="S932" s="44"/>
      <c r="T932" s="44"/>
      <c r="U932" s="44"/>
      <c r="V932" s="44"/>
      <c r="W932" s="44"/>
      <c r="X932" s="44"/>
      <c r="Y932" s="44"/>
      <c r="Z932" s="44"/>
      <c r="AA932" s="44" t="s">
        <v>3175</v>
      </c>
      <c r="AB932" s="44" t="s">
        <v>3176</v>
      </c>
    </row>
    <row r="933" spans="1:28" ht="15.75" hidden="1" customHeight="1">
      <c r="A933" s="44"/>
      <c r="B933" s="44"/>
      <c r="C933" s="44"/>
      <c r="D933" s="44"/>
      <c r="E933" s="44"/>
      <c r="F933" s="44"/>
      <c r="G933" s="48"/>
      <c r="H933" s="48"/>
      <c r="I933" s="48"/>
      <c r="J933" s="48"/>
      <c r="K933" s="48"/>
      <c r="L933" s="48"/>
      <c r="M933" s="48"/>
      <c r="N933" s="48"/>
      <c r="O933" s="44"/>
      <c r="P933" s="44"/>
      <c r="Q933" s="44"/>
      <c r="R933" s="44"/>
      <c r="S933" s="44"/>
      <c r="T933" s="44"/>
      <c r="U933" s="44"/>
      <c r="V933" s="44"/>
      <c r="W933" s="44"/>
      <c r="X933" s="44"/>
      <c r="Y933" s="44"/>
      <c r="Z933" s="44"/>
      <c r="AA933" s="44" t="s">
        <v>3177</v>
      </c>
      <c r="AB933" s="44" t="s">
        <v>3178</v>
      </c>
    </row>
    <row r="934" spans="1:28" ht="15.75" hidden="1" customHeight="1">
      <c r="A934" s="44"/>
      <c r="B934" s="44"/>
      <c r="C934" s="44"/>
      <c r="D934" s="44"/>
      <c r="E934" s="44"/>
      <c r="F934" s="44"/>
      <c r="G934" s="48"/>
      <c r="H934" s="48"/>
      <c r="I934" s="48"/>
      <c r="J934" s="48"/>
      <c r="K934" s="48"/>
      <c r="L934" s="48"/>
      <c r="M934" s="48"/>
      <c r="N934" s="48"/>
      <c r="O934" s="44"/>
      <c r="P934" s="44"/>
      <c r="Q934" s="44"/>
      <c r="R934" s="44"/>
      <c r="S934" s="44"/>
      <c r="T934" s="44"/>
      <c r="U934" s="44"/>
      <c r="V934" s="44"/>
      <c r="W934" s="44"/>
      <c r="X934" s="44"/>
      <c r="Y934" s="44"/>
      <c r="Z934" s="44"/>
      <c r="AA934" s="44" t="s">
        <v>3179</v>
      </c>
      <c r="AB934" s="44" t="s">
        <v>3180</v>
      </c>
    </row>
    <row r="935" spans="1:28" ht="15.75" hidden="1" customHeight="1">
      <c r="A935" s="44"/>
      <c r="B935" s="44"/>
      <c r="C935" s="44"/>
      <c r="D935" s="44"/>
      <c r="E935" s="44"/>
      <c r="F935" s="44"/>
      <c r="G935" s="48"/>
      <c r="H935" s="48"/>
      <c r="I935" s="48"/>
      <c r="J935" s="48"/>
      <c r="K935" s="48"/>
      <c r="L935" s="48"/>
      <c r="M935" s="48"/>
      <c r="N935" s="48"/>
      <c r="O935" s="44"/>
      <c r="P935" s="44"/>
      <c r="Q935" s="44"/>
      <c r="R935" s="44"/>
      <c r="S935" s="44"/>
      <c r="T935" s="44"/>
      <c r="U935" s="44"/>
      <c r="V935" s="44"/>
      <c r="W935" s="44"/>
      <c r="X935" s="44"/>
      <c r="Y935" s="44"/>
      <c r="Z935" s="44"/>
      <c r="AA935" s="44" t="s">
        <v>3181</v>
      </c>
      <c r="AB935" s="44" t="s">
        <v>3182</v>
      </c>
    </row>
    <row r="936" spans="1:28" ht="15.75" hidden="1" customHeight="1">
      <c r="A936" s="44"/>
      <c r="B936" s="44"/>
      <c r="C936" s="44"/>
      <c r="D936" s="44"/>
      <c r="E936" s="44"/>
      <c r="F936" s="44"/>
      <c r="G936" s="48"/>
      <c r="H936" s="48"/>
      <c r="I936" s="48"/>
      <c r="J936" s="48"/>
      <c r="K936" s="48"/>
      <c r="L936" s="48"/>
      <c r="M936" s="48"/>
      <c r="N936" s="48"/>
      <c r="O936" s="44"/>
      <c r="P936" s="44"/>
      <c r="Q936" s="44"/>
      <c r="R936" s="44"/>
      <c r="S936" s="44"/>
      <c r="T936" s="44"/>
      <c r="U936" s="44"/>
      <c r="V936" s="44"/>
      <c r="W936" s="44"/>
      <c r="X936" s="44"/>
      <c r="Y936" s="44"/>
      <c r="Z936" s="44"/>
      <c r="AA936" s="44" t="s">
        <v>3183</v>
      </c>
      <c r="AB936" s="44" t="s">
        <v>3184</v>
      </c>
    </row>
    <row r="937" spans="1:28" ht="15.75" hidden="1" customHeight="1">
      <c r="A937" s="44"/>
      <c r="B937" s="44"/>
      <c r="C937" s="44"/>
      <c r="D937" s="44"/>
      <c r="E937" s="44"/>
      <c r="F937" s="44"/>
      <c r="G937" s="48"/>
      <c r="H937" s="48"/>
      <c r="I937" s="48"/>
      <c r="J937" s="48"/>
      <c r="K937" s="48"/>
      <c r="L937" s="48"/>
      <c r="M937" s="48"/>
      <c r="N937" s="48"/>
      <c r="O937" s="44"/>
      <c r="P937" s="44"/>
      <c r="Q937" s="44"/>
      <c r="R937" s="44"/>
      <c r="S937" s="44"/>
      <c r="T937" s="44"/>
      <c r="U937" s="44"/>
      <c r="V937" s="44"/>
      <c r="W937" s="44"/>
      <c r="X937" s="44"/>
      <c r="Y937" s="44"/>
      <c r="Z937" s="44"/>
      <c r="AA937" s="44" t="s">
        <v>3185</v>
      </c>
      <c r="AB937" s="44" t="s">
        <v>3186</v>
      </c>
    </row>
    <row r="938" spans="1:28" ht="15.75" hidden="1" customHeight="1">
      <c r="A938" s="44"/>
      <c r="B938" s="44"/>
      <c r="C938" s="44"/>
      <c r="D938" s="44"/>
      <c r="E938" s="44"/>
      <c r="F938" s="44"/>
      <c r="G938" s="48"/>
      <c r="H938" s="48"/>
      <c r="I938" s="48"/>
      <c r="J938" s="48"/>
      <c r="K938" s="48"/>
      <c r="L938" s="48"/>
      <c r="M938" s="48"/>
      <c r="N938" s="48"/>
      <c r="O938" s="44"/>
      <c r="P938" s="44"/>
      <c r="Q938" s="44"/>
      <c r="R938" s="44"/>
      <c r="S938" s="44"/>
      <c r="T938" s="44"/>
      <c r="U938" s="44"/>
      <c r="V938" s="44"/>
      <c r="W938" s="44"/>
      <c r="X938" s="44"/>
      <c r="Y938" s="44"/>
      <c r="Z938" s="44"/>
      <c r="AA938" s="44" t="s">
        <v>3187</v>
      </c>
      <c r="AB938" s="44" t="s">
        <v>3188</v>
      </c>
    </row>
    <row r="939" spans="1:28" ht="15.75" hidden="1" customHeight="1">
      <c r="A939" s="44"/>
      <c r="B939" s="44"/>
      <c r="C939" s="44"/>
      <c r="D939" s="44"/>
      <c r="E939" s="44"/>
      <c r="F939" s="44"/>
      <c r="G939" s="48"/>
      <c r="H939" s="48"/>
      <c r="I939" s="48"/>
      <c r="J939" s="48"/>
      <c r="K939" s="48"/>
      <c r="L939" s="48"/>
      <c r="M939" s="48"/>
      <c r="N939" s="48"/>
      <c r="O939" s="44"/>
      <c r="P939" s="44"/>
      <c r="Q939" s="44"/>
      <c r="R939" s="44"/>
      <c r="S939" s="44"/>
      <c r="T939" s="44"/>
      <c r="U939" s="44"/>
      <c r="V939" s="44"/>
      <c r="W939" s="44"/>
      <c r="X939" s="44"/>
      <c r="Y939" s="44"/>
      <c r="Z939" s="44"/>
      <c r="AA939" s="44" t="s">
        <v>3189</v>
      </c>
      <c r="AB939" s="44" t="s">
        <v>3190</v>
      </c>
    </row>
    <row r="940" spans="1:28" ht="15.75" hidden="1" customHeight="1">
      <c r="A940" s="44"/>
      <c r="B940" s="44"/>
      <c r="C940" s="44"/>
      <c r="D940" s="44"/>
      <c r="E940" s="44"/>
      <c r="F940" s="44"/>
      <c r="G940" s="48"/>
      <c r="H940" s="48"/>
      <c r="I940" s="48"/>
      <c r="J940" s="48"/>
      <c r="K940" s="48"/>
      <c r="L940" s="48"/>
      <c r="M940" s="48"/>
      <c r="N940" s="48"/>
      <c r="O940" s="44"/>
      <c r="P940" s="44"/>
      <c r="Q940" s="44"/>
      <c r="R940" s="44"/>
      <c r="S940" s="44"/>
      <c r="T940" s="44"/>
      <c r="U940" s="44"/>
      <c r="V940" s="44"/>
      <c r="W940" s="44"/>
      <c r="X940" s="44"/>
      <c r="Y940" s="44"/>
      <c r="Z940" s="44"/>
      <c r="AA940" s="44" t="s">
        <v>3191</v>
      </c>
      <c r="AB940" s="44" t="s">
        <v>3192</v>
      </c>
    </row>
    <row r="941" spans="1:28" ht="15.75" hidden="1" customHeight="1">
      <c r="A941" s="44"/>
      <c r="B941" s="44"/>
      <c r="C941" s="44"/>
      <c r="D941" s="44"/>
      <c r="E941" s="44"/>
      <c r="F941" s="44"/>
      <c r="G941" s="48"/>
      <c r="H941" s="48"/>
      <c r="I941" s="48"/>
      <c r="J941" s="48"/>
      <c r="K941" s="48"/>
      <c r="L941" s="48"/>
      <c r="M941" s="48"/>
      <c r="N941" s="48"/>
      <c r="O941" s="44"/>
      <c r="P941" s="44"/>
      <c r="Q941" s="44"/>
      <c r="R941" s="44"/>
      <c r="S941" s="44"/>
      <c r="T941" s="44"/>
      <c r="U941" s="44"/>
      <c r="V941" s="44"/>
      <c r="W941" s="44"/>
      <c r="X941" s="44"/>
      <c r="Y941" s="44"/>
      <c r="Z941" s="44"/>
      <c r="AA941" s="44" t="s">
        <v>3193</v>
      </c>
      <c r="AB941" s="44" t="s">
        <v>3194</v>
      </c>
    </row>
    <row r="942" spans="1:28" ht="15.75" hidden="1" customHeight="1">
      <c r="A942" s="44"/>
      <c r="B942" s="44"/>
      <c r="C942" s="44"/>
      <c r="D942" s="44"/>
      <c r="E942" s="44"/>
      <c r="F942" s="44"/>
      <c r="G942" s="48"/>
      <c r="H942" s="48"/>
      <c r="I942" s="48"/>
      <c r="J942" s="48"/>
      <c r="K942" s="48"/>
      <c r="L942" s="48"/>
      <c r="M942" s="48"/>
      <c r="N942" s="48"/>
      <c r="O942" s="44"/>
      <c r="P942" s="44"/>
      <c r="Q942" s="44"/>
      <c r="R942" s="44"/>
      <c r="S942" s="44"/>
      <c r="T942" s="44"/>
      <c r="U942" s="44"/>
      <c r="V942" s="44"/>
      <c r="W942" s="44"/>
      <c r="X942" s="44"/>
      <c r="Y942" s="44"/>
      <c r="Z942" s="44"/>
      <c r="AA942" s="44" t="s">
        <v>3195</v>
      </c>
      <c r="AB942" s="44" t="s">
        <v>3196</v>
      </c>
    </row>
    <row r="943" spans="1:28" ht="15.75" hidden="1" customHeight="1">
      <c r="A943" s="44"/>
      <c r="B943" s="44"/>
      <c r="C943" s="44"/>
      <c r="D943" s="44"/>
      <c r="E943" s="44"/>
      <c r="F943" s="44"/>
      <c r="G943" s="48"/>
      <c r="H943" s="48"/>
      <c r="I943" s="48"/>
      <c r="J943" s="48"/>
      <c r="K943" s="48"/>
      <c r="L943" s="48"/>
      <c r="M943" s="48"/>
      <c r="N943" s="48"/>
      <c r="O943" s="44"/>
      <c r="P943" s="44"/>
      <c r="Q943" s="44"/>
      <c r="R943" s="44"/>
      <c r="S943" s="44"/>
      <c r="T943" s="44"/>
      <c r="U943" s="44"/>
      <c r="V943" s="44"/>
      <c r="W943" s="44"/>
      <c r="X943" s="44"/>
      <c r="Y943" s="44"/>
      <c r="Z943" s="44"/>
      <c r="AA943" s="44" t="s">
        <v>3197</v>
      </c>
      <c r="AB943" s="44" t="s">
        <v>3198</v>
      </c>
    </row>
    <row r="944" spans="1:28" ht="15.75" hidden="1" customHeight="1">
      <c r="A944" s="44"/>
      <c r="B944" s="44"/>
      <c r="C944" s="44"/>
      <c r="D944" s="44"/>
      <c r="E944" s="44"/>
      <c r="F944" s="44"/>
      <c r="G944" s="48"/>
      <c r="H944" s="48"/>
      <c r="I944" s="48"/>
      <c r="J944" s="48"/>
      <c r="K944" s="48"/>
      <c r="L944" s="48"/>
      <c r="M944" s="48"/>
      <c r="N944" s="48"/>
      <c r="O944" s="44"/>
      <c r="P944" s="44"/>
      <c r="Q944" s="44"/>
      <c r="R944" s="44"/>
      <c r="S944" s="44"/>
      <c r="T944" s="44"/>
      <c r="U944" s="44"/>
      <c r="V944" s="44"/>
      <c r="W944" s="44"/>
      <c r="X944" s="44"/>
      <c r="Y944" s="44"/>
      <c r="Z944" s="44"/>
      <c r="AA944" s="44" t="s">
        <v>3199</v>
      </c>
      <c r="AB944" s="44" t="s">
        <v>3200</v>
      </c>
    </row>
    <row r="945" spans="1:28" ht="15.75" hidden="1" customHeight="1">
      <c r="A945" s="44"/>
      <c r="B945" s="44"/>
      <c r="C945" s="44"/>
      <c r="D945" s="44"/>
      <c r="E945" s="44"/>
      <c r="F945" s="44"/>
      <c r="G945" s="48"/>
      <c r="H945" s="48"/>
      <c r="I945" s="48"/>
      <c r="J945" s="48"/>
      <c r="K945" s="48"/>
      <c r="L945" s="48"/>
      <c r="M945" s="48"/>
      <c r="N945" s="48"/>
      <c r="O945" s="44"/>
      <c r="P945" s="44"/>
      <c r="Q945" s="44"/>
      <c r="R945" s="44"/>
      <c r="S945" s="44"/>
      <c r="T945" s="44"/>
      <c r="U945" s="44"/>
      <c r="V945" s="44"/>
      <c r="W945" s="44"/>
      <c r="X945" s="44"/>
      <c r="Y945" s="44"/>
      <c r="Z945" s="44"/>
      <c r="AA945" s="44" t="s">
        <v>3201</v>
      </c>
      <c r="AB945" s="44" t="s">
        <v>3202</v>
      </c>
    </row>
    <row r="946" spans="1:28" ht="15.75" hidden="1" customHeight="1">
      <c r="A946" s="44"/>
      <c r="B946" s="44"/>
      <c r="C946" s="44"/>
      <c r="D946" s="44"/>
      <c r="E946" s="44"/>
      <c r="F946" s="44"/>
      <c r="G946" s="48"/>
      <c r="H946" s="48"/>
      <c r="I946" s="48"/>
      <c r="J946" s="48"/>
      <c r="K946" s="48"/>
      <c r="L946" s="48"/>
      <c r="M946" s="48"/>
      <c r="N946" s="48"/>
      <c r="O946" s="44"/>
      <c r="P946" s="44"/>
      <c r="Q946" s="44"/>
      <c r="R946" s="44"/>
      <c r="S946" s="44"/>
      <c r="T946" s="44"/>
      <c r="U946" s="44"/>
      <c r="V946" s="44"/>
      <c r="W946" s="44"/>
      <c r="X946" s="44"/>
      <c r="Y946" s="44"/>
      <c r="Z946" s="44"/>
      <c r="AA946" s="44" t="s">
        <v>3203</v>
      </c>
      <c r="AB946" s="44" t="s">
        <v>3204</v>
      </c>
    </row>
    <row r="947" spans="1:28" ht="15.75" hidden="1" customHeight="1">
      <c r="A947" s="44"/>
      <c r="B947" s="44"/>
      <c r="C947" s="44"/>
      <c r="D947" s="44"/>
      <c r="E947" s="44"/>
      <c r="F947" s="44"/>
      <c r="G947" s="48"/>
      <c r="H947" s="48"/>
      <c r="I947" s="48"/>
      <c r="J947" s="48"/>
      <c r="K947" s="48"/>
      <c r="L947" s="48"/>
      <c r="M947" s="48"/>
      <c r="N947" s="48"/>
      <c r="O947" s="44"/>
      <c r="P947" s="44"/>
      <c r="Q947" s="44"/>
      <c r="R947" s="44"/>
      <c r="S947" s="44"/>
      <c r="T947" s="44"/>
      <c r="U947" s="44"/>
      <c r="V947" s="44"/>
      <c r="W947" s="44"/>
      <c r="X947" s="44"/>
      <c r="Y947" s="44"/>
      <c r="Z947" s="44"/>
      <c r="AA947" s="44" t="s">
        <v>3205</v>
      </c>
      <c r="AB947" s="44" t="s">
        <v>3206</v>
      </c>
    </row>
    <row r="948" spans="1:28" ht="15.75" hidden="1" customHeight="1">
      <c r="A948" s="44"/>
      <c r="B948" s="44"/>
      <c r="C948" s="44"/>
      <c r="D948" s="44"/>
      <c r="E948" s="44"/>
      <c r="F948" s="44"/>
      <c r="G948" s="48"/>
      <c r="H948" s="48"/>
      <c r="I948" s="48"/>
      <c r="J948" s="48"/>
      <c r="K948" s="48"/>
      <c r="L948" s="48"/>
      <c r="M948" s="48"/>
      <c r="N948" s="48"/>
      <c r="O948" s="44"/>
      <c r="P948" s="44"/>
      <c r="Q948" s="44"/>
      <c r="R948" s="44"/>
      <c r="S948" s="44"/>
      <c r="T948" s="44"/>
      <c r="U948" s="44"/>
      <c r="V948" s="44"/>
      <c r="W948" s="44"/>
      <c r="X948" s="44"/>
      <c r="Y948" s="44"/>
      <c r="Z948" s="44"/>
      <c r="AA948" s="44" t="s">
        <v>3207</v>
      </c>
      <c r="AB948" s="44" t="s">
        <v>3208</v>
      </c>
    </row>
    <row r="949" spans="1:28" ht="15.75" hidden="1" customHeight="1">
      <c r="A949" s="44"/>
      <c r="B949" s="44"/>
      <c r="C949" s="44"/>
      <c r="D949" s="44"/>
      <c r="E949" s="44"/>
      <c r="F949" s="44"/>
      <c r="G949" s="48"/>
      <c r="H949" s="48"/>
      <c r="I949" s="48"/>
      <c r="J949" s="48"/>
      <c r="K949" s="48"/>
      <c r="L949" s="48"/>
      <c r="M949" s="48"/>
      <c r="N949" s="48"/>
      <c r="O949" s="44"/>
      <c r="P949" s="44"/>
      <c r="Q949" s="44"/>
      <c r="R949" s="44"/>
      <c r="S949" s="44"/>
      <c r="T949" s="44"/>
      <c r="U949" s="44"/>
      <c r="V949" s="44"/>
      <c r="W949" s="44"/>
      <c r="X949" s="44"/>
      <c r="Y949" s="44"/>
      <c r="Z949" s="44"/>
      <c r="AA949" s="44" t="s">
        <v>3209</v>
      </c>
      <c r="AB949" s="44" t="s">
        <v>3210</v>
      </c>
    </row>
    <row r="950" spans="1:28" ht="15.75" hidden="1" customHeight="1">
      <c r="A950" s="44"/>
      <c r="B950" s="44"/>
      <c r="C950" s="44"/>
      <c r="D950" s="44"/>
      <c r="E950" s="44"/>
      <c r="F950" s="44"/>
      <c r="G950" s="48"/>
      <c r="H950" s="48"/>
      <c r="I950" s="48"/>
      <c r="J950" s="48"/>
      <c r="K950" s="48"/>
      <c r="L950" s="48"/>
      <c r="M950" s="48"/>
      <c r="N950" s="48"/>
      <c r="O950" s="44"/>
      <c r="P950" s="44"/>
      <c r="Q950" s="44"/>
      <c r="R950" s="44"/>
      <c r="S950" s="44"/>
      <c r="T950" s="44"/>
      <c r="U950" s="44"/>
      <c r="V950" s="44"/>
      <c r="W950" s="44"/>
      <c r="X950" s="44"/>
      <c r="Y950" s="44"/>
      <c r="Z950" s="44"/>
      <c r="AA950" s="44" t="s">
        <v>3211</v>
      </c>
      <c r="AB950" s="44" t="s">
        <v>3212</v>
      </c>
    </row>
    <row r="951" spans="1:28" ht="15.75" hidden="1" customHeight="1">
      <c r="A951" s="44"/>
      <c r="B951" s="44"/>
      <c r="C951" s="44"/>
      <c r="D951" s="44"/>
      <c r="E951" s="44"/>
      <c r="F951" s="44"/>
      <c r="G951" s="48"/>
      <c r="H951" s="48"/>
      <c r="I951" s="48"/>
      <c r="J951" s="48"/>
      <c r="K951" s="48"/>
      <c r="L951" s="48"/>
      <c r="M951" s="48"/>
      <c r="N951" s="48"/>
      <c r="O951" s="44"/>
      <c r="P951" s="44"/>
      <c r="Q951" s="44"/>
      <c r="R951" s="44"/>
      <c r="S951" s="44"/>
      <c r="T951" s="44"/>
      <c r="U951" s="44"/>
      <c r="V951" s="44"/>
      <c r="W951" s="44"/>
      <c r="X951" s="44"/>
      <c r="Y951" s="44"/>
      <c r="Z951" s="44"/>
      <c r="AA951" s="44" t="s">
        <v>3213</v>
      </c>
      <c r="AB951" s="44" t="s">
        <v>3214</v>
      </c>
    </row>
    <row r="952" spans="1:28" ht="15.75" hidden="1" customHeight="1">
      <c r="A952" s="44"/>
      <c r="B952" s="44"/>
      <c r="C952" s="44"/>
      <c r="D952" s="44"/>
      <c r="E952" s="44"/>
      <c r="F952" s="44"/>
      <c r="G952" s="48"/>
      <c r="H952" s="48"/>
      <c r="I952" s="48"/>
      <c r="J952" s="48"/>
      <c r="K952" s="48"/>
      <c r="L952" s="48"/>
      <c r="M952" s="48"/>
      <c r="N952" s="48"/>
      <c r="O952" s="44"/>
      <c r="P952" s="44"/>
      <c r="Q952" s="44"/>
      <c r="R952" s="44"/>
      <c r="S952" s="44"/>
      <c r="T952" s="44"/>
      <c r="U952" s="44"/>
      <c r="V952" s="44"/>
      <c r="W952" s="44"/>
      <c r="X952" s="44"/>
      <c r="Y952" s="44"/>
      <c r="Z952" s="44"/>
      <c r="AA952" s="44" t="s">
        <v>3215</v>
      </c>
      <c r="AB952" s="44" t="s">
        <v>3216</v>
      </c>
    </row>
    <row r="953" spans="1:28" ht="15.75" hidden="1" customHeight="1">
      <c r="A953" s="44"/>
      <c r="B953" s="44"/>
      <c r="C953" s="44"/>
      <c r="D953" s="44"/>
      <c r="E953" s="44"/>
      <c r="F953" s="44"/>
      <c r="G953" s="48"/>
      <c r="H953" s="48"/>
      <c r="I953" s="48"/>
      <c r="J953" s="48"/>
      <c r="K953" s="48"/>
      <c r="L953" s="48"/>
      <c r="M953" s="48"/>
      <c r="N953" s="48"/>
      <c r="O953" s="44"/>
      <c r="P953" s="44"/>
      <c r="Q953" s="44"/>
      <c r="R953" s="44"/>
      <c r="S953" s="44"/>
      <c r="T953" s="44"/>
      <c r="U953" s="44"/>
      <c r="V953" s="44"/>
      <c r="W953" s="44"/>
      <c r="X953" s="44"/>
      <c r="Y953" s="44"/>
      <c r="Z953" s="44"/>
      <c r="AA953" s="44" t="s">
        <v>3217</v>
      </c>
      <c r="AB953" s="44" t="s">
        <v>3218</v>
      </c>
    </row>
    <row r="954" spans="1:28" ht="15.75" hidden="1" customHeight="1">
      <c r="A954" s="44"/>
      <c r="B954" s="44"/>
      <c r="C954" s="44"/>
      <c r="D954" s="44"/>
      <c r="E954" s="44"/>
      <c r="F954" s="44"/>
      <c r="G954" s="48"/>
      <c r="H954" s="48"/>
      <c r="I954" s="48"/>
      <c r="J954" s="48"/>
      <c r="K954" s="48"/>
      <c r="L954" s="48"/>
      <c r="M954" s="48"/>
      <c r="N954" s="48"/>
      <c r="O954" s="44"/>
      <c r="P954" s="44"/>
      <c r="Q954" s="44"/>
      <c r="R954" s="44"/>
      <c r="S954" s="44"/>
      <c r="T954" s="44"/>
      <c r="U954" s="44"/>
      <c r="V954" s="44"/>
      <c r="W954" s="44"/>
      <c r="X954" s="44"/>
      <c r="Y954" s="44"/>
      <c r="Z954" s="44"/>
      <c r="AA954" s="44" t="s">
        <v>3219</v>
      </c>
      <c r="AB954" s="44" t="s">
        <v>3220</v>
      </c>
    </row>
    <row r="955" spans="1:28" ht="15.75" hidden="1" customHeight="1">
      <c r="A955" s="44"/>
      <c r="B955" s="44"/>
      <c r="C955" s="44"/>
      <c r="D955" s="44"/>
      <c r="E955" s="44"/>
      <c r="F955" s="44"/>
      <c r="G955" s="48"/>
      <c r="H955" s="48"/>
      <c r="I955" s="48"/>
      <c r="J955" s="48"/>
      <c r="K955" s="48"/>
      <c r="L955" s="48"/>
      <c r="M955" s="48"/>
      <c r="N955" s="48"/>
      <c r="O955" s="44"/>
      <c r="P955" s="44"/>
      <c r="Q955" s="44"/>
      <c r="R955" s="44"/>
      <c r="S955" s="44"/>
      <c r="T955" s="44"/>
      <c r="U955" s="44"/>
      <c r="V955" s="44"/>
      <c r="W955" s="44"/>
      <c r="X955" s="44"/>
      <c r="Y955" s="44"/>
      <c r="Z955" s="44"/>
      <c r="AA955" s="44" t="s">
        <v>3221</v>
      </c>
      <c r="AB955" s="44" t="s">
        <v>3222</v>
      </c>
    </row>
    <row r="956" spans="1:28" ht="15.75" hidden="1" customHeight="1">
      <c r="A956" s="44"/>
      <c r="B956" s="44"/>
      <c r="C956" s="44"/>
      <c r="D956" s="44"/>
      <c r="E956" s="44"/>
      <c r="F956" s="44"/>
      <c r="G956" s="48"/>
      <c r="H956" s="48"/>
      <c r="I956" s="48"/>
      <c r="J956" s="48"/>
      <c r="K956" s="48"/>
      <c r="L956" s="48"/>
      <c r="M956" s="48"/>
      <c r="N956" s="48"/>
      <c r="O956" s="44"/>
      <c r="P956" s="44"/>
      <c r="Q956" s="44"/>
      <c r="R956" s="44"/>
      <c r="S956" s="44"/>
      <c r="T956" s="44"/>
      <c r="U956" s="44"/>
      <c r="V956" s="44"/>
      <c r="W956" s="44"/>
      <c r="X956" s="44"/>
      <c r="Y956" s="44"/>
      <c r="Z956" s="44"/>
      <c r="AA956" s="44" t="s">
        <v>3223</v>
      </c>
      <c r="AB956" s="44" t="s">
        <v>3224</v>
      </c>
    </row>
    <row r="957" spans="1:28" ht="15.75" hidden="1" customHeight="1">
      <c r="A957" s="44"/>
      <c r="B957" s="44"/>
      <c r="C957" s="44"/>
      <c r="D957" s="44"/>
      <c r="E957" s="44"/>
      <c r="F957" s="44"/>
      <c r="G957" s="48"/>
      <c r="H957" s="48"/>
      <c r="I957" s="48"/>
      <c r="J957" s="48"/>
      <c r="K957" s="48"/>
      <c r="L957" s="48"/>
      <c r="M957" s="48"/>
      <c r="N957" s="48"/>
      <c r="O957" s="44"/>
      <c r="P957" s="44"/>
      <c r="Q957" s="44"/>
      <c r="R957" s="44"/>
      <c r="S957" s="44"/>
      <c r="T957" s="44"/>
      <c r="U957" s="44"/>
      <c r="V957" s="44"/>
      <c r="W957" s="44"/>
      <c r="X957" s="44"/>
      <c r="Y957" s="44"/>
      <c r="Z957" s="44"/>
      <c r="AA957" s="44" t="s">
        <v>3225</v>
      </c>
      <c r="AB957" s="44" t="s">
        <v>3226</v>
      </c>
    </row>
    <row r="958" spans="1:28" ht="15.75" hidden="1" customHeight="1">
      <c r="A958" s="44"/>
      <c r="B958" s="44"/>
      <c r="C958" s="44"/>
      <c r="D958" s="44"/>
      <c r="E958" s="44"/>
      <c r="F958" s="44"/>
      <c r="G958" s="48"/>
      <c r="H958" s="48"/>
      <c r="I958" s="48"/>
      <c r="J958" s="48"/>
      <c r="K958" s="48"/>
      <c r="L958" s="48"/>
      <c r="M958" s="48"/>
      <c r="N958" s="48"/>
      <c r="O958" s="44"/>
      <c r="P958" s="44"/>
      <c r="Q958" s="44"/>
      <c r="R958" s="44"/>
      <c r="S958" s="44"/>
      <c r="T958" s="44"/>
      <c r="U958" s="44"/>
      <c r="V958" s="44"/>
      <c r="W958" s="44"/>
      <c r="X958" s="44"/>
      <c r="Y958" s="44"/>
      <c r="Z958" s="44"/>
      <c r="AA958" s="44" t="s">
        <v>3227</v>
      </c>
      <c r="AB958" s="44" t="s">
        <v>3228</v>
      </c>
    </row>
    <row r="959" spans="1:28" ht="15.75" hidden="1" customHeight="1">
      <c r="A959" s="44"/>
      <c r="B959" s="44"/>
      <c r="C959" s="44"/>
      <c r="D959" s="44"/>
      <c r="E959" s="44"/>
      <c r="F959" s="44"/>
      <c r="G959" s="48"/>
      <c r="H959" s="48"/>
      <c r="I959" s="48"/>
      <c r="J959" s="48"/>
      <c r="K959" s="48"/>
      <c r="L959" s="48"/>
      <c r="M959" s="48"/>
      <c r="N959" s="48"/>
      <c r="O959" s="44"/>
      <c r="P959" s="44"/>
      <c r="Q959" s="44"/>
      <c r="R959" s="44"/>
      <c r="S959" s="44"/>
      <c r="T959" s="44"/>
      <c r="U959" s="44"/>
      <c r="V959" s="44"/>
      <c r="W959" s="44"/>
      <c r="X959" s="44"/>
      <c r="Y959" s="44"/>
      <c r="Z959" s="44"/>
      <c r="AA959" s="44" t="s">
        <v>3229</v>
      </c>
      <c r="AB959" s="44" t="s">
        <v>3230</v>
      </c>
    </row>
    <row r="960" spans="1:28" ht="15.75" hidden="1" customHeight="1">
      <c r="A960" s="44"/>
      <c r="B960" s="44"/>
      <c r="C960" s="44"/>
      <c r="D960" s="44"/>
      <c r="E960" s="44"/>
      <c r="F960" s="44"/>
      <c r="G960" s="48"/>
      <c r="H960" s="48"/>
      <c r="I960" s="48"/>
      <c r="J960" s="48"/>
      <c r="K960" s="48"/>
      <c r="L960" s="48"/>
      <c r="M960" s="48"/>
      <c r="N960" s="48"/>
      <c r="O960" s="44"/>
      <c r="P960" s="44"/>
      <c r="Q960" s="44"/>
      <c r="R960" s="44"/>
      <c r="S960" s="44"/>
      <c r="T960" s="44"/>
      <c r="U960" s="44"/>
      <c r="V960" s="44"/>
      <c r="W960" s="44"/>
      <c r="X960" s="44"/>
      <c r="Y960" s="44"/>
      <c r="Z960" s="44"/>
      <c r="AA960" s="44" t="s">
        <v>3231</v>
      </c>
      <c r="AB960" s="44" t="s">
        <v>3232</v>
      </c>
    </row>
    <row r="961" spans="1:28" ht="15.75" hidden="1" customHeight="1">
      <c r="A961" s="44"/>
      <c r="B961" s="44"/>
      <c r="C961" s="44"/>
      <c r="D961" s="44"/>
      <c r="E961" s="44"/>
      <c r="F961" s="44"/>
      <c r="G961" s="48"/>
      <c r="H961" s="48"/>
      <c r="I961" s="48"/>
      <c r="J961" s="48"/>
      <c r="K961" s="48"/>
      <c r="L961" s="48"/>
      <c r="M961" s="48"/>
      <c r="N961" s="48"/>
      <c r="O961" s="44"/>
      <c r="P961" s="44"/>
      <c r="Q961" s="44"/>
      <c r="R961" s="44"/>
      <c r="S961" s="44"/>
      <c r="T961" s="44"/>
      <c r="U961" s="44"/>
      <c r="V961" s="44"/>
      <c r="W961" s="44"/>
      <c r="X961" s="44"/>
      <c r="Y961" s="44"/>
      <c r="Z961" s="44"/>
      <c r="AA961" s="44" t="s">
        <v>3233</v>
      </c>
      <c r="AB961" s="44" t="s">
        <v>3234</v>
      </c>
    </row>
    <row r="962" spans="1:28" ht="15.75" hidden="1" customHeight="1">
      <c r="A962" s="44"/>
      <c r="B962" s="44"/>
      <c r="C962" s="44"/>
      <c r="D962" s="44"/>
      <c r="E962" s="44"/>
      <c r="F962" s="44"/>
      <c r="G962" s="48"/>
      <c r="H962" s="48"/>
      <c r="I962" s="48"/>
      <c r="J962" s="48"/>
      <c r="K962" s="48"/>
      <c r="L962" s="48"/>
      <c r="M962" s="48"/>
      <c r="N962" s="48"/>
      <c r="O962" s="44"/>
      <c r="P962" s="44"/>
      <c r="Q962" s="44"/>
      <c r="R962" s="44"/>
      <c r="S962" s="44"/>
      <c r="T962" s="44"/>
      <c r="U962" s="44"/>
      <c r="V962" s="44"/>
      <c r="W962" s="44"/>
      <c r="X962" s="44"/>
      <c r="Y962" s="44"/>
      <c r="Z962" s="44"/>
      <c r="AA962" s="44" t="s">
        <v>3235</v>
      </c>
      <c r="AB962" s="44" t="s">
        <v>3236</v>
      </c>
    </row>
    <row r="963" spans="1:28" ht="15.75" hidden="1" customHeight="1">
      <c r="A963" s="44"/>
      <c r="B963" s="44"/>
      <c r="C963" s="44"/>
      <c r="D963" s="44"/>
      <c r="E963" s="44"/>
      <c r="F963" s="44"/>
      <c r="G963" s="48"/>
      <c r="H963" s="48"/>
      <c r="I963" s="48"/>
      <c r="J963" s="48"/>
      <c r="K963" s="48"/>
      <c r="L963" s="48"/>
      <c r="M963" s="48"/>
      <c r="N963" s="48"/>
      <c r="O963" s="44"/>
      <c r="P963" s="44"/>
      <c r="Q963" s="44"/>
      <c r="R963" s="44"/>
      <c r="S963" s="44"/>
      <c r="T963" s="44"/>
      <c r="U963" s="44"/>
      <c r="V963" s="44"/>
      <c r="W963" s="44"/>
      <c r="X963" s="44"/>
      <c r="Y963" s="44"/>
      <c r="Z963" s="44"/>
      <c r="AA963" s="44" t="s">
        <v>3237</v>
      </c>
      <c r="AB963" s="44" t="s">
        <v>3238</v>
      </c>
    </row>
    <row r="964" spans="1:28" ht="15.75" hidden="1" customHeight="1">
      <c r="A964" s="44"/>
      <c r="B964" s="44"/>
      <c r="C964" s="44"/>
      <c r="D964" s="44"/>
      <c r="E964" s="44"/>
      <c r="F964" s="44"/>
      <c r="G964" s="48"/>
      <c r="H964" s="48"/>
      <c r="I964" s="48"/>
      <c r="J964" s="48"/>
      <c r="K964" s="48"/>
      <c r="L964" s="48"/>
      <c r="M964" s="48"/>
      <c r="N964" s="48"/>
      <c r="O964" s="44"/>
      <c r="P964" s="44"/>
      <c r="Q964" s="44"/>
      <c r="R964" s="44"/>
      <c r="S964" s="44"/>
      <c r="T964" s="44"/>
      <c r="U964" s="44"/>
      <c r="V964" s="44"/>
      <c r="W964" s="44"/>
      <c r="X964" s="44"/>
      <c r="Y964" s="44"/>
      <c r="Z964" s="44"/>
      <c r="AA964" s="44" t="s">
        <v>3239</v>
      </c>
      <c r="AB964" s="44" t="s">
        <v>3238</v>
      </c>
    </row>
    <row r="965" spans="1:28" ht="15.75" hidden="1" customHeight="1">
      <c r="A965" s="44"/>
      <c r="B965" s="44"/>
      <c r="C965" s="44"/>
      <c r="D965" s="44"/>
      <c r="E965" s="44"/>
      <c r="F965" s="44"/>
      <c r="G965" s="48"/>
      <c r="H965" s="48"/>
      <c r="I965" s="48"/>
      <c r="J965" s="48"/>
      <c r="K965" s="48"/>
      <c r="L965" s="48"/>
      <c r="M965" s="48"/>
      <c r="N965" s="48"/>
      <c r="O965" s="44"/>
      <c r="P965" s="44"/>
      <c r="Q965" s="44"/>
      <c r="R965" s="44"/>
      <c r="S965" s="44"/>
      <c r="T965" s="44"/>
      <c r="U965" s="44"/>
      <c r="V965" s="44"/>
      <c r="W965" s="44"/>
      <c r="X965" s="44"/>
      <c r="Y965" s="44"/>
      <c r="Z965" s="44"/>
      <c r="AA965" s="44" t="s">
        <v>3240</v>
      </c>
      <c r="AB965" s="44" t="s">
        <v>3241</v>
      </c>
    </row>
    <row r="966" spans="1:28" ht="15.75" hidden="1" customHeight="1">
      <c r="A966" s="44"/>
      <c r="B966" s="44"/>
      <c r="C966" s="44"/>
      <c r="D966" s="44"/>
      <c r="E966" s="44"/>
      <c r="F966" s="44"/>
      <c r="G966" s="48"/>
      <c r="H966" s="48"/>
      <c r="I966" s="48"/>
      <c r="J966" s="48"/>
      <c r="K966" s="48"/>
      <c r="L966" s="48"/>
      <c r="M966" s="48"/>
      <c r="N966" s="48"/>
      <c r="O966" s="44"/>
      <c r="P966" s="44"/>
      <c r="Q966" s="44"/>
      <c r="R966" s="44"/>
      <c r="S966" s="44"/>
      <c r="T966" s="44"/>
      <c r="U966" s="44"/>
      <c r="V966" s="44"/>
      <c r="W966" s="44"/>
      <c r="X966" s="44"/>
      <c r="Y966" s="44"/>
      <c r="Z966" s="44"/>
      <c r="AA966" s="44" t="s">
        <v>3242</v>
      </c>
      <c r="AB966" s="44" t="s">
        <v>3243</v>
      </c>
    </row>
    <row r="967" spans="1:28" ht="15.75" hidden="1" customHeight="1">
      <c r="A967" s="44"/>
      <c r="B967" s="44"/>
      <c r="C967" s="44"/>
      <c r="D967" s="44"/>
      <c r="E967" s="44"/>
      <c r="F967" s="44"/>
      <c r="G967" s="48"/>
      <c r="H967" s="48"/>
      <c r="I967" s="48"/>
      <c r="J967" s="48"/>
      <c r="K967" s="48"/>
      <c r="L967" s="48"/>
      <c r="M967" s="48"/>
      <c r="N967" s="48"/>
      <c r="O967" s="44"/>
      <c r="P967" s="44"/>
      <c r="Q967" s="44"/>
      <c r="R967" s="44"/>
      <c r="S967" s="44"/>
      <c r="T967" s="44"/>
      <c r="U967" s="44"/>
      <c r="V967" s="44"/>
      <c r="W967" s="44"/>
      <c r="X967" s="44"/>
      <c r="Y967" s="44"/>
      <c r="Z967" s="44"/>
      <c r="AA967" s="44" t="s">
        <v>3244</v>
      </c>
      <c r="AB967" s="44" t="s">
        <v>3245</v>
      </c>
    </row>
    <row r="968" spans="1:28" ht="15.75" hidden="1" customHeight="1">
      <c r="A968" s="44"/>
      <c r="B968" s="44"/>
      <c r="C968" s="44"/>
      <c r="D968" s="44"/>
      <c r="E968" s="44"/>
      <c r="F968" s="44"/>
      <c r="G968" s="48"/>
      <c r="H968" s="48"/>
      <c r="I968" s="48"/>
      <c r="J968" s="48"/>
      <c r="K968" s="48"/>
      <c r="L968" s="48"/>
      <c r="M968" s="48"/>
      <c r="N968" s="48"/>
      <c r="O968" s="44"/>
      <c r="P968" s="44"/>
      <c r="Q968" s="44"/>
      <c r="R968" s="44"/>
      <c r="S968" s="44"/>
      <c r="T968" s="44"/>
      <c r="U968" s="44"/>
      <c r="V968" s="44"/>
      <c r="W968" s="44"/>
      <c r="X968" s="44"/>
      <c r="Y968" s="44"/>
      <c r="Z968" s="44"/>
      <c r="AA968" s="44" t="s">
        <v>3246</v>
      </c>
      <c r="AB968" s="44" t="s">
        <v>3247</v>
      </c>
    </row>
    <row r="969" spans="1:28" ht="15.75" hidden="1" customHeight="1">
      <c r="A969" s="44"/>
      <c r="B969" s="44"/>
      <c r="C969" s="44"/>
      <c r="D969" s="44"/>
      <c r="E969" s="44"/>
      <c r="F969" s="44"/>
      <c r="G969" s="48"/>
      <c r="H969" s="48"/>
      <c r="I969" s="48"/>
      <c r="J969" s="48"/>
      <c r="K969" s="48"/>
      <c r="L969" s="48"/>
      <c r="M969" s="48"/>
      <c r="N969" s="48"/>
      <c r="O969" s="44"/>
      <c r="P969" s="44"/>
      <c r="Q969" s="44"/>
      <c r="R969" s="44"/>
      <c r="S969" s="44"/>
      <c r="T969" s="44"/>
      <c r="U969" s="44"/>
      <c r="V969" s="44"/>
      <c r="W969" s="44"/>
      <c r="X969" s="44"/>
      <c r="Y969" s="44"/>
      <c r="Z969" s="44"/>
      <c r="AA969" s="44" t="s">
        <v>3248</v>
      </c>
      <c r="AB969" s="44" t="s">
        <v>3249</v>
      </c>
    </row>
    <row r="970" spans="1:28" ht="15.75" hidden="1" customHeight="1">
      <c r="A970" s="44"/>
      <c r="B970" s="44"/>
      <c r="C970" s="44"/>
      <c r="D970" s="44"/>
      <c r="E970" s="44"/>
      <c r="F970" s="44"/>
      <c r="G970" s="48"/>
      <c r="H970" s="48"/>
      <c r="I970" s="48"/>
      <c r="J970" s="48"/>
      <c r="K970" s="48"/>
      <c r="L970" s="48"/>
      <c r="M970" s="48"/>
      <c r="N970" s="48"/>
      <c r="O970" s="44"/>
      <c r="P970" s="44"/>
      <c r="Q970" s="44"/>
      <c r="R970" s="44"/>
      <c r="S970" s="44"/>
      <c r="T970" s="44"/>
      <c r="U970" s="44"/>
      <c r="V970" s="44"/>
      <c r="W970" s="44"/>
      <c r="X970" s="44"/>
      <c r="Y970" s="44"/>
      <c r="Z970" s="44"/>
      <c r="AA970" s="44" t="s">
        <v>3250</v>
      </c>
      <c r="AB970" s="44" t="s">
        <v>3251</v>
      </c>
    </row>
    <row r="971" spans="1:28" ht="15.75" hidden="1" customHeight="1">
      <c r="A971" s="44"/>
      <c r="B971" s="44"/>
      <c r="C971" s="44"/>
      <c r="D971" s="44"/>
      <c r="E971" s="44"/>
      <c r="F971" s="44"/>
      <c r="G971" s="48"/>
      <c r="H971" s="48"/>
      <c r="I971" s="48"/>
      <c r="J971" s="48"/>
      <c r="K971" s="48"/>
      <c r="L971" s="48"/>
      <c r="M971" s="48"/>
      <c r="N971" s="48"/>
      <c r="O971" s="44"/>
      <c r="P971" s="44"/>
      <c r="Q971" s="44"/>
      <c r="R971" s="44"/>
      <c r="S971" s="44"/>
      <c r="T971" s="44"/>
      <c r="U971" s="44"/>
      <c r="V971" s="44"/>
      <c r="W971" s="44"/>
      <c r="X971" s="44"/>
      <c r="Y971" s="44"/>
      <c r="Z971" s="44"/>
      <c r="AA971" s="44" t="s">
        <v>3252</v>
      </c>
      <c r="AB971" s="44" t="s">
        <v>3253</v>
      </c>
    </row>
    <row r="972" spans="1:28" ht="15.75" hidden="1" customHeight="1">
      <c r="A972" s="44"/>
      <c r="B972" s="44"/>
      <c r="C972" s="44"/>
      <c r="D972" s="44"/>
      <c r="E972" s="44"/>
      <c r="F972" s="44"/>
      <c r="G972" s="48"/>
      <c r="H972" s="48"/>
      <c r="I972" s="48"/>
      <c r="J972" s="48"/>
      <c r="K972" s="48"/>
      <c r="L972" s="48"/>
      <c r="M972" s="48"/>
      <c r="N972" s="48"/>
      <c r="O972" s="44"/>
      <c r="P972" s="44"/>
      <c r="Q972" s="44"/>
      <c r="R972" s="44"/>
      <c r="S972" s="44"/>
      <c r="T972" s="44"/>
      <c r="U972" s="44"/>
      <c r="V972" s="44"/>
      <c r="W972" s="44"/>
      <c r="X972" s="44"/>
      <c r="Y972" s="44"/>
      <c r="Z972" s="44"/>
      <c r="AA972" s="44" t="s">
        <v>3254</v>
      </c>
      <c r="AB972" s="44" t="s">
        <v>3255</v>
      </c>
    </row>
    <row r="973" spans="1:28" ht="15.75" hidden="1" customHeight="1">
      <c r="A973" s="44"/>
      <c r="B973" s="44"/>
      <c r="C973" s="44"/>
      <c r="D973" s="44"/>
      <c r="E973" s="44"/>
      <c r="F973" s="44"/>
      <c r="G973" s="48"/>
      <c r="H973" s="48"/>
      <c r="I973" s="48"/>
      <c r="J973" s="48"/>
      <c r="K973" s="48"/>
      <c r="L973" s="48"/>
      <c r="M973" s="48"/>
      <c r="N973" s="48"/>
      <c r="O973" s="44"/>
      <c r="P973" s="44"/>
      <c r="Q973" s="44"/>
      <c r="R973" s="44"/>
      <c r="S973" s="44"/>
      <c r="T973" s="44"/>
      <c r="U973" s="44"/>
      <c r="V973" s="44"/>
      <c r="W973" s="44"/>
      <c r="X973" s="44"/>
      <c r="Y973" s="44"/>
      <c r="Z973" s="44"/>
      <c r="AA973" s="44" t="s">
        <v>3256</v>
      </c>
      <c r="AB973" s="44" t="s">
        <v>3257</v>
      </c>
    </row>
    <row r="974" spans="1:28" ht="15.75" hidden="1" customHeight="1">
      <c r="A974" s="44"/>
      <c r="B974" s="44"/>
      <c r="C974" s="44"/>
      <c r="D974" s="44"/>
      <c r="E974" s="44"/>
      <c r="F974" s="44"/>
      <c r="G974" s="48"/>
      <c r="H974" s="48"/>
      <c r="I974" s="48"/>
      <c r="J974" s="48"/>
      <c r="K974" s="48"/>
      <c r="L974" s="48"/>
      <c r="M974" s="48"/>
      <c r="N974" s="48"/>
      <c r="O974" s="44"/>
      <c r="P974" s="44"/>
      <c r="Q974" s="44"/>
      <c r="R974" s="44"/>
      <c r="S974" s="44"/>
      <c r="T974" s="44"/>
      <c r="U974" s="44"/>
      <c r="V974" s="44"/>
      <c r="W974" s="44"/>
      <c r="X974" s="44"/>
      <c r="Y974" s="44"/>
      <c r="Z974" s="44"/>
      <c r="AA974" s="44" t="s">
        <v>3258</v>
      </c>
      <c r="AB974" s="44" t="s">
        <v>3259</v>
      </c>
    </row>
    <row r="975" spans="1:28" ht="15.75" hidden="1" customHeight="1">
      <c r="A975" s="44"/>
      <c r="B975" s="44"/>
      <c r="C975" s="44"/>
      <c r="D975" s="44"/>
      <c r="E975" s="44"/>
      <c r="F975" s="44"/>
      <c r="G975" s="48"/>
      <c r="H975" s="48"/>
      <c r="I975" s="48"/>
      <c r="J975" s="48"/>
      <c r="K975" s="48"/>
      <c r="L975" s="48"/>
      <c r="M975" s="48"/>
      <c r="N975" s="48"/>
      <c r="O975" s="44"/>
      <c r="P975" s="44"/>
      <c r="Q975" s="44"/>
      <c r="R975" s="44"/>
      <c r="S975" s="44"/>
      <c r="T975" s="44"/>
      <c r="U975" s="44"/>
      <c r="V975" s="44"/>
      <c r="W975" s="44"/>
      <c r="X975" s="44"/>
      <c r="Y975" s="44"/>
      <c r="Z975" s="44"/>
      <c r="AA975" s="44" t="s">
        <v>3260</v>
      </c>
      <c r="AB975" s="44" t="s">
        <v>3261</v>
      </c>
    </row>
    <row r="976" spans="1:28" ht="15.75" hidden="1" customHeight="1">
      <c r="A976" s="44"/>
      <c r="B976" s="44"/>
      <c r="C976" s="44"/>
      <c r="D976" s="44"/>
      <c r="E976" s="44"/>
      <c r="F976" s="44"/>
      <c r="G976" s="48"/>
      <c r="H976" s="48"/>
      <c r="I976" s="48"/>
      <c r="J976" s="48"/>
      <c r="K976" s="48"/>
      <c r="L976" s="48"/>
      <c r="M976" s="48"/>
      <c r="N976" s="48"/>
      <c r="O976" s="44"/>
      <c r="P976" s="44"/>
      <c r="Q976" s="44"/>
      <c r="R976" s="44"/>
      <c r="S976" s="44"/>
      <c r="T976" s="44"/>
      <c r="U976" s="44"/>
      <c r="V976" s="44"/>
      <c r="W976" s="44"/>
      <c r="X976" s="44"/>
      <c r="Y976" s="44"/>
      <c r="Z976" s="44"/>
      <c r="AA976" s="44" t="s">
        <v>3262</v>
      </c>
      <c r="AB976" s="44" t="s">
        <v>3263</v>
      </c>
    </row>
    <row r="977" spans="1:28" ht="15.75" hidden="1" customHeight="1">
      <c r="A977" s="44"/>
      <c r="B977" s="44"/>
      <c r="C977" s="44"/>
      <c r="D977" s="44"/>
      <c r="E977" s="44"/>
      <c r="F977" s="44"/>
      <c r="G977" s="48"/>
      <c r="H977" s="48"/>
      <c r="I977" s="48"/>
      <c r="J977" s="48"/>
      <c r="K977" s="48"/>
      <c r="L977" s="48"/>
      <c r="M977" s="48"/>
      <c r="N977" s="48"/>
      <c r="O977" s="44"/>
      <c r="P977" s="44"/>
      <c r="Q977" s="44"/>
      <c r="R977" s="44"/>
      <c r="S977" s="44"/>
      <c r="T977" s="44"/>
      <c r="U977" s="44"/>
      <c r="V977" s="44"/>
      <c r="W977" s="44"/>
      <c r="X977" s="44"/>
      <c r="Y977" s="44"/>
      <c r="Z977" s="44"/>
      <c r="AA977" s="44" t="s">
        <v>3264</v>
      </c>
      <c r="AB977" s="44" t="s">
        <v>3265</v>
      </c>
    </row>
    <row r="978" spans="1:28" ht="15.75" hidden="1" customHeight="1">
      <c r="A978" s="44"/>
      <c r="B978" s="44"/>
      <c r="C978" s="44"/>
      <c r="D978" s="44"/>
      <c r="E978" s="44"/>
      <c r="F978" s="44"/>
      <c r="G978" s="48"/>
      <c r="H978" s="48"/>
      <c r="I978" s="48"/>
      <c r="J978" s="48"/>
      <c r="K978" s="48"/>
      <c r="L978" s="48"/>
      <c r="M978" s="48"/>
      <c r="N978" s="48"/>
      <c r="O978" s="44"/>
      <c r="P978" s="44"/>
      <c r="Q978" s="44"/>
      <c r="R978" s="44"/>
      <c r="S978" s="44"/>
      <c r="T978" s="44"/>
      <c r="U978" s="44"/>
      <c r="V978" s="44"/>
      <c r="W978" s="44"/>
      <c r="X978" s="44"/>
      <c r="Y978" s="44"/>
      <c r="Z978" s="44"/>
      <c r="AA978" s="44" t="s">
        <v>3266</v>
      </c>
      <c r="AB978" s="44" t="s">
        <v>3265</v>
      </c>
    </row>
    <row r="979" spans="1:28" ht="15.75" hidden="1" customHeight="1">
      <c r="A979" s="44"/>
      <c r="B979" s="44"/>
      <c r="C979" s="44"/>
      <c r="D979" s="44"/>
      <c r="E979" s="44"/>
      <c r="F979" s="44"/>
      <c r="G979" s="48"/>
      <c r="H979" s="48"/>
      <c r="I979" s="48"/>
      <c r="J979" s="48"/>
      <c r="K979" s="48"/>
      <c r="L979" s="48"/>
      <c r="M979" s="48"/>
      <c r="N979" s="48"/>
      <c r="O979" s="44"/>
      <c r="P979" s="44"/>
      <c r="Q979" s="44"/>
      <c r="R979" s="44"/>
      <c r="S979" s="44"/>
      <c r="T979" s="44"/>
      <c r="U979" s="44"/>
      <c r="V979" s="44"/>
      <c r="W979" s="44"/>
      <c r="X979" s="44"/>
      <c r="Y979" s="44"/>
      <c r="Z979" s="44"/>
      <c r="AA979" s="44" t="s">
        <v>3267</v>
      </c>
      <c r="AB979" s="44" t="s">
        <v>3268</v>
      </c>
    </row>
    <row r="980" spans="1:28" ht="15.75" hidden="1" customHeight="1">
      <c r="A980" s="44"/>
      <c r="B980" s="44"/>
      <c r="C980" s="44"/>
      <c r="D980" s="44"/>
      <c r="E980" s="44"/>
      <c r="F980" s="44"/>
      <c r="G980" s="48"/>
      <c r="H980" s="48"/>
      <c r="I980" s="48"/>
      <c r="J980" s="48"/>
      <c r="K980" s="48"/>
      <c r="L980" s="48"/>
      <c r="M980" s="48"/>
      <c r="N980" s="48"/>
      <c r="O980" s="44"/>
      <c r="P980" s="44"/>
      <c r="Q980" s="44"/>
      <c r="R980" s="44"/>
      <c r="S980" s="44"/>
      <c r="T980" s="44"/>
      <c r="U980" s="44"/>
      <c r="V980" s="44"/>
      <c r="W980" s="44"/>
      <c r="X980" s="44"/>
      <c r="Y980" s="44"/>
      <c r="Z980" s="44"/>
      <c r="AA980" s="44" t="s">
        <v>3269</v>
      </c>
      <c r="AB980" s="44" t="s">
        <v>3270</v>
      </c>
    </row>
    <row r="981" spans="1:28" ht="15.75" hidden="1" customHeight="1">
      <c r="A981" s="44"/>
      <c r="B981" s="44"/>
      <c r="C981" s="44"/>
      <c r="D981" s="44"/>
      <c r="E981" s="44"/>
      <c r="F981" s="44"/>
      <c r="G981" s="48"/>
      <c r="H981" s="48"/>
      <c r="I981" s="48"/>
      <c r="J981" s="48"/>
      <c r="K981" s="48"/>
      <c r="L981" s="48"/>
      <c r="M981" s="48"/>
      <c r="N981" s="48"/>
      <c r="O981" s="44"/>
      <c r="P981" s="44"/>
      <c r="Q981" s="44"/>
      <c r="R981" s="44"/>
      <c r="S981" s="44"/>
      <c r="T981" s="44"/>
      <c r="U981" s="44"/>
      <c r="V981" s="44"/>
      <c r="W981" s="44"/>
      <c r="X981" s="44"/>
      <c r="Y981" s="44"/>
      <c r="Z981" s="44"/>
      <c r="AA981" s="44" t="s">
        <v>3271</v>
      </c>
      <c r="AB981" s="44" t="s">
        <v>3272</v>
      </c>
    </row>
    <row r="982" spans="1:28" ht="15.75" hidden="1" customHeight="1">
      <c r="A982" s="44"/>
      <c r="B982" s="44"/>
      <c r="C982" s="44"/>
      <c r="D982" s="44"/>
      <c r="E982" s="44"/>
      <c r="F982" s="44"/>
      <c r="G982" s="48"/>
      <c r="H982" s="48"/>
      <c r="I982" s="48"/>
      <c r="J982" s="48"/>
      <c r="K982" s="48"/>
      <c r="L982" s="48"/>
      <c r="M982" s="48"/>
      <c r="N982" s="48"/>
      <c r="O982" s="44"/>
      <c r="P982" s="44"/>
      <c r="Q982" s="44"/>
      <c r="R982" s="44"/>
      <c r="S982" s="44"/>
      <c r="T982" s="44"/>
      <c r="U982" s="44"/>
      <c r="V982" s="44"/>
      <c r="W982" s="44"/>
      <c r="X982" s="44"/>
      <c r="Y982" s="44"/>
      <c r="Z982" s="44"/>
      <c r="AA982" s="44" t="s">
        <v>3273</v>
      </c>
      <c r="AB982" s="44" t="s">
        <v>3274</v>
      </c>
    </row>
    <row r="983" spans="1:28" ht="15.75" hidden="1" customHeight="1">
      <c r="A983" s="44"/>
      <c r="B983" s="44"/>
      <c r="C983" s="44"/>
      <c r="D983" s="44"/>
      <c r="E983" s="44"/>
      <c r="F983" s="44"/>
      <c r="G983" s="48"/>
      <c r="H983" s="48"/>
      <c r="I983" s="48"/>
      <c r="J983" s="48"/>
      <c r="K983" s="48"/>
      <c r="L983" s="48"/>
      <c r="M983" s="48"/>
      <c r="N983" s="48"/>
      <c r="O983" s="44"/>
      <c r="P983" s="44"/>
      <c r="Q983" s="44"/>
      <c r="R983" s="44"/>
      <c r="S983" s="44"/>
      <c r="T983" s="44"/>
      <c r="U983" s="44"/>
      <c r="V983" s="44"/>
      <c r="W983" s="44"/>
      <c r="X983" s="44"/>
      <c r="Y983" s="44"/>
      <c r="Z983" s="44"/>
      <c r="AA983" s="44" t="s">
        <v>3275</v>
      </c>
      <c r="AB983" s="44" t="s">
        <v>3174</v>
      </c>
    </row>
    <row r="984" spans="1:28" ht="15.75" hidden="1" customHeight="1">
      <c r="A984" s="44"/>
      <c r="B984" s="44"/>
      <c r="C984" s="44"/>
      <c r="D984" s="44"/>
      <c r="E984" s="44"/>
      <c r="F984" s="44"/>
      <c r="G984" s="48"/>
      <c r="H984" s="48"/>
      <c r="I984" s="48"/>
      <c r="J984" s="48"/>
      <c r="K984" s="48"/>
      <c r="L984" s="48"/>
      <c r="M984" s="48"/>
      <c r="N984" s="48"/>
      <c r="O984" s="44"/>
      <c r="P984" s="44"/>
      <c r="Q984" s="44"/>
      <c r="R984" s="44"/>
      <c r="S984" s="44"/>
      <c r="T984" s="44"/>
      <c r="U984" s="44"/>
      <c r="V984" s="44"/>
      <c r="W984" s="44"/>
      <c r="X984" s="44"/>
      <c r="Y984" s="44"/>
      <c r="Z984" s="44"/>
      <c r="AA984" s="44" t="s">
        <v>3276</v>
      </c>
      <c r="AB984" s="44" t="s">
        <v>3277</v>
      </c>
    </row>
    <row r="985" spans="1:28" ht="15.75" hidden="1" customHeight="1">
      <c r="A985" s="44"/>
      <c r="B985" s="44"/>
      <c r="C985" s="44"/>
      <c r="D985" s="44"/>
      <c r="E985" s="44"/>
      <c r="F985" s="44"/>
      <c r="G985" s="48"/>
      <c r="H985" s="48"/>
      <c r="I985" s="48"/>
      <c r="J985" s="48"/>
      <c r="K985" s="48"/>
      <c r="L985" s="48"/>
      <c r="M985" s="48"/>
      <c r="N985" s="48"/>
      <c r="O985" s="44"/>
      <c r="P985" s="44"/>
      <c r="Q985" s="44"/>
      <c r="R985" s="44"/>
      <c r="S985" s="44"/>
      <c r="T985" s="44"/>
      <c r="U985" s="44"/>
      <c r="V985" s="44"/>
      <c r="W985" s="44"/>
      <c r="X985" s="44"/>
      <c r="Y985" s="44"/>
      <c r="Z985" s="44"/>
      <c r="AA985" s="44" t="s">
        <v>3278</v>
      </c>
      <c r="AB985" s="44" t="s">
        <v>3279</v>
      </c>
    </row>
    <row r="986" spans="1:28" ht="15.75" hidden="1" customHeight="1">
      <c r="A986" s="44"/>
      <c r="B986" s="44"/>
      <c r="C986" s="44"/>
      <c r="D986" s="44"/>
      <c r="E986" s="44"/>
      <c r="F986" s="44"/>
      <c r="G986" s="48"/>
      <c r="H986" s="48"/>
      <c r="I986" s="48"/>
      <c r="J986" s="48"/>
      <c r="K986" s="48"/>
      <c r="L986" s="48"/>
      <c r="M986" s="48"/>
      <c r="N986" s="48"/>
      <c r="O986" s="44"/>
      <c r="P986" s="44"/>
      <c r="Q986" s="44"/>
      <c r="R986" s="44"/>
      <c r="S986" s="44"/>
      <c r="T986" s="44"/>
      <c r="U986" s="44"/>
      <c r="V986" s="44"/>
      <c r="W986" s="44"/>
      <c r="X986" s="44"/>
      <c r="Y986" s="44"/>
      <c r="Z986" s="44"/>
      <c r="AA986" s="44" t="s">
        <v>3280</v>
      </c>
      <c r="AB986" s="44" t="s">
        <v>3281</v>
      </c>
    </row>
    <row r="987" spans="1:28" ht="15.75" hidden="1" customHeight="1">
      <c r="A987" s="44"/>
      <c r="B987" s="44"/>
      <c r="C987" s="44"/>
      <c r="D987" s="44"/>
      <c r="E987" s="44"/>
      <c r="F987" s="44"/>
      <c r="G987" s="48"/>
      <c r="H987" s="48"/>
      <c r="I987" s="48"/>
      <c r="J987" s="48"/>
      <c r="K987" s="48"/>
      <c r="L987" s="48"/>
      <c r="M987" s="48"/>
      <c r="N987" s="48"/>
      <c r="O987" s="44"/>
      <c r="P987" s="44"/>
      <c r="Q987" s="44"/>
      <c r="R987" s="44"/>
      <c r="S987" s="44"/>
      <c r="T987" s="44"/>
      <c r="U987" s="44"/>
      <c r="V987" s="44"/>
      <c r="W987" s="44"/>
      <c r="X987" s="44"/>
      <c r="Y987" s="44"/>
      <c r="Z987" s="44"/>
      <c r="AA987" s="44" t="s">
        <v>3282</v>
      </c>
      <c r="AB987" s="44" t="s">
        <v>3283</v>
      </c>
    </row>
    <row r="988" spans="1:28" ht="15.75" hidden="1" customHeight="1">
      <c r="A988" s="44"/>
      <c r="B988" s="44"/>
      <c r="C988" s="44"/>
      <c r="D988" s="44"/>
      <c r="E988" s="44"/>
      <c r="F988" s="44"/>
      <c r="G988" s="48"/>
      <c r="H988" s="48"/>
      <c r="I988" s="48"/>
      <c r="J988" s="48"/>
      <c r="K988" s="48"/>
      <c r="L988" s="48"/>
      <c r="M988" s="48"/>
      <c r="N988" s="48"/>
      <c r="O988" s="44"/>
      <c r="P988" s="44"/>
      <c r="Q988" s="44"/>
      <c r="R988" s="44"/>
      <c r="S988" s="44"/>
      <c r="T988" s="44"/>
      <c r="U988" s="44"/>
      <c r="V988" s="44"/>
      <c r="W988" s="44"/>
      <c r="X988" s="44"/>
      <c r="Y988" s="44"/>
      <c r="Z988" s="44"/>
      <c r="AA988" s="44" t="s">
        <v>3284</v>
      </c>
      <c r="AB988" s="44" t="s">
        <v>3285</v>
      </c>
    </row>
    <row r="989" spans="1:28" ht="15.75" hidden="1" customHeight="1">
      <c r="A989" s="44"/>
      <c r="B989" s="44"/>
      <c r="C989" s="44"/>
      <c r="D989" s="44"/>
      <c r="E989" s="44"/>
      <c r="F989" s="44"/>
      <c r="G989" s="48"/>
      <c r="H989" s="48"/>
      <c r="I989" s="48"/>
      <c r="J989" s="48"/>
      <c r="K989" s="48"/>
      <c r="L989" s="48"/>
      <c r="M989" s="48"/>
      <c r="N989" s="48"/>
      <c r="O989" s="44"/>
      <c r="P989" s="44"/>
      <c r="Q989" s="44"/>
      <c r="R989" s="44"/>
      <c r="S989" s="44"/>
      <c r="T989" s="44"/>
      <c r="U989" s="44"/>
      <c r="V989" s="44"/>
      <c r="W989" s="44"/>
      <c r="X989" s="44"/>
      <c r="Y989" s="44"/>
      <c r="Z989" s="44"/>
      <c r="AA989" s="44" t="s">
        <v>3286</v>
      </c>
      <c r="AB989" s="44" t="s">
        <v>3263</v>
      </c>
    </row>
    <row r="990" spans="1:28" ht="15.75" hidden="1" customHeight="1">
      <c r="A990" s="44"/>
      <c r="B990" s="44"/>
      <c r="C990" s="44"/>
      <c r="D990" s="44"/>
      <c r="E990" s="44"/>
      <c r="F990" s="44"/>
      <c r="G990" s="48"/>
      <c r="H990" s="48"/>
      <c r="I990" s="48"/>
      <c r="J990" s="48"/>
      <c r="K990" s="48"/>
      <c r="L990" s="48"/>
      <c r="M990" s="48"/>
      <c r="N990" s="48"/>
      <c r="O990" s="44"/>
      <c r="P990" s="44"/>
      <c r="Q990" s="44"/>
      <c r="R990" s="44"/>
      <c r="S990" s="44"/>
      <c r="T990" s="44"/>
      <c r="U990" s="44"/>
      <c r="V990" s="44"/>
      <c r="W990" s="44"/>
      <c r="X990" s="44"/>
      <c r="Y990" s="44"/>
      <c r="Z990" s="44"/>
      <c r="AA990" s="44" t="s">
        <v>3287</v>
      </c>
      <c r="AB990" s="44" t="s">
        <v>3283</v>
      </c>
    </row>
    <row r="991" spans="1:28" ht="15.75" hidden="1" customHeight="1">
      <c r="A991" s="44"/>
      <c r="B991" s="44"/>
      <c r="C991" s="44"/>
      <c r="D991" s="44"/>
      <c r="E991" s="44"/>
      <c r="F991" s="44"/>
      <c r="G991" s="48"/>
      <c r="H991" s="48"/>
      <c r="I991" s="48"/>
      <c r="J991" s="48"/>
      <c r="K991" s="48"/>
      <c r="L991" s="48"/>
      <c r="M991" s="48"/>
      <c r="N991" s="48"/>
      <c r="O991" s="44"/>
      <c r="P991" s="44"/>
      <c r="Q991" s="44"/>
      <c r="R991" s="44"/>
      <c r="S991" s="44"/>
      <c r="T991" s="44"/>
      <c r="U991" s="44"/>
      <c r="V991" s="44"/>
      <c r="W991" s="44"/>
      <c r="X991" s="44"/>
      <c r="Y991" s="44"/>
      <c r="Z991" s="44"/>
      <c r="AA991" s="44" t="s">
        <v>3288</v>
      </c>
      <c r="AB991" s="44" t="s">
        <v>3289</v>
      </c>
    </row>
    <row r="992" spans="1:28" ht="15.75" hidden="1" customHeight="1">
      <c r="A992" s="44"/>
      <c r="B992" s="44"/>
      <c r="C992" s="44"/>
      <c r="D992" s="44"/>
      <c r="E992" s="44"/>
      <c r="F992" s="44"/>
      <c r="G992" s="48"/>
      <c r="H992" s="48"/>
      <c r="I992" s="48"/>
      <c r="J992" s="48"/>
      <c r="K992" s="48"/>
      <c r="L992" s="48"/>
      <c r="M992" s="48"/>
      <c r="N992" s="48"/>
      <c r="O992" s="44"/>
      <c r="P992" s="44"/>
      <c r="Q992" s="44"/>
      <c r="R992" s="44"/>
      <c r="S992" s="44"/>
      <c r="T992" s="44"/>
      <c r="U992" s="44"/>
      <c r="V992" s="44"/>
      <c r="W992" s="44"/>
      <c r="X992" s="44"/>
      <c r="Y992" s="44"/>
      <c r="Z992" s="44"/>
      <c r="AA992" s="44" t="s">
        <v>3290</v>
      </c>
      <c r="AB992" s="44" t="s">
        <v>3291</v>
      </c>
    </row>
    <row r="993" spans="1:28" ht="15.75" hidden="1" customHeight="1">
      <c r="A993" s="44"/>
      <c r="B993" s="44"/>
      <c r="C993" s="44"/>
      <c r="D993" s="44"/>
      <c r="E993" s="44"/>
      <c r="F993" s="44"/>
      <c r="G993" s="48"/>
      <c r="H993" s="48"/>
      <c r="I993" s="48"/>
      <c r="J993" s="48"/>
      <c r="K993" s="48"/>
      <c r="L993" s="48"/>
      <c r="M993" s="48"/>
      <c r="N993" s="48"/>
      <c r="O993" s="44"/>
      <c r="P993" s="44"/>
      <c r="Q993" s="44"/>
      <c r="R993" s="44"/>
      <c r="S993" s="44"/>
      <c r="T993" s="44"/>
      <c r="U993" s="44"/>
      <c r="V993" s="44"/>
      <c r="W993" s="44"/>
      <c r="X993" s="44"/>
      <c r="Y993" s="44"/>
      <c r="Z993" s="44"/>
      <c r="AA993" s="44" t="s">
        <v>3292</v>
      </c>
      <c r="AB993" s="44" t="s">
        <v>3293</v>
      </c>
    </row>
    <row r="994" spans="1:28" ht="15.75" hidden="1" customHeight="1">
      <c r="A994" s="44"/>
      <c r="B994" s="44"/>
      <c r="C994" s="44"/>
      <c r="D994" s="44"/>
      <c r="E994" s="44"/>
      <c r="F994" s="44"/>
      <c r="G994" s="48"/>
      <c r="H994" s="48"/>
      <c r="I994" s="48"/>
      <c r="J994" s="48"/>
      <c r="K994" s="48"/>
      <c r="L994" s="48"/>
      <c r="M994" s="48"/>
      <c r="N994" s="48"/>
      <c r="O994" s="44"/>
      <c r="P994" s="44"/>
      <c r="Q994" s="44"/>
      <c r="R994" s="44"/>
      <c r="S994" s="44"/>
      <c r="T994" s="44"/>
      <c r="U994" s="44"/>
      <c r="V994" s="44"/>
      <c r="W994" s="44"/>
      <c r="X994" s="44"/>
      <c r="Y994" s="44"/>
      <c r="Z994" s="44"/>
      <c r="AA994" s="44" t="s">
        <v>3294</v>
      </c>
      <c r="AB994" s="44" t="s">
        <v>3295</v>
      </c>
    </row>
    <row r="995" spans="1:28" ht="15.75" hidden="1" customHeight="1">
      <c r="A995" s="44"/>
      <c r="B995" s="44"/>
      <c r="C995" s="44"/>
      <c r="D995" s="44"/>
      <c r="E995" s="44"/>
      <c r="F995" s="44"/>
      <c r="G995" s="48"/>
      <c r="H995" s="48"/>
      <c r="I995" s="48"/>
      <c r="J995" s="48"/>
      <c r="K995" s="48"/>
      <c r="L995" s="48"/>
      <c r="M995" s="48"/>
      <c r="N995" s="48"/>
      <c r="O995" s="44"/>
      <c r="P995" s="44"/>
      <c r="Q995" s="44"/>
      <c r="R995" s="44"/>
      <c r="S995" s="44"/>
      <c r="T995" s="44"/>
      <c r="U995" s="44"/>
      <c r="V995" s="44"/>
      <c r="W995" s="44"/>
      <c r="X995" s="44"/>
      <c r="Y995" s="44"/>
      <c r="Z995" s="44"/>
      <c r="AA995" s="44" t="s">
        <v>3296</v>
      </c>
      <c r="AB995" s="44" t="s">
        <v>3297</v>
      </c>
    </row>
    <row r="996" spans="1:28" ht="15.75" hidden="1" customHeight="1">
      <c r="A996" s="44"/>
      <c r="B996" s="44"/>
      <c r="C996" s="44"/>
      <c r="D996" s="44"/>
      <c r="E996" s="44"/>
      <c r="F996" s="44"/>
      <c r="G996" s="48"/>
      <c r="H996" s="48"/>
      <c r="I996" s="48"/>
      <c r="J996" s="48"/>
      <c r="K996" s="48"/>
      <c r="L996" s="48"/>
      <c r="M996" s="48"/>
      <c r="N996" s="48"/>
      <c r="O996" s="44"/>
      <c r="P996" s="44"/>
      <c r="Q996" s="44"/>
      <c r="R996" s="44"/>
      <c r="S996" s="44"/>
      <c r="T996" s="44"/>
      <c r="U996" s="44"/>
      <c r="V996" s="44"/>
      <c r="W996" s="44"/>
      <c r="X996" s="44"/>
      <c r="Y996" s="44"/>
      <c r="Z996" s="44"/>
      <c r="AA996" s="44" t="s">
        <v>3298</v>
      </c>
      <c r="AB996" s="44" t="s">
        <v>3299</v>
      </c>
    </row>
    <row r="997" spans="1:28" ht="15.75" hidden="1" customHeight="1">
      <c r="A997" s="44"/>
      <c r="B997" s="44"/>
      <c r="C997" s="44"/>
      <c r="D997" s="44"/>
      <c r="E997" s="44"/>
      <c r="F997" s="44"/>
      <c r="G997" s="48"/>
      <c r="H997" s="48"/>
      <c r="I997" s="48"/>
      <c r="J997" s="48"/>
      <c r="K997" s="48"/>
      <c r="L997" s="48"/>
      <c r="M997" s="48"/>
      <c r="N997" s="48"/>
      <c r="O997" s="44"/>
      <c r="P997" s="44"/>
      <c r="Q997" s="44"/>
      <c r="R997" s="44"/>
      <c r="S997" s="44"/>
      <c r="T997" s="44"/>
      <c r="U997" s="44"/>
      <c r="V997" s="44"/>
      <c r="W997" s="44"/>
      <c r="X997" s="44"/>
      <c r="Y997" s="44"/>
      <c r="Z997" s="44"/>
      <c r="AA997" s="44" t="s">
        <v>3300</v>
      </c>
      <c r="AB997" s="44" t="s">
        <v>3301</v>
      </c>
    </row>
    <row r="998" spans="1:28" ht="15.75" hidden="1" customHeight="1">
      <c r="A998" s="44"/>
      <c r="B998" s="44"/>
      <c r="C998" s="44"/>
      <c r="D998" s="44"/>
      <c r="E998" s="44"/>
      <c r="F998" s="44"/>
      <c r="G998" s="48"/>
      <c r="H998" s="48"/>
      <c r="I998" s="48"/>
      <c r="J998" s="48"/>
      <c r="K998" s="48"/>
      <c r="L998" s="48"/>
      <c r="M998" s="48"/>
      <c r="N998" s="48"/>
      <c r="O998" s="44"/>
      <c r="P998" s="44"/>
      <c r="Q998" s="44"/>
      <c r="R998" s="44"/>
      <c r="S998" s="44"/>
      <c r="T998" s="44"/>
      <c r="U998" s="44"/>
      <c r="V998" s="44"/>
      <c r="W998" s="44"/>
      <c r="X998" s="44"/>
      <c r="Y998" s="44"/>
      <c r="Z998" s="44"/>
      <c r="AA998" s="44" t="s">
        <v>3302</v>
      </c>
      <c r="AB998" s="44" t="s">
        <v>3303</v>
      </c>
    </row>
    <row r="999" spans="1:28" ht="15.75" hidden="1" customHeight="1">
      <c r="A999" s="44"/>
      <c r="B999" s="44"/>
      <c r="C999" s="44"/>
      <c r="D999" s="44"/>
      <c r="E999" s="44"/>
      <c r="F999" s="44"/>
      <c r="G999" s="48"/>
      <c r="H999" s="48"/>
      <c r="I999" s="48"/>
      <c r="J999" s="48"/>
      <c r="K999" s="48"/>
      <c r="L999" s="48"/>
      <c r="M999" s="48"/>
      <c r="N999" s="48"/>
      <c r="O999" s="44"/>
      <c r="P999" s="44"/>
      <c r="Q999" s="44"/>
      <c r="R999" s="44"/>
      <c r="S999" s="44"/>
      <c r="T999" s="44"/>
      <c r="U999" s="44"/>
      <c r="V999" s="44"/>
      <c r="W999" s="44"/>
      <c r="X999" s="44"/>
      <c r="Y999" s="44"/>
      <c r="Z999" s="44"/>
      <c r="AA999" s="44" t="s">
        <v>3304</v>
      </c>
      <c r="AB999" s="44" t="s">
        <v>3077</v>
      </c>
    </row>
    <row r="1000" spans="1:28" ht="15.75" hidden="1" customHeight="1">
      <c r="A1000" s="44"/>
      <c r="B1000" s="44"/>
      <c r="C1000" s="44"/>
      <c r="D1000" s="44"/>
      <c r="E1000" s="44"/>
      <c r="F1000" s="44"/>
      <c r="G1000" s="48"/>
      <c r="H1000" s="48"/>
      <c r="I1000" s="48"/>
      <c r="J1000" s="48"/>
      <c r="K1000" s="48"/>
      <c r="L1000" s="48"/>
      <c r="M1000" s="48"/>
      <c r="N1000" s="48"/>
      <c r="O1000" s="44"/>
      <c r="P1000" s="44"/>
      <c r="Q1000" s="44"/>
      <c r="R1000" s="44"/>
      <c r="S1000" s="44"/>
      <c r="T1000" s="44"/>
      <c r="U1000" s="44"/>
      <c r="V1000" s="44"/>
      <c r="W1000" s="44"/>
      <c r="X1000" s="44"/>
      <c r="Y1000" s="44"/>
      <c r="Z1000" s="44"/>
      <c r="AA1000" s="44" t="s">
        <v>3305</v>
      </c>
      <c r="AB1000" s="44" t="s">
        <v>1296</v>
      </c>
    </row>
    <row r="1001" spans="1:28" ht="15.75" hidden="1" customHeight="1">
      <c r="A1001" s="44"/>
      <c r="B1001" s="44"/>
      <c r="C1001" s="44"/>
      <c r="D1001" s="44"/>
      <c r="E1001" s="44"/>
      <c r="F1001" s="44"/>
      <c r="G1001" s="48"/>
      <c r="H1001" s="48"/>
      <c r="I1001" s="48"/>
      <c r="J1001" s="48"/>
      <c r="K1001" s="48"/>
      <c r="L1001" s="48"/>
      <c r="M1001" s="48"/>
      <c r="N1001" s="48"/>
      <c r="O1001" s="44"/>
      <c r="P1001" s="44"/>
      <c r="Q1001" s="44"/>
      <c r="R1001" s="44"/>
      <c r="S1001" s="44"/>
      <c r="T1001" s="44"/>
      <c r="U1001" s="44"/>
      <c r="V1001" s="44"/>
      <c r="W1001" s="44"/>
      <c r="X1001" s="44"/>
      <c r="Y1001" s="44"/>
      <c r="Z1001" s="44"/>
      <c r="AA1001" s="44" t="s">
        <v>3306</v>
      </c>
      <c r="AB1001" s="44" t="s">
        <v>3307</v>
      </c>
    </row>
    <row r="1002" spans="1:28" ht="15.75" hidden="1" customHeight="1">
      <c r="A1002" s="44"/>
      <c r="B1002" s="44"/>
      <c r="C1002" s="44"/>
      <c r="D1002" s="44"/>
      <c r="E1002" s="44"/>
      <c r="F1002" s="44"/>
      <c r="G1002" s="48"/>
      <c r="H1002" s="48"/>
      <c r="I1002" s="48"/>
      <c r="J1002" s="48"/>
      <c r="K1002" s="48"/>
      <c r="L1002" s="48"/>
      <c r="M1002" s="48"/>
      <c r="N1002" s="48"/>
      <c r="O1002" s="44"/>
      <c r="P1002" s="44"/>
      <c r="Q1002" s="44"/>
      <c r="R1002" s="44"/>
      <c r="S1002" s="44"/>
      <c r="T1002" s="44"/>
      <c r="U1002" s="44"/>
      <c r="V1002" s="44"/>
      <c r="W1002" s="44"/>
      <c r="X1002" s="44"/>
      <c r="Y1002" s="44"/>
      <c r="Z1002" s="44"/>
      <c r="AA1002" s="44" t="s">
        <v>3308</v>
      </c>
      <c r="AB1002" s="44" t="s">
        <v>3080</v>
      </c>
    </row>
    <row r="1003" spans="1:28" ht="15.75" hidden="1" customHeight="1">
      <c r="A1003" s="44"/>
      <c r="B1003" s="44"/>
      <c r="C1003" s="44"/>
      <c r="D1003" s="44"/>
      <c r="E1003" s="44"/>
      <c r="F1003" s="44"/>
      <c r="G1003" s="48"/>
      <c r="H1003" s="48"/>
      <c r="I1003" s="48"/>
      <c r="J1003" s="48"/>
      <c r="K1003" s="48"/>
      <c r="L1003" s="48"/>
      <c r="M1003" s="48"/>
      <c r="N1003" s="48"/>
      <c r="O1003" s="44"/>
      <c r="P1003" s="44"/>
      <c r="Q1003" s="44"/>
      <c r="R1003" s="44"/>
      <c r="S1003" s="44"/>
      <c r="T1003" s="44"/>
      <c r="U1003" s="44"/>
      <c r="V1003" s="44"/>
      <c r="W1003" s="44"/>
      <c r="X1003" s="44"/>
      <c r="Y1003" s="44"/>
      <c r="Z1003" s="44"/>
      <c r="AA1003" s="44" t="s">
        <v>3309</v>
      </c>
      <c r="AB1003" s="44" t="s">
        <v>3310</v>
      </c>
    </row>
    <row r="1004" spans="1:28" ht="15.75" hidden="1" customHeight="1">
      <c r="A1004" s="44"/>
      <c r="B1004" s="44"/>
      <c r="C1004" s="44"/>
      <c r="D1004" s="44"/>
      <c r="E1004" s="44"/>
      <c r="F1004" s="44"/>
      <c r="G1004" s="48"/>
      <c r="H1004" s="48"/>
      <c r="I1004" s="48"/>
      <c r="J1004" s="48"/>
      <c r="K1004" s="48"/>
      <c r="L1004" s="48"/>
      <c r="M1004" s="48"/>
      <c r="N1004" s="48"/>
      <c r="O1004" s="44"/>
      <c r="P1004" s="44"/>
      <c r="Q1004" s="44"/>
      <c r="R1004" s="44"/>
      <c r="S1004" s="44"/>
      <c r="T1004" s="44"/>
      <c r="U1004" s="44"/>
      <c r="V1004" s="44"/>
      <c r="W1004" s="44"/>
      <c r="X1004" s="44"/>
      <c r="Y1004" s="44"/>
      <c r="Z1004" s="44"/>
      <c r="AA1004" s="44" t="s">
        <v>3311</v>
      </c>
      <c r="AB1004" s="44" t="s">
        <v>1292</v>
      </c>
    </row>
    <row r="1005" spans="1:28" ht="15.75" hidden="1" customHeight="1">
      <c r="A1005" s="44"/>
      <c r="B1005" s="44"/>
      <c r="C1005" s="44"/>
      <c r="D1005" s="44"/>
      <c r="E1005" s="44"/>
      <c r="F1005" s="44"/>
      <c r="G1005" s="48"/>
      <c r="H1005" s="48"/>
      <c r="I1005" s="48"/>
      <c r="J1005" s="48"/>
      <c r="K1005" s="48"/>
      <c r="L1005" s="48"/>
      <c r="M1005" s="48"/>
      <c r="N1005" s="48"/>
      <c r="O1005" s="44"/>
      <c r="P1005" s="44"/>
      <c r="Q1005" s="44"/>
      <c r="R1005" s="44"/>
      <c r="S1005" s="44"/>
      <c r="T1005" s="44"/>
      <c r="U1005" s="44"/>
      <c r="V1005" s="44"/>
      <c r="W1005" s="44"/>
      <c r="X1005" s="44"/>
      <c r="Y1005" s="44"/>
      <c r="Z1005" s="44"/>
      <c r="AA1005" s="44" t="s">
        <v>3312</v>
      </c>
      <c r="AB1005" s="44" t="s">
        <v>3085</v>
      </c>
    </row>
    <row r="1006" spans="1:28" ht="15.75" hidden="1" customHeight="1">
      <c r="A1006" s="44"/>
      <c r="B1006" s="44"/>
      <c r="C1006" s="44"/>
      <c r="D1006" s="44"/>
      <c r="E1006" s="44"/>
      <c r="F1006" s="44"/>
      <c r="G1006" s="48"/>
      <c r="H1006" s="48"/>
      <c r="I1006" s="48"/>
      <c r="J1006" s="48"/>
      <c r="K1006" s="48"/>
      <c r="L1006" s="48"/>
      <c r="M1006" s="48"/>
      <c r="N1006" s="48"/>
      <c r="O1006" s="44"/>
      <c r="P1006" s="44"/>
      <c r="Q1006" s="44"/>
      <c r="R1006" s="44"/>
      <c r="S1006" s="44"/>
      <c r="T1006" s="44"/>
      <c r="U1006" s="44"/>
      <c r="V1006" s="44"/>
      <c r="W1006" s="44"/>
      <c r="X1006" s="44"/>
      <c r="Y1006" s="44"/>
      <c r="Z1006" s="44"/>
      <c r="AA1006" s="44" t="s">
        <v>3313</v>
      </c>
      <c r="AB1006" s="44" t="s">
        <v>3314</v>
      </c>
    </row>
    <row r="1007" spans="1:28" ht="15.75" hidden="1" customHeight="1">
      <c r="A1007" s="44"/>
      <c r="B1007" s="44"/>
      <c r="C1007" s="44"/>
      <c r="D1007" s="44"/>
      <c r="E1007" s="44"/>
      <c r="F1007" s="44"/>
      <c r="G1007" s="48"/>
      <c r="H1007" s="48"/>
      <c r="I1007" s="48"/>
      <c r="J1007" s="48"/>
      <c r="K1007" s="48"/>
      <c r="L1007" s="48"/>
      <c r="M1007" s="48"/>
      <c r="N1007" s="48"/>
      <c r="O1007" s="44"/>
      <c r="P1007" s="44"/>
      <c r="Q1007" s="44"/>
      <c r="R1007" s="44"/>
      <c r="S1007" s="44"/>
      <c r="T1007" s="44"/>
      <c r="U1007" s="44"/>
      <c r="V1007" s="44"/>
      <c r="W1007" s="44"/>
      <c r="X1007" s="44"/>
      <c r="Y1007" s="44"/>
      <c r="Z1007" s="44"/>
      <c r="AA1007" s="44" t="s">
        <v>3315</v>
      </c>
      <c r="AB1007" s="44" t="s">
        <v>3316</v>
      </c>
    </row>
    <row r="1008" spans="1:28" ht="15.75" hidden="1" customHeight="1">
      <c r="A1008" s="44"/>
      <c r="B1008" s="44"/>
      <c r="C1008" s="44"/>
      <c r="D1008" s="44"/>
      <c r="E1008" s="44"/>
      <c r="F1008" s="44"/>
      <c r="G1008" s="48"/>
      <c r="H1008" s="48"/>
      <c r="I1008" s="48"/>
      <c r="J1008" s="48"/>
      <c r="K1008" s="48"/>
      <c r="L1008" s="48"/>
      <c r="M1008" s="48"/>
      <c r="N1008" s="48"/>
      <c r="O1008" s="44"/>
      <c r="P1008" s="44"/>
      <c r="Q1008" s="44"/>
      <c r="R1008" s="44"/>
      <c r="S1008" s="44"/>
      <c r="T1008" s="44"/>
      <c r="U1008" s="44"/>
      <c r="V1008" s="44"/>
      <c r="W1008" s="44"/>
      <c r="X1008" s="44"/>
      <c r="Y1008" s="44"/>
      <c r="Z1008" s="44"/>
      <c r="AA1008" s="44" t="s">
        <v>3317</v>
      </c>
      <c r="AB1008" s="44" t="s">
        <v>1372</v>
      </c>
    </row>
    <row r="1009" spans="1:28" ht="15.75" hidden="1" customHeight="1">
      <c r="A1009" s="44"/>
      <c r="B1009" s="44"/>
      <c r="C1009" s="44"/>
      <c r="D1009" s="44"/>
      <c r="E1009" s="44"/>
      <c r="F1009" s="44"/>
      <c r="G1009" s="48"/>
      <c r="H1009" s="48"/>
      <c r="I1009" s="48"/>
      <c r="J1009" s="48"/>
      <c r="K1009" s="48"/>
      <c r="L1009" s="48"/>
      <c r="M1009" s="48"/>
      <c r="N1009" s="48"/>
      <c r="O1009" s="44"/>
      <c r="P1009" s="44"/>
      <c r="Q1009" s="44"/>
      <c r="R1009" s="44"/>
      <c r="S1009" s="44"/>
      <c r="T1009" s="44"/>
      <c r="U1009" s="44"/>
      <c r="V1009" s="44"/>
      <c r="W1009" s="44"/>
      <c r="X1009" s="44"/>
      <c r="Y1009" s="44"/>
      <c r="Z1009" s="44"/>
      <c r="AA1009" s="44" t="s">
        <v>3318</v>
      </c>
      <c r="AB1009" s="44" t="s">
        <v>3319</v>
      </c>
    </row>
    <row r="1010" spans="1:28" ht="15.75" hidden="1" customHeight="1">
      <c r="A1010" s="44"/>
      <c r="B1010" s="44"/>
      <c r="C1010" s="44"/>
      <c r="D1010" s="44"/>
      <c r="E1010" s="44"/>
      <c r="F1010" s="44"/>
      <c r="G1010" s="48"/>
      <c r="H1010" s="48"/>
      <c r="I1010" s="48"/>
      <c r="J1010" s="48"/>
      <c r="K1010" s="48"/>
      <c r="L1010" s="48"/>
      <c r="M1010" s="48"/>
      <c r="N1010" s="48"/>
      <c r="O1010" s="44"/>
      <c r="P1010" s="44"/>
      <c r="Q1010" s="44"/>
      <c r="R1010" s="44"/>
      <c r="S1010" s="44"/>
      <c r="T1010" s="44"/>
      <c r="U1010" s="44"/>
      <c r="V1010" s="44"/>
      <c r="W1010" s="44"/>
      <c r="X1010" s="44"/>
      <c r="Y1010" s="44"/>
      <c r="Z1010" s="44"/>
      <c r="AA1010" s="44" t="s">
        <v>3320</v>
      </c>
      <c r="AB1010" s="44" t="s">
        <v>3321</v>
      </c>
    </row>
    <row r="1011" spans="1:28" ht="15.75" hidden="1" customHeight="1">
      <c r="A1011" s="44"/>
      <c r="B1011" s="44"/>
      <c r="C1011" s="44"/>
      <c r="D1011" s="44"/>
      <c r="E1011" s="44"/>
      <c r="F1011" s="44"/>
      <c r="G1011" s="48"/>
      <c r="H1011" s="48"/>
      <c r="I1011" s="48"/>
      <c r="J1011" s="48"/>
      <c r="K1011" s="48"/>
      <c r="L1011" s="48"/>
      <c r="M1011" s="48"/>
      <c r="N1011" s="48"/>
      <c r="O1011" s="44"/>
      <c r="P1011" s="44"/>
      <c r="Q1011" s="44"/>
      <c r="R1011" s="44"/>
      <c r="S1011" s="44"/>
      <c r="T1011" s="44"/>
      <c r="U1011" s="44"/>
      <c r="V1011" s="44"/>
      <c r="W1011" s="44"/>
      <c r="X1011" s="44"/>
      <c r="Y1011" s="44"/>
      <c r="Z1011" s="44"/>
      <c r="AA1011" s="44" t="s">
        <v>3322</v>
      </c>
      <c r="AB1011" s="44" t="s">
        <v>3323</v>
      </c>
    </row>
    <row r="1012" spans="1:28" ht="15.75" hidden="1" customHeight="1">
      <c r="A1012" s="44"/>
      <c r="B1012" s="44"/>
      <c r="C1012" s="44"/>
      <c r="D1012" s="44"/>
      <c r="E1012" s="44"/>
      <c r="F1012" s="44"/>
      <c r="G1012" s="48"/>
      <c r="H1012" s="48"/>
      <c r="I1012" s="48"/>
      <c r="J1012" s="48"/>
      <c r="K1012" s="48"/>
      <c r="L1012" s="48"/>
      <c r="M1012" s="48"/>
      <c r="N1012" s="48"/>
      <c r="O1012" s="44"/>
      <c r="P1012" s="44"/>
      <c r="Q1012" s="44"/>
      <c r="R1012" s="44"/>
      <c r="S1012" s="44"/>
      <c r="T1012" s="44"/>
      <c r="U1012" s="44"/>
      <c r="V1012" s="44"/>
      <c r="W1012" s="44"/>
      <c r="X1012" s="44"/>
      <c r="Y1012" s="44"/>
      <c r="Z1012" s="44"/>
      <c r="AA1012" s="44" t="s">
        <v>3324</v>
      </c>
      <c r="AB1012" s="44" t="s">
        <v>3325</v>
      </c>
    </row>
    <row r="1013" spans="1:28" ht="15.75" hidden="1" customHeight="1">
      <c r="A1013" s="44"/>
      <c r="B1013" s="44"/>
      <c r="C1013" s="44"/>
      <c r="D1013" s="44"/>
      <c r="E1013" s="44"/>
      <c r="F1013" s="44"/>
      <c r="G1013" s="48"/>
      <c r="H1013" s="48"/>
      <c r="I1013" s="48"/>
      <c r="J1013" s="48"/>
      <c r="K1013" s="48"/>
      <c r="L1013" s="48"/>
      <c r="M1013" s="48"/>
      <c r="N1013" s="48"/>
      <c r="O1013" s="44"/>
      <c r="P1013" s="44"/>
      <c r="Q1013" s="44"/>
      <c r="R1013" s="44"/>
      <c r="S1013" s="44"/>
      <c r="T1013" s="44"/>
      <c r="U1013" s="44"/>
      <c r="V1013" s="44"/>
      <c r="W1013" s="44"/>
      <c r="X1013" s="44"/>
      <c r="Y1013" s="44"/>
      <c r="Z1013" s="44"/>
      <c r="AA1013" s="44" t="s">
        <v>3326</v>
      </c>
      <c r="AB1013" s="44" t="s">
        <v>3327</v>
      </c>
    </row>
    <row r="1014" spans="1:28" ht="15.75" hidden="1" customHeight="1">
      <c r="A1014" s="44"/>
      <c r="B1014" s="44"/>
      <c r="C1014" s="44"/>
      <c r="D1014" s="44"/>
      <c r="E1014" s="44"/>
      <c r="F1014" s="44"/>
      <c r="G1014" s="48"/>
      <c r="H1014" s="48"/>
      <c r="I1014" s="48"/>
      <c r="J1014" s="48"/>
      <c r="K1014" s="48"/>
      <c r="L1014" s="48"/>
      <c r="M1014" s="48"/>
      <c r="N1014" s="48"/>
      <c r="O1014" s="44"/>
      <c r="P1014" s="44"/>
      <c r="Q1014" s="44"/>
      <c r="R1014" s="44"/>
      <c r="S1014" s="44"/>
      <c r="T1014" s="44"/>
      <c r="U1014" s="44"/>
      <c r="V1014" s="44"/>
      <c r="W1014" s="44"/>
      <c r="X1014" s="44"/>
      <c r="Y1014" s="44"/>
      <c r="Z1014" s="44"/>
      <c r="AA1014" s="44" t="s">
        <v>3328</v>
      </c>
      <c r="AB1014" s="44" t="s">
        <v>3329</v>
      </c>
    </row>
    <row r="1015" spans="1:28" ht="15.75" hidden="1" customHeight="1">
      <c r="A1015" s="44"/>
      <c r="B1015" s="44"/>
      <c r="C1015" s="44"/>
      <c r="D1015" s="44"/>
      <c r="E1015" s="44"/>
      <c r="F1015" s="44"/>
      <c r="G1015" s="48"/>
      <c r="H1015" s="48"/>
      <c r="I1015" s="48"/>
      <c r="J1015" s="48"/>
      <c r="K1015" s="48"/>
      <c r="L1015" s="48"/>
      <c r="M1015" s="48"/>
      <c r="N1015" s="48"/>
      <c r="O1015" s="44"/>
      <c r="P1015" s="44"/>
      <c r="Q1015" s="44"/>
      <c r="R1015" s="44"/>
      <c r="S1015" s="44"/>
      <c r="T1015" s="44"/>
      <c r="U1015" s="44"/>
      <c r="V1015" s="44"/>
      <c r="W1015" s="44"/>
      <c r="X1015" s="44"/>
      <c r="Y1015" s="44"/>
      <c r="Z1015" s="44"/>
      <c r="AA1015" s="44" t="s">
        <v>3330</v>
      </c>
      <c r="AB1015" s="44" t="s">
        <v>3331</v>
      </c>
    </row>
    <row r="1016" spans="1:28" ht="15.75" hidden="1" customHeight="1">
      <c r="A1016" s="44"/>
      <c r="B1016" s="44"/>
      <c r="C1016" s="44"/>
      <c r="D1016" s="44"/>
      <c r="E1016" s="44"/>
      <c r="F1016" s="44"/>
      <c r="G1016" s="48"/>
      <c r="H1016" s="48"/>
      <c r="I1016" s="48"/>
      <c r="J1016" s="48"/>
      <c r="K1016" s="48"/>
      <c r="L1016" s="48"/>
      <c r="M1016" s="48"/>
      <c r="N1016" s="48"/>
      <c r="O1016" s="44"/>
      <c r="P1016" s="44"/>
      <c r="Q1016" s="44"/>
      <c r="R1016" s="44"/>
      <c r="S1016" s="44"/>
      <c r="T1016" s="44"/>
      <c r="U1016" s="44"/>
      <c r="V1016" s="44"/>
      <c r="W1016" s="44"/>
      <c r="X1016" s="44"/>
      <c r="Y1016" s="44"/>
      <c r="Z1016" s="44"/>
      <c r="AA1016" s="44" t="s">
        <v>3332</v>
      </c>
      <c r="AB1016" s="44" t="s">
        <v>3333</v>
      </c>
    </row>
  </sheetData>
  <sheetProtection algorithmName="SHA-512" hashValue="cMRJvHzRIRI/zaxhWJU2Nc9heSbwHzgiRnhlpUfqauipPSJp9yy748MB/nYRCL4PXXS/LFlg+8Qz8U7I8FXdXQ==" saltValue="/NJ90COEDWIvJwzCqvEHKQ==" spinCount="100000" sheet="1" objects="1" scenarios="1" formatCells="0"/>
  <mergeCells count="1">
    <mergeCell ref="A1:B1"/>
  </mergeCells>
  <dataValidations count="5">
    <dataValidation type="list" allowBlank="1" showInputMessage="1" showErrorMessage="1" prompt="Molimo odaberite vrijednost iz padajućeg izbornika!" sqref="E53:E499 E4:E13 E16:E43">
      <formula1>$AA$6:$AA$461</formula1>
    </dataValidation>
    <dataValidation type="list" allowBlank="1" showInputMessage="1" showErrorMessage="1" prompt="Molimo odaberite vrijednost iz padajućeg izbornika!" sqref="C3:C499">
      <formula1>$U$5:$U$127</formula1>
    </dataValidation>
    <dataValidation type="list" allowBlank="1" showInputMessage="1" showErrorMessage="1" prompt="Molimo odaberite vrijednost iz padajućeg izbornika!" sqref="E3">
      <formula1>$AA$6:$AA$1016</formula1>
    </dataValidation>
    <dataValidation type="list" allowBlank="1" showInputMessage="1" showErrorMessage="1" prompt="Molimo odaberite vrijednost iz padajućeg izbornika!" sqref="A3:A499">
      <formula1>$R$6:$R$23</formula1>
    </dataValidation>
    <dataValidation type="decimal" allowBlank="1" showInputMessage="1" showErrorMessage="1" prompt="GREŠKA - U ovo polje je dozvoljen unos samo brojčanih vrijednosti (bez decimala!)" sqref="G3:I499">
      <formula1>0</formula1>
      <formula2>10000000000</formula2>
    </dataValidation>
  </dataValidations>
  <pageMargins left="0.70866141732283472" right="0.70866141732283472" top="0.74803149606299213" bottom="0.74803149606299213" header="0" footer="0"/>
  <pageSetup paperSize="9" scale="27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00"/>
  <sheetViews>
    <sheetView showGridLines="0" topLeftCell="J1" workbookViewId="0">
      <pane ySplit="2" topLeftCell="A3" activePane="bottomLeft" state="frozen"/>
      <selection pane="bottomLeft" activeCell="S13" sqref="S13"/>
    </sheetView>
  </sheetViews>
  <sheetFormatPr defaultColWidth="12.625" defaultRowHeight="15" customHeight="1"/>
  <cols>
    <col min="1" max="1" width="10" hidden="1" customWidth="1"/>
    <col min="2" max="2" width="4.25" customWidth="1"/>
    <col min="3" max="3" width="51.625" customWidth="1"/>
    <col min="4" max="4" width="13" customWidth="1"/>
    <col min="5" max="23" width="12.125" customWidth="1"/>
    <col min="24" max="24" width="6.875" customWidth="1"/>
    <col min="25" max="29" width="10" customWidth="1"/>
  </cols>
  <sheetData>
    <row r="1" spans="1:29" ht="15" customHeight="1">
      <c r="A1" s="79"/>
      <c r="B1" s="251" t="s">
        <v>3334</v>
      </c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  <c r="P1" s="236"/>
      <c r="Q1" s="236"/>
      <c r="R1" s="236"/>
      <c r="S1" s="236"/>
      <c r="T1" s="236"/>
      <c r="U1" s="236"/>
      <c r="V1" s="236"/>
      <c r="W1" s="79"/>
      <c r="X1" s="79"/>
      <c r="Y1" s="79"/>
      <c r="Z1" s="79"/>
      <c r="AA1" s="79"/>
      <c r="AB1" s="79"/>
      <c r="AC1" s="79"/>
    </row>
    <row r="2" spans="1:29" ht="12.75" customHeight="1">
      <c r="A2" s="80"/>
      <c r="B2" s="81"/>
      <c r="C2" s="81"/>
      <c r="D2" s="81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2"/>
      <c r="T2" s="80"/>
      <c r="U2" s="80"/>
      <c r="V2" s="80"/>
      <c r="W2" s="82" t="s">
        <v>3335</v>
      </c>
      <c r="X2" s="80"/>
      <c r="Y2" s="80"/>
      <c r="Z2" s="80"/>
      <c r="AA2" s="80"/>
      <c r="AB2" s="80"/>
      <c r="AC2" s="80"/>
    </row>
    <row r="3" spans="1:29" ht="15" customHeight="1">
      <c r="A3" s="80"/>
      <c r="B3" s="247" t="s">
        <v>3336</v>
      </c>
      <c r="C3" s="248"/>
      <c r="D3" s="249" t="s">
        <v>3337</v>
      </c>
      <c r="E3" s="250"/>
      <c r="F3" s="250"/>
      <c r="G3" s="250"/>
      <c r="H3" s="250"/>
      <c r="I3" s="250"/>
      <c r="J3" s="250"/>
      <c r="K3" s="250"/>
      <c r="L3" s="250"/>
      <c r="M3" s="250"/>
      <c r="N3" s="250"/>
      <c r="O3" s="250"/>
      <c r="P3" s="250"/>
      <c r="Q3" s="250"/>
      <c r="R3" s="250"/>
      <c r="S3" s="250"/>
      <c r="T3" s="250"/>
      <c r="U3" s="248"/>
      <c r="V3" s="83"/>
      <c r="W3" s="80"/>
      <c r="X3" s="80"/>
      <c r="Y3" s="80"/>
      <c r="Z3" s="80"/>
      <c r="AA3" s="80"/>
      <c r="AB3" s="80"/>
      <c r="AC3" s="80"/>
    </row>
    <row r="4" spans="1:29" ht="12.75" customHeight="1">
      <c r="A4" s="84" t="s">
        <v>3338</v>
      </c>
      <c r="B4" s="84" t="s">
        <v>3339</v>
      </c>
      <c r="C4" s="84" t="s">
        <v>3340</v>
      </c>
      <c r="D4" s="85" t="s">
        <v>3341</v>
      </c>
      <c r="E4" s="86" t="s">
        <v>3342</v>
      </c>
      <c r="F4" s="86" t="s">
        <v>3343</v>
      </c>
      <c r="G4" s="86" t="s">
        <v>3344</v>
      </c>
      <c r="H4" s="86" t="s">
        <v>3345</v>
      </c>
      <c r="I4" s="86" t="s">
        <v>3346</v>
      </c>
      <c r="J4" s="86" t="s">
        <v>3347</v>
      </c>
      <c r="K4" s="86" t="s">
        <v>3348</v>
      </c>
      <c r="L4" s="86" t="s">
        <v>3349</v>
      </c>
      <c r="M4" s="86" t="s">
        <v>3350</v>
      </c>
      <c r="N4" s="86" t="s">
        <v>3351</v>
      </c>
      <c r="O4" s="86" t="s">
        <v>3352</v>
      </c>
      <c r="P4" s="86" t="s">
        <v>3353</v>
      </c>
      <c r="Q4" s="86" t="s">
        <v>3354</v>
      </c>
      <c r="R4" s="86" t="s">
        <v>3355</v>
      </c>
      <c r="S4" s="87" t="s">
        <v>3356</v>
      </c>
      <c r="T4" s="86" t="s">
        <v>3357</v>
      </c>
      <c r="U4" s="87" t="s">
        <v>3358</v>
      </c>
      <c r="V4" s="87" t="s">
        <v>3359</v>
      </c>
      <c r="W4" s="87" t="s">
        <v>3360</v>
      </c>
      <c r="X4" s="80"/>
      <c r="Y4" s="80"/>
      <c r="Z4" s="80"/>
      <c r="AA4" s="80"/>
      <c r="AB4" s="80"/>
      <c r="AC4" s="80"/>
    </row>
    <row r="5" spans="1:29" ht="19.5" customHeight="1">
      <c r="A5" s="80">
        <v>2021</v>
      </c>
      <c r="B5" s="88"/>
      <c r="C5" s="89" t="s">
        <v>94</v>
      </c>
      <c r="D5" s="90">
        <f t="shared" ref="D5:D41" si="0">SUM(E5:W5)</f>
        <v>7050000</v>
      </c>
      <c r="E5" s="91"/>
      <c r="F5" s="91"/>
      <c r="G5" s="91">
        <v>1000000</v>
      </c>
      <c r="H5" s="91"/>
      <c r="I5" s="91">
        <v>4600000</v>
      </c>
      <c r="J5" s="91">
        <v>1200000</v>
      </c>
      <c r="K5" s="91"/>
      <c r="L5" s="91"/>
      <c r="M5" s="91"/>
      <c r="N5" s="91"/>
      <c r="O5" s="91"/>
      <c r="P5" s="91"/>
      <c r="Q5" s="91"/>
      <c r="R5" s="91"/>
      <c r="S5" s="91"/>
      <c r="T5" s="91">
        <v>250000</v>
      </c>
      <c r="U5" s="91"/>
      <c r="V5" s="91"/>
      <c r="W5" s="91"/>
      <c r="X5" s="80"/>
      <c r="Y5" s="80"/>
      <c r="Z5" s="80"/>
      <c r="AA5" s="80"/>
      <c r="AB5" s="80"/>
      <c r="AC5" s="80"/>
    </row>
    <row r="6" spans="1:29" ht="12.75" customHeight="1">
      <c r="A6" s="80">
        <v>2021</v>
      </c>
      <c r="B6" s="92"/>
      <c r="C6" s="93" t="s">
        <v>3361</v>
      </c>
      <c r="D6" s="90">
        <f t="shared" si="0"/>
        <v>486237247</v>
      </c>
      <c r="E6" s="94">
        <f t="shared" ref="E6:W6" si="1">+E27+E34</f>
        <v>138511770</v>
      </c>
      <c r="F6" s="94">
        <f t="shared" si="1"/>
        <v>0</v>
      </c>
      <c r="G6" s="94">
        <f t="shared" si="1"/>
        <v>13343782</v>
      </c>
      <c r="H6" s="94">
        <f t="shared" si="1"/>
        <v>0</v>
      </c>
      <c r="I6" s="94">
        <f t="shared" si="1"/>
        <v>23000000</v>
      </c>
      <c r="J6" s="94">
        <f t="shared" si="1"/>
        <v>279390</v>
      </c>
      <c r="K6" s="94">
        <f t="shared" si="1"/>
        <v>10728285</v>
      </c>
      <c r="L6" s="94">
        <f t="shared" si="1"/>
        <v>0</v>
      </c>
      <c r="M6" s="94">
        <f t="shared" si="1"/>
        <v>0</v>
      </c>
      <c r="N6" s="94">
        <f t="shared" si="1"/>
        <v>0</v>
      </c>
      <c r="O6" s="94">
        <f t="shared" si="1"/>
        <v>22045383</v>
      </c>
      <c r="P6" s="94">
        <f t="shared" si="1"/>
        <v>0</v>
      </c>
      <c r="Q6" s="94">
        <f t="shared" si="1"/>
        <v>0</v>
      </c>
      <c r="R6" s="94">
        <f t="shared" si="1"/>
        <v>175730498</v>
      </c>
      <c r="S6" s="94">
        <f t="shared" si="1"/>
        <v>102093139</v>
      </c>
      <c r="T6" s="94">
        <f t="shared" si="1"/>
        <v>505000</v>
      </c>
      <c r="U6" s="94">
        <f t="shared" si="1"/>
        <v>0</v>
      </c>
      <c r="V6" s="94">
        <f t="shared" si="1"/>
        <v>0</v>
      </c>
      <c r="W6" s="94">
        <f t="shared" si="1"/>
        <v>0</v>
      </c>
      <c r="X6" s="80"/>
      <c r="Y6" s="80"/>
      <c r="Z6" s="80"/>
      <c r="AA6" s="80"/>
      <c r="AB6" s="80"/>
      <c r="AC6" s="80"/>
    </row>
    <row r="7" spans="1:29" ht="21.75" customHeight="1">
      <c r="A7" s="80">
        <v>2021</v>
      </c>
      <c r="B7" s="95"/>
      <c r="C7" s="89" t="s">
        <v>3362</v>
      </c>
      <c r="D7" s="90">
        <f t="shared" si="0"/>
        <v>-9379978</v>
      </c>
      <c r="E7" s="96"/>
      <c r="F7" s="96"/>
      <c r="G7" s="96">
        <v>-1509684</v>
      </c>
      <c r="H7" s="96"/>
      <c r="I7" s="96">
        <v>-6990830</v>
      </c>
      <c r="J7" s="96">
        <v>-537806</v>
      </c>
      <c r="K7" s="96">
        <v>-116390</v>
      </c>
      <c r="L7" s="96"/>
      <c r="M7" s="96"/>
      <c r="N7" s="96"/>
      <c r="O7" s="96"/>
      <c r="P7" s="96"/>
      <c r="Q7" s="96"/>
      <c r="R7" s="96"/>
      <c r="S7" s="96"/>
      <c r="T7" s="96">
        <v>-225268</v>
      </c>
      <c r="U7" s="96"/>
      <c r="V7" s="96"/>
      <c r="W7" s="96"/>
      <c r="X7" s="80"/>
      <c r="Y7" s="80"/>
      <c r="Z7" s="80"/>
      <c r="AA7" s="80"/>
      <c r="AB7" s="80"/>
      <c r="AC7" s="80"/>
    </row>
    <row r="8" spans="1:29" ht="12.75" customHeight="1">
      <c r="A8" s="80">
        <v>2021</v>
      </c>
      <c r="B8" s="92"/>
      <c r="C8" s="93" t="s">
        <v>3363</v>
      </c>
      <c r="D8" s="90">
        <f t="shared" si="0"/>
        <v>483907269</v>
      </c>
      <c r="E8" s="94">
        <f t="shared" ref="E8:W8" si="2">+E5+E6+E7</f>
        <v>138511770</v>
      </c>
      <c r="F8" s="94">
        <f t="shared" si="2"/>
        <v>0</v>
      </c>
      <c r="G8" s="94">
        <f t="shared" si="2"/>
        <v>12834098</v>
      </c>
      <c r="H8" s="94">
        <f t="shared" si="2"/>
        <v>0</v>
      </c>
      <c r="I8" s="94">
        <f t="shared" si="2"/>
        <v>20609170</v>
      </c>
      <c r="J8" s="94">
        <f t="shared" si="2"/>
        <v>941584</v>
      </c>
      <c r="K8" s="94">
        <f t="shared" si="2"/>
        <v>10611895</v>
      </c>
      <c r="L8" s="94">
        <f t="shared" si="2"/>
        <v>0</v>
      </c>
      <c r="M8" s="94">
        <f t="shared" si="2"/>
        <v>0</v>
      </c>
      <c r="N8" s="94">
        <f t="shared" si="2"/>
        <v>0</v>
      </c>
      <c r="O8" s="94">
        <f t="shared" si="2"/>
        <v>22045383</v>
      </c>
      <c r="P8" s="94">
        <f t="shared" si="2"/>
        <v>0</v>
      </c>
      <c r="Q8" s="94">
        <f t="shared" si="2"/>
        <v>0</v>
      </c>
      <c r="R8" s="94">
        <f t="shared" si="2"/>
        <v>175730498</v>
      </c>
      <c r="S8" s="94">
        <f t="shared" si="2"/>
        <v>102093139</v>
      </c>
      <c r="T8" s="94">
        <f t="shared" si="2"/>
        <v>529732</v>
      </c>
      <c r="U8" s="94">
        <f t="shared" si="2"/>
        <v>0</v>
      </c>
      <c r="V8" s="94">
        <f t="shared" si="2"/>
        <v>0</v>
      </c>
      <c r="W8" s="94">
        <f t="shared" si="2"/>
        <v>0</v>
      </c>
      <c r="X8" s="80"/>
      <c r="Y8" s="80"/>
      <c r="Z8" s="80"/>
      <c r="AA8" s="80"/>
      <c r="AB8" s="80"/>
      <c r="AC8" s="80"/>
    </row>
    <row r="9" spans="1:29" ht="12.75" customHeight="1">
      <c r="A9" s="80">
        <v>2021</v>
      </c>
      <c r="B9" s="97"/>
      <c r="C9" s="98" t="s">
        <v>3364</v>
      </c>
      <c r="D9" s="90">
        <f t="shared" si="0"/>
        <v>483907269.59139997</v>
      </c>
      <c r="E9" s="99">
        <f>+'PLAN RASHODA I IZDATAKA'!E3</f>
        <v>138511770</v>
      </c>
      <c r="F9" s="99">
        <f>+'PLAN RASHODA I IZDATAKA'!F3</f>
        <v>0</v>
      </c>
      <c r="G9" s="99">
        <f>+'PLAN RASHODA I IZDATAKA'!G3</f>
        <v>12834098</v>
      </c>
      <c r="H9" s="99">
        <f>+'PLAN RASHODA I IZDATAKA'!H3</f>
        <v>0</v>
      </c>
      <c r="I9" s="99">
        <f>+'PLAN RASHODA I IZDATAKA'!I3</f>
        <v>20609170.48</v>
      </c>
      <c r="J9" s="99">
        <f>+'PLAN RASHODA I IZDATAKA'!J3</f>
        <v>941584</v>
      </c>
      <c r="K9" s="99">
        <f>+'PLAN RASHODA I IZDATAKA'!K3</f>
        <v>10611895.286999999</v>
      </c>
      <c r="L9" s="99">
        <f>+'PLAN RASHODA I IZDATAKA'!L3</f>
        <v>0</v>
      </c>
      <c r="M9" s="99">
        <f>+'PLAN RASHODA I IZDATAKA'!M3</f>
        <v>0</v>
      </c>
      <c r="N9" s="99">
        <f>+'PLAN RASHODA I IZDATAKA'!N3</f>
        <v>0</v>
      </c>
      <c r="O9" s="99">
        <f>+'PLAN RASHODA I IZDATAKA'!O3</f>
        <v>22045383</v>
      </c>
      <c r="P9" s="99">
        <f>+'PLAN RASHODA I IZDATAKA'!P3</f>
        <v>0</v>
      </c>
      <c r="Q9" s="99">
        <f>+'PLAN RASHODA I IZDATAKA'!Q3</f>
        <v>0</v>
      </c>
      <c r="R9" s="99">
        <f>+'PLAN RASHODA I IZDATAKA'!R3</f>
        <v>175730498</v>
      </c>
      <c r="S9" s="99">
        <f>+'PLAN RASHODA I IZDATAKA'!S3</f>
        <v>102093139</v>
      </c>
      <c r="T9" s="99">
        <f>+'PLAN RASHODA I IZDATAKA'!T3</f>
        <v>529731.82439999992</v>
      </c>
      <c r="U9" s="99">
        <f>+'PLAN RASHODA I IZDATAKA'!U3</f>
        <v>0</v>
      </c>
      <c r="V9" s="99">
        <f>+'PLAN RASHODA I IZDATAKA'!V3</f>
        <v>0</v>
      </c>
      <c r="W9" s="99">
        <f>+'PLAN RASHODA I IZDATAKA'!W3</f>
        <v>0</v>
      </c>
      <c r="X9" s="80"/>
      <c r="Y9" s="80"/>
      <c r="Z9" s="80"/>
      <c r="AA9" s="80"/>
      <c r="AB9" s="80"/>
      <c r="AC9" s="80"/>
    </row>
    <row r="10" spans="1:29" ht="12.75" customHeight="1">
      <c r="A10" s="80">
        <v>2021</v>
      </c>
      <c r="B10" s="100"/>
      <c r="C10" s="101" t="s">
        <v>3365</v>
      </c>
      <c r="D10" s="90">
        <v>0</v>
      </c>
      <c r="E10" s="102">
        <f t="shared" ref="E10:W10" si="3">+E8-E9</f>
        <v>0</v>
      </c>
      <c r="F10" s="102">
        <f t="shared" si="3"/>
        <v>0</v>
      </c>
      <c r="G10" s="102">
        <f t="shared" si="3"/>
        <v>0</v>
      </c>
      <c r="H10" s="102">
        <f t="shared" si="3"/>
        <v>0</v>
      </c>
      <c r="I10" s="102">
        <f t="shared" si="3"/>
        <v>-0.48000000044703484</v>
      </c>
      <c r="J10" s="102">
        <f t="shared" si="3"/>
        <v>0</v>
      </c>
      <c r="K10" s="102">
        <f t="shared" si="3"/>
        <v>-0.28699999861419201</v>
      </c>
      <c r="L10" s="102">
        <f t="shared" si="3"/>
        <v>0</v>
      </c>
      <c r="M10" s="102">
        <f t="shared" si="3"/>
        <v>0</v>
      </c>
      <c r="N10" s="102">
        <f t="shared" si="3"/>
        <v>0</v>
      </c>
      <c r="O10" s="102">
        <f t="shared" si="3"/>
        <v>0</v>
      </c>
      <c r="P10" s="102">
        <f t="shared" si="3"/>
        <v>0</v>
      </c>
      <c r="Q10" s="102">
        <f t="shared" si="3"/>
        <v>0</v>
      </c>
      <c r="R10" s="102">
        <f t="shared" si="3"/>
        <v>0</v>
      </c>
      <c r="S10" s="102">
        <f t="shared" si="3"/>
        <v>0</v>
      </c>
      <c r="T10" s="102">
        <f t="shared" si="3"/>
        <v>0.1756000000750646</v>
      </c>
      <c r="U10" s="102">
        <f t="shared" si="3"/>
        <v>0</v>
      </c>
      <c r="V10" s="102">
        <f t="shared" si="3"/>
        <v>0</v>
      </c>
      <c r="W10" s="102">
        <f t="shared" si="3"/>
        <v>0</v>
      </c>
      <c r="X10" s="80"/>
      <c r="Y10" s="80"/>
      <c r="Z10" s="80"/>
      <c r="AA10" s="80"/>
      <c r="AB10" s="80"/>
      <c r="AC10" s="80"/>
    </row>
    <row r="11" spans="1:29" ht="12.75" customHeight="1">
      <c r="A11" s="80">
        <v>2021</v>
      </c>
      <c r="B11" s="103" t="s">
        <v>3366</v>
      </c>
      <c r="C11" s="104" t="s">
        <v>3367</v>
      </c>
      <c r="D11" s="90">
        <f t="shared" si="0"/>
        <v>0</v>
      </c>
      <c r="E11" s="105">
        <f>SUMIFS('Plan prihoda za unos u SAP'!$G$3:$G$500,'Plan prihoda za unos u SAP'!$C$3:$C$500,"=11",'Plan prihoda za unos u SAP'!$K$3:$K$500,"=614")</f>
        <v>0</v>
      </c>
      <c r="F11" s="105">
        <f>SUMIFS('Plan prihoda za unos u SAP'!$G$3:$G$500,'Plan prihoda za unos u SAP'!$C$3:$C$500,"=12",'Plan prihoda za unos u SAP'!$K$3:$K$500,"=614")</f>
        <v>0</v>
      </c>
      <c r="G11" s="105">
        <f>SUMIFS('Plan prihoda za unos u SAP'!$G$3:$G$500,'Plan prihoda za unos u SAP'!$C$3:$C$500,"=31",'Plan prihoda za unos u SAP'!$K$3:$K$500,"=614")</f>
        <v>0</v>
      </c>
      <c r="H11" s="105">
        <f>SUMIFS('Plan prihoda za unos u SAP'!$G$3:$G$500,'Plan prihoda za unos u SAP'!$C$3:$C$500,"=41",'Plan prihoda za unos u SAP'!$K$3:$K$500,"=614")</f>
        <v>0</v>
      </c>
      <c r="I11" s="105">
        <f>SUMIFS('Plan prihoda za unos u SAP'!$G$3:$G$500,'Plan prihoda za unos u SAP'!$C$3:$C$500,"=43",'Plan prihoda za unos u SAP'!$K$3:$K$500,"=614")</f>
        <v>0</v>
      </c>
      <c r="J11" s="105">
        <f>SUMIFS('Plan prihoda za unos u SAP'!$G$3:$G$500,'Plan prihoda za unos u SAP'!$C$3:$C$500,"=51",'Plan prihoda za unos u SAP'!$K$3:$K$500,"=614")</f>
        <v>0</v>
      </c>
      <c r="K11" s="105">
        <f>SUMIFS('Plan prihoda za unos u SAP'!$G$3:$G$500,'Plan prihoda za unos u SAP'!$C$3:$C$500,"=52",'Plan prihoda za unos u SAP'!$K$3:$K$500,"=614")</f>
        <v>0</v>
      </c>
      <c r="L11" s="105">
        <f>SUMIFS('Plan prihoda za unos u SAP'!$G$3:$G$500,'Plan prihoda za unos u SAP'!$C$3:$C$500,"=552",'Plan prihoda za unos u SAP'!$K$3:$K$500,"=614")</f>
        <v>0</v>
      </c>
      <c r="M11" s="105">
        <f>SUMIFS('Plan prihoda za unos u SAP'!$G$3:$G$500,'Plan prihoda za unos u SAP'!$C$3:$C$500,"=559",'Plan prihoda za unos u SAP'!$K$3:$K$500,"=614")</f>
        <v>0</v>
      </c>
      <c r="N11" s="105">
        <f>SUMIFS('Plan prihoda za unos u SAP'!$G$3:$G$500,'Plan prihoda za unos u SAP'!$C$3:$C$500,"=561",'Plan prihoda za unos u SAP'!$K$3:$K$500,"=614")</f>
        <v>0</v>
      </c>
      <c r="O11" s="105">
        <f>SUMIFS('Plan prihoda za unos u SAP'!$G$3:$G$500,'Plan prihoda za unos u SAP'!$C$3:$C$500,"=563",'Plan prihoda za unos u SAP'!$K$3:$K$500,"=614")</f>
        <v>0</v>
      </c>
      <c r="P11" s="105">
        <f>SUMIFS('Plan prihoda za unos u SAP'!$G$3:$G$500,'Plan prihoda za unos u SAP'!$C$3:$C$500,"=573",'Plan prihoda za unos u SAP'!$K$3:$K$500,"=614")</f>
        <v>0</v>
      </c>
      <c r="Q11" s="105">
        <f>SUMIFS('Plan prihoda za unos u SAP'!$G$3:$G$500,'Plan prihoda za unos u SAP'!$C$3:$C$500,"=575",'Plan prihoda za unos u SAP'!$K$3:$K$500,"=614")</f>
        <v>0</v>
      </c>
      <c r="R11" s="105">
        <f>SUMIFS('Plan prihoda za unos u SAP'!$G$3:$G$500,'Plan prihoda za unos u SAP'!$C$3:$C$500,"=576",'Plan prihoda za unos u SAP'!$K$3:$K$500,"=614")</f>
        <v>0</v>
      </c>
      <c r="S11" s="105">
        <f>SUMIFS('Plan prihoda za unos u SAP'!$G$3:$G$500,'Plan prihoda za unos u SAP'!$C$3:$C$500,"=581",'Plan prihoda za unos u SAP'!$K$3:$K$500,"=614")</f>
        <v>0</v>
      </c>
      <c r="T11" s="105">
        <f>SUMIFS('Plan prihoda za unos u SAP'!$G$3:$G$500,'Plan prihoda za unos u SAP'!$C$3:$C$500,"=61",'Plan prihoda za unos u SAP'!$K$3:$K$500,"=614")</f>
        <v>0</v>
      </c>
      <c r="U11" s="105">
        <f>SUMIFS('Plan prihoda za unos u SAP'!$G$3:$G$500,'Plan prihoda za unos u SAP'!$C$3:$C$500,"=63",'Plan prihoda za unos u SAP'!$K$3:$K$500,"=614")</f>
        <v>0</v>
      </c>
      <c r="V11" s="105">
        <f>SUMIFS('Plan prihoda za unos u SAP'!$G$3:$G$500,'Plan prihoda za unos u SAP'!$C$3:$C$500,"=71",'Plan prihoda za unos u SAP'!$K$3:$K$500,"=614")</f>
        <v>0</v>
      </c>
      <c r="W11" s="105">
        <f>SUMIFS('Plan prihoda za unos u SAP'!$G$3:$G$500,'Plan prihoda za unos u SAP'!$C$3:$C$500,"=81",'Plan prihoda za unos u SAP'!$K$3:$K$500,"=614")</f>
        <v>0</v>
      </c>
      <c r="X11" s="80"/>
      <c r="Y11" s="80"/>
      <c r="Z11" s="80"/>
      <c r="AA11" s="80"/>
      <c r="AB11" s="80"/>
      <c r="AC11" s="80"/>
    </row>
    <row r="12" spans="1:29" ht="12.75" customHeight="1">
      <c r="A12" s="80">
        <v>2021</v>
      </c>
      <c r="B12" s="103" t="s">
        <v>3368</v>
      </c>
      <c r="C12" s="104" t="s">
        <v>3369</v>
      </c>
      <c r="D12" s="90">
        <f t="shared" si="0"/>
        <v>0</v>
      </c>
      <c r="E12" s="105">
        <f>SUMIFS('Plan prihoda za unos u SAP'!$G$3:$G$500,'Plan prihoda za unos u SAP'!$C$3:$C$500,"=11",'Plan prihoda za unos u SAP'!$K$3:$K$500,"=631")</f>
        <v>0</v>
      </c>
      <c r="F12" s="105">
        <f>SUMIFS('Plan prihoda za unos u SAP'!$G$3:$G$500,'Plan prihoda za unos u SAP'!$C$3:$C$500,"=12",'Plan prihoda za unos u SAP'!$K$3:$K$500,"=631")</f>
        <v>0</v>
      </c>
      <c r="G12" s="105">
        <f>SUMIFS('Plan prihoda za unos u SAP'!$G$3:$G$500,'Plan prihoda za unos u SAP'!$C$3:$C$500,"=31",'Plan prihoda za unos u SAP'!$K$3:$K$500,"=631")</f>
        <v>0</v>
      </c>
      <c r="H12" s="105">
        <f>SUMIFS('Plan prihoda za unos u SAP'!$G$3:$G$500,'Plan prihoda za unos u SAP'!$C$3:$C$500,"=41",'Plan prihoda za unos u SAP'!$K$3:$K$500,"=631")</f>
        <v>0</v>
      </c>
      <c r="I12" s="105">
        <f>SUMIFS('Plan prihoda za unos u SAP'!$G$3:$G$500,'Plan prihoda za unos u SAP'!$C$3:$C$500,"=43",'Plan prihoda za unos u SAP'!$K$3:$K$500,"=631")</f>
        <v>0</v>
      </c>
      <c r="J12" s="105">
        <f>SUMIFS('Plan prihoda za unos u SAP'!$G$3:$G$500,'Plan prihoda za unos u SAP'!$C$3:$C$500,"=51",'Plan prihoda za unos u SAP'!$K$3:$K$500,"=631")</f>
        <v>0</v>
      </c>
      <c r="K12" s="105">
        <f>SUMIFS('Plan prihoda za unos u SAP'!$G$3:$G$500,'Plan prihoda za unos u SAP'!$C$3:$C$500,"=52",'Plan prihoda za unos u SAP'!$K$3:$K$500,"=631")</f>
        <v>0</v>
      </c>
      <c r="L12" s="105">
        <f>SUMIFS('Plan prihoda za unos u SAP'!$G$3:$G$500,'Plan prihoda za unos u SAP'!$C$3:$C$500,"=552",'Plan prihoda za unos u SAP'!$K$3:$K$500,"=631")</f>
        <v>0</v>
      </c>
      <c r="M12" s="105">
        <f>SUMIFS('Plan prihoda za unos u SAP'!$G$3:$G$500,'Plan prihoda za unos u SAP'!$C$3:$C$500,"=559",'Plan prihoda za unos u SAP'!$K$3:$K$500,"=631")</f>
        <v>0</v>
      </c>
      <c r="N12" s="105">
        <f>SUMIFS('Plan prihoda za unos u SAP'!$G$3:$G$500,'Plan prihoda za unos u SAP'!$C$3:$C$500,"=561",'Plan prihoda za unos u SAP'!$K$3:$K$500,"=631")</f>
        <v>0</v>
      </c>
      <c r="O12" s="105">
        <f>SUMIFS('Plan prihoda za unos u SAP'!$G$3:$G$500,'Plan prihoda za unos u SAP'!$C$3:$C$500,"=563",'Plan prihoda za unos u SAP'!$K$3:$K$500,"=631")</f>
        <v>0</v>
      </c>
      <c r="P12" s="105">
        <f>SUMIFS('Plan prihoda za unos u SAP'!$G$3:$G$500,'Plan prihoda za unos u SAP'!$C$3:$C$500,"=573",'Plan prihoda za unos u SAP'!$K$3:$K$500,"=631")</f>
        <v>0</v>
      </c>
      <c r="Q12" s="105">
        <f>SUMIFS('Plan prihoda za unos u SAP'!$G$3:$G$500,'Plan prihoda za unos u SAP'!$C$3:$C$500,"=575",'Plan prihoda za unos u SAP'!$K$3:$K$500,"=631")</f>
        <v>0</v>
      </c>
      <c r="R12" s="105">
        <f>SUMIFS('Plan prihoda za unos u SAP'!$G$3:$G$500,'Plan prihoda za unos u SAP'!$C$3:$C$500,"=576",'Plan prihoda za unos u SAP'!$K$3:$K$500,"=631")</f>
        <v>0</v>
      </c>
      <c r="S12" s="105">
        <f>SUMIFS('Plan prihoda za unos u SAP'!$G$3:$G$500,'Plan prihoda za unos u SAP'!$C$3:$C$500,"=581",'Plan prihoda za unos u SAP'!$K$3:$K$500,"=631")</f>
        <v>0</v>
      </c>
      <c r="T12" s="105">
        <f>SUMIFS('Plan prihoda za unos u SAP'!$G$3:$G$500,'Plan prihoda za unos u SAP'!$C$3:$C$500,"=61",'Plan prihoda za unos u SAP'!$K$3:$K$500,"=631")</f>
        <v>0</v>
      </c>
      <c r="U12" s="105">
        <f>SUMIFS('Plan prihoda za unos u SAP'!$G$3:$G$500,'Plan prihoda za unos u SAP'!$C$3:$C$500,"=63",'Plan prihoda za unos u SAP'!$K$3:$K$500,"=631")</f>
        <v>0</v>
      </c>
      <c r="V12" s="105">
        <f>SUMIFS('Plan prihoda za unos u SAP'!$G$3:$G$500,'Plan prihoda za unos u SAP'!$C$3:$C$500,"=71",'Plan prihoda za unos u SAP'!$K$3:$K$500,"=631")</f>
        <v>0</v>
      </c>
      <c r="W12" s="105">
        <f>SUMIFS('Plan prihoda za unos u SAP'!$G$3:$G$500,'Plan prihoda za unos u SAP'!$C$3:$C$500,"=81",'Plan prihoda za unos u SAP'!$K$3:$K$500,"=631")</f>
        <v>0</v>
      </c>
      <c r="X12" s="80"/>
      <c r="Y12" s="80"/>
      <c r="Z12" s="80"/>
      <c r="AA12" s="80"/>
      <c r="AB12" s="80"/>
      <c r="AC12" s="80"/>
    </row>
    <row r="13" spans="1:29" ht="12.75" customHeight="1">
      <c r="A13" s="80">
        <v>2021</v>
      </c>
      <c r="B13" s="88" t="s">
        <v>3370</v>
      </c>
      <c r="C13" s="89" t="s">
        <v>3371</v>
      </c>
      <c r="D13" s="90">
        <f t="shared" si="0"/>
        <v>300148410</v>
      </c>
      <c r="E13" s="105">
        <f>SUMIFS('Plan prihoda za unos u SAP'!$G$3:$G$500,'Plan prihoda za unos u SAP'!$C$3:$C$500,"=11",'Plan prihoda za unos u SAP'!$K$3:$K$500,"=632")</f>
        <v>0</v>
      </c>
      <c r="F13" s="105">
        <f>SUMIFS('Plan prihoda za unos u SAP'!$G$3:$G$500,'Plan prihoda za unos u SAP'!$C$3:$C$500,"=12",'Plan prihoda za unos u SAP'!$K$3:$K$500,"=632")</f>
        <v>0</v>
      </c>
      <c r="G13" s="105">
        <f>SUMIFS('Plan prihoda za unos u SAP'!$G$3:$G$500,'Plan prihoda za unos u SAP'!$C$3:$C$500,"=31",'Plan prihoda za unos u SAP'!$K$3:$K$500,"=632")</f>
        <v>0</v>
      </c>
      <c r="H13" s="105">
        <f>SUMIFS('Plan prihoda za unos u SAP'!$G$3:$G$500,'Plan prihoda za unos u SAP'!$C$3:$C$500,"=41",'Plan prihoda za unos u SAP'!$K$3:$K$500,"=632")</f>
        <v>0</v>
      </c>
      <c r="I13" s="105">
        <f>SUMIFS('Plan prihoda za unos u SAP'!$G$3:$G$500,'Plan prihoda za unos u SAP'!$C$3:$C$500,"=43",'Plan prihoda za unos u SAP'!$K$3:$K$500,"=632")</f>
        <v>0</v>
      </c>
      <c r="J13" s="105">
        <f>SUMIFS('Plan prihoda za unos u SAP'!$G$3:$G$500,'Plan prihoda za unos u SAP'!$C$3:$C$500,"=51",'Plan prihoda za unos u SAP'!$K$3:$K$500,"=632")</f>
        <v>279390</v>
      </c>
      <c r="K13" s="105">
        <f>SUMIFS('Plan prihoda za unos u SAP'!$G$3:$G$500,'Plan prihoda za unos u SAP'!$C$3:$C$500,"=52",'Plan prihoda za unos u SAP'!$K$3:$K$500,"=632")</f>
        <v>0</v>
      </c>
      <c r="L13" s="105">
        <f>SUMIFS('Plan prihoda za unos u SAP'!$G$3:$G$500,'Plan prihoda za unos u SAP'!$C$3:$C$500,"=552",'Plan prihoda za unos u SAP'!$K$3:$K$500,"=632")</f>
        <v>0</v>
      </c>
      <c r="M13" s="105">
        <f>SUMIFS('Plan prihoda za unos u SAP'!$G$3:$G$500,'Plan prihoda za unos u SAP'!$C$3:$C$500,"=559",'Plan prihoda za unos u SAP'!$K$3:$K$500,"=632")</f>
        <v>0</v>
      </c>
      <c r="N13" s="105">
        <f>SUMIFS('Plan prihoda za unos u SAP'!$G$3:$G$500,'Plan prihoda za unos u SAP'!$C$3:$C$500,"=561",'Plan prihoda za unos u SAP'!$K$3:$K$500,"=632")</f>
        <v>0</v>
      </c>
      <c r="O13" s="105">
        <f>SUMIFS('Plan prihoda za unos u SAP'!$G$3:$G$500,'Plan prihoda za unos u SAP'!$C$3:$C$500,"=563",'Plan prihoda za unos u SAP'!$K$3:$K$500,"=632")</f>
        <v>22045383</v>
      </c>
      <c r="P13" s="105">
        <f>SUMIFS('Plan prihoda za unos u SAP'!$G$3:$G$500,'Plan prihoda za unos u SAP'!$C$3:$C$500,"=573",'Plan prihoda za unos u SAP'!$K$3:$K$500,"=632")</f>
        <v>0</v>
      </c>
      <c r="Q13" s="105">
        <f>SUMIFS('Plan prihoda za unos u SAP'!$G$3:$G$500,'Plan prihoda za unos u SAP'!$C$3:$C$500,"=575",'Plan prihoda za unos u SAP'!$K$3:$K$500,"=632")</f>
        <v>0</v>
      </c>
      <c r="R13" s="105">
        <f>SUMIFS('Plan prihoda za unos u SAP'!$G$3:$G$500,'Plan prihoda za unos u SAP'!$C$3:$C$500,"=576",'Plan prihoda za unos u SAP'!$K$3:$K$500,"=632")</f>
        <v>175730498</v>
      </c>
      <c r="S13" s="105">
        <f>SUMIFS('Plan prihoda za unos u SAP'!$G$3:$G$500,'Plan prihoda za unos u SAP'!$C$3:$C$500,"=581",'Plan prihoda za unos u SAP'!$K$3:$K$500,"=632")</f>
        <v>102093139</v>
      </c>
      <c r="T13" s="105">
        <f>SUMIFS('Plan prihoda za unos u SAP'!$G$3:$G$500,'Plan prihoda za unos u SAP'!$C$3:$C$500,"=61",'Plan prihoda za unos u SAP'!$K$3:$K$500,"=632")</f>
        <v>0</v>
      </c>
      <c r="U13" s="105">
        <f>SUMIFS('Plan prihoda za unos u SAP'!$G$3:$G$500,'Plan prihoda za unos u SAP'!$C$3:$C$500,"=63",'Plan prihoda za unos u SAP'!$K$3:$K$500,"=632")</f>
        <v>0</v>
      </c>
      <c r="V13" s="105">
        <f>SUMIFS('Plan prihoda za unos u SAP'!$G$3:$G$500,'Plan prihoda za unos u SAP'!$C$3:$C$500,"=71",'Plan prihoda za unos u SAP'!$K$3:$K$500,"=632")</f>
        <v>0</v>
      </c>
      <c r="W13" s="105">
        <f>SUMIFS('Plan prihoda za unos u SAP'!$G$3:$G$500,'Plan prihoda za unos u SAP'!$C$3:$C$500,"=81",'Plan prihoda za unos u SAP'!$K$3:$K$500,"=632")</f>
        <v>0</v>
      </c>
      <c r="X13" s="80"/>
      <c r="Y13" s="80"/>
      <c r="Z13" s="80"/>
      <c r="AA13" s="80"/>
      <c r="AB13" s="80"/>
      <c r="AC13" s="80"/>
    </row>
    <row r="14" spans="1:29" ht="12.75" customHeight="1">
      <c r="A14" s="80">
        <v>2021</v>
      </c>
      <c r="B14" s="88" t="s">
        <v>3372</v>
      </c>
      <c r="C14" s="89" t="s">
        <v>3373</v>
      </c>
      <c r="D14" s="90">
        <f t="shared" si="0"/>
        <v>0</v>
      </c>
      <c r="E14" s="105">
        <f>SUMIFS('Plan prihoda za unos u SAP'!$G$3:$G$500,'Plan prihoda za unos u SAP'!$C$3:$C$500,"=11",'Plan prihoda za unos u SAP'!$K$3:$K$500,"=634")</f>
        <v>0</v>
      </c>
      <c r="F14" s="105">
        <f>SUMIFS('Plan prihoda za unos u SAP'!$G$3:$G$500,'Plan prihoda za unos u SAP'!$C$3:$C$500,"=12",'Plan prihoda za unos u SAP'!$K$3:$K$500,"=634")</f>
        <v>0</v>
      </c>
      <c r="G14" s="105">
        <f>SUMIFS('Plan prihoda za unos u SAP'!$G$3:$G$500,'Plan prihoda za unos u SAP'!$C$3:$C$500,"=31",'Plan prihoda za unos u SAP'!$K$3:$K$500,"=634")</f>
        <v>0</v>
      </c>
      <c r="H14" s="105">
        <f>SUMIFS('Plan prihoda za unos u SAP'!$G$3:$G$500,'Plan prihoda za unos u SAP'!$C$3:$C$500,"=41",'Plan prihoda za unos u SAP'!$K$3:$K$500,"=634")</f>
        <v>0</v>
      </c>
      <c r="I14" s="105">
        <f>SUMIFS('Plan prihoda za unos u SAP'!$G$3:$G$500,'Plan prihoda za unos u SAP'!$C$3:$C$500,"=43",'Plan prihoda za unos u SAP'!$K$3:$K$500,"=634")</f>
        <v>0</v>
      </c>
      <c r="J14" s="105">
        <f>SUMIFS('Plan prihoda za unos u SAP'!$G$3:$G$500,'Plan prihoda za unos u SAP'!$C$3:$C$500,"=51",'Plan prihoda za unos u SAP'!$K$3:$K$500,"=634")</f>
        <v>0</v>
      </c>
      <c r="K14" s="105">
        <f>SUMIFS('Plan prihoda za unos u SAP'!$G$3:$G$500,'Plan prihoda za unos u SAP'!$C$3:$C$500,"=52",'Plan prihoda za unos u SAP'!$K$3:$K$500,"=634")</f>
        <v>0</v>
      </c>
      <c r="L14" s="105">
        <f>SUMIFS('Plan prihoda za unos u SAP'!$G$3:$G$500,'Plan prihoda za unos u SAP'!$C$3:$C$500,"=552",'Plan prihoda za unos u SAP'!$K$3:$K$500,"=634")</f>
        <v>0</v>
      </c>
      <c r="M14" s="105">
        <f>SUMIFS('Plan prihoda za unos u SAP'!$G$3:$G$500,'Plan prihoda za unos u SAP'!$C$3:$C$500,"=559",'Plan prihoda za unos u SAP'!$K$3:$K$500,"=634")</f>
        <v>0</v>
      </c>
      <c r="N14" s="105">
        <f>SUMIFS('Plan prihoda za unos u SAP'!$G$3:$G$500,'Plan prihoda za unos u SAP'!$C$3:$C$500,"=561",'Plan prihoda za unos u SAP'!$K$3:$K$500,"=634")</f>
        <v>0</v>
      </c>
      <c r="O14" s="105">
        <f>SUMIFS('Plan prihoda za unos u SAP'!$G$3:$G$500,'Plan prihoda za unos u SAP'!$C$3:$C$500,"=563",'Plan prihoda za unos u SAP'!$K$3:$K$500,"=634")</f>
        <v>0</v>
      </c>
      <c r="P14" s="105">
        <f>SUMIFS('Plan prihoda za unos u SAP'!$G$3:$G$500,'Plan prihoda za unos u SAP'!$C$3:$C$500,"=573",'Plan prihoda za unos u SAP'!$K$3:$K$500,"=634")</f>
        <v>0</v>
      </c>
      <c r="Q14" s="105">
        <f>SUMIFS('Plan prihoda za unos u SAP'!$G$3:$G$500,'Plan prihoda za unos u SAP'!$C$3:$C$500,"=575",'Plan prihoda za unos u SAP'!$K$3:$K$500,"=634")</f>
        <v>0</v>
      </c>
      <c r="R14" s="105">
        <f>SUMIFS('Plan prihoda za unos u SAP'!$G$3:$G$500,'Plan prihoda za unos u SAP'!$C$3:$C$500,"=576",'Plan prihoda za unos u SAP'!$K$3:$K$500,"=634")</f>
        <v>0</v>
      </c>
      <c r="S14" s="105">
        <f>SUMIFS('Plan prihoda za unos u SAP'!$G$3:$G$500,'Plan prihoda za unos u SAP'!$C$3:$C$500,"=581",'Plan prihoda za unos u SAP'!$K$3:$K$500,"=634")</f>
        <v>0</v>
      </c>
      <c r="T14" s="105">
        <f>SUMIFS('Plan prihoda za unos u SAP'!$G$3:$G$500,'Plan prihoda za unos u SAP'!$C$3:$C$500,"=61",'Plan prihoda za unos u SAP'!$K$3:$K$500,"=634")</f>
        <v>0</v>
      </c>
      <c r="U14" s="105">
        <f>SUMIFS('Plan prihoda za unos u SAP'!$G$3:$G$500,'Plan prihoda za unos u SAP'!$C$3:$C$500,"=63",'Plan prihoda za unos u SAP'!$K$3:$K$500,"=634")</f>
        <v>0</v>
      </c>
      <c r="V14" s="105">
        <f>SUMIFS('Plan prihoda za unos u SAP'!$G$3:$G$500,'Plan prihoda za unos u SAP'!$C$3:$C$500,"=71",'Plan prihoda za unos u SAP'!$K$3:$K$500,"=634")</f>
        <v>0</v>
      </c>
      <c r="W14" s="105">
        <f>SUMIFS('Plan prihoda za unos u SAP'!$G$3:$G$500,'Plan prihoda za unos u SAP'!$C$3:$C$500,"=81",'Plan prihoda za unos u SAP'!$K$3:$K$500,"=634")</f>
        <v>0</v>
      </c>
      <c r="X14" s="80"/>
      <c r="Y14" s="80"/>
      <c r="Z14" s="80"/>
      <c r="AA14" s="80"/>
      <c r="AB14" s="80"/>
      <c r="AC14" s="80"/>
    </row>
    <row r="15" spans="1:29" ht="12.75" customHeight="1">
      <c r="A15" s="80">
        <v>2021</v>
      </c>
      <c r="B15" s="95" t="s">
        <v>3374</v>
      </c>
      <c r="C15" s="89" t="s">
        <v>3375</v>
      </c>
      <c r="D15" s="90">
        <f t="shared" si="0"/>
        <v>0</v>
      </c>
      <c r="E15" s="105">
        <f>SUMIFS('Plan prihoda za unos u SAP'!$G$3:$G$500,'Plan prihoda za unos u SAP'!$C$3:$C$500,"=11",'Plan prihoda za unos u SAP'!$K$3:$K$500,"=636")</f>
        <v>0</v>
      </c>
      <c r="F15" s="105">
        <f>SUMIFS('Plan prihoda za unos u SAP'!$G$3:$G$500,'Plan prihoda za unos u SAP'!$C$3:$C$500,"=12",'Plan prihoda za unos u SAP'!$K$3:$K$500,"=636")</f>
        <v>0</v>
      </c>
      <c r="G15" s="105">
        <f>SUMIFS('Plan prihoda za unos u SAP'!$G$3:$G$500,'Plan prihoda za unos u SAP'!$C$3:$C$500,"=31",'Plan prihoda za unos u SAP'!$K$3:$K$500,"=636")</f>
        <v>0</v>
      </c>
      <c r="H15" s="105">
        <f>SUMIFS('Plan prihoda za unos u SAP'!$G$3:$G$500,'Plan prihoda za unos u SAP'!$C$3:$C$500,"=41",'Plan prihoda za unos u SAP'!$K$3:$K$500,"=636")</f>
        <v>0</v>
      </c>
      <c r="I15" s="105">
        <f>SUMIFS('Plan prihoda za unos u SAP'!$G$3:$G$500,'Plan prihoda za unos u SAP'!$C$3:$C$500,"=43",'Plan prihoda za unos u SAP'!$K$3:$K$500,"=636")</f>
        <v>0</v>
      </c>
      <c r="J15" s="105">
        <f>SUMIFS('Plan prihoda za unos u SAP'!$G$3:$G$500,'Plan prihoda za unos u SAP'!$C$3:$C$500,"=51",'Plan prihoda za unos u SAP'!$K$3:$K$500,"=636")</f>
        <v>0</v>
      </c>
      <c r="K15" s="105">
        <f>SUMIFS('Plan prihoda za unos u SAP'!$G$3:$G$500,'Plan prihoda za unos u SAP'!$C$3:$C$500,"=52",'Plan prihoda za unos u SAP'!$K$3:$K$500,"=636")</f>
        <v>0</v>
      </c>
      <c r="L15" s="105">
        <f>SUMIFS('Plan prihoda za unos u SAP'!$G$3:$G$500,'Plan prihoda za unos u SAP'!$C$3:$C$500,"=552",'Plan prihoda za unos u SAP'!$K$3:$K$500,"=636")</f>
        <v>0</v>
      </c>
      <c r="M15" s="105">
        <f>SUMIFS('Plan prihoda za unos u SAP'!$G$3:$G$500,'Plan prihoda za unos u SAP'!$C$3:$C$500,"=559",'Plan prihoda za unos u SAP'!$K$3:$K$500,"=636")</f>
        <v>0</v>
      </c>
      <c r="N15" s="105">
        <f>SUMIFS('Plan prihoda za unos u SAP'!$G$3:$G$500,'Plan prihoda za unos u SAP'!$C$3:$C$500,"=561",'Plan prihoda za unos u SAP'!$K$3:$K$500,"=636")</f>
        <v>0</v>
      </c>
      <c r="O15" s="105">
        <f>SUMIFS('Plan prihoda za unos u SAP'!$G$3:$G$500,'Plan prihoda za unos u SAP'!$C$3:$C$500,"=563",'Plan prihoda za unos u SAP'!$K$3:$K$500,"=636")</f>
        <v>0</v>
      </c>
      <c r="P15" s="105">
        <f>SUMIFS('Plan prihoda za unos u SAP'!$G$3:$G$500,'Plan prihoda za unos u SAP'!$C$3:$C$500,"=573",'Plan prihoda za unos u SAP'!$K$3:$K$500,"=636")</f>
        <v>0</v>
      </c>
      <c r="Q15" s="105">
        <f>SUMIFS('Plan prihoda za unos u SAP'!$G$3:$G$500,'Plan prihoda za unos u SAP'!$C$3:$C$500,"=575",'Plan prihoda za unos u SAP'!$K$3:$K$500,"=636")</f>
        <v>0</v>
      </c>
      <c r="R15" s="105">
        <f>SUMIFS('Plan prihoda za unos u SAP'!$G$3:$G$500,'Plan prihoda za unos u SAP'!$C$3:$C$500,"=576",'Plan prihoda za unos u SAP'!$K$3:$K$500,"=636")</f>
        <v>0</v>
      </c>
      <c r="S15" s="105">
        <f>SUMIFS('Plan prihoda za unos u SAP'!$G$3:$G$500,'Plan prihoda za unos u SAP'!$C$3:$C$500,"=581",'Plan prihoda za unos u SAP'!$K$3:$K$500,"=636")</f>
        <v>0</v>
      </c>
      <c r="T15" s="105">
        <f>SUMIFS('Plan prihoda za unos u SAP'!$G$3:$G$500,'Plan prihoda za unos u SAP'!$C$3:$C$500,"=61",'Plan prihoda za unos u SAP'!$K$3:$K$500,"=636")</f>
        <v>0</v>
      </c>
      <c r="U15" s="105">
        <f>SUMIFS('Plan prihoda za unos u SAP'!$G$3:$G$500,'Plan prihoda za unos u SAP'!$C$3:$C$500,"=63",'Plan prihoda za unos u SAP'!$K$3:$K$500,"=636")</f>
        <v>0</v>
      </c>
      <c r="V15" s="105">
        <f>SUMIFS('Plan prihoda za unos u SAP'!$G$3:$G$500,'Plan prihoda za unos u SAP'!$C$3:$C$500,"=71",'Plan prihoda za unos u SAP'!$K$3:$K$500,"=636")</f>
        <v>0</v>
      </c>
      <c r="W15" s="105">
        <f>SUMIFS('Plan prihoda za unos u SAP'!$G$3:$G$500,'Plan prihoda za unos u SAP'!$C$3:$C$500,"=81",'Plan prihoda za unos u SAP'!$K$3:$K$500,"=636")</f>
        <v>0</v>
      </c>
      <c r="X15" s="80"/>
      <c r="Y15" s="80"/>
      <c r="Z15" s="80"/>
      <c r="AA15" s="80"/>
      <c r="AB15" s="80"/>
      <c r="AC15" s="80"/>
    </row>
    <row r="16" spans="1:29" ht="12.75" customHeight="1">
      <c r="A16" s="80">
        <v>2021</v>
      </c>
      <c r="B16" s="88" t="s">
        <v>3376</v>
      </c>
      <c r="C16" s="89" t="s">
        <v>3377</v>
      </c>
      <c r="D16" s="90">
        <f t="shared" si="0"/>
        <v>0</v>
      </c>
      <c r="E16" s="105">
        <f>SUMIFS('Plan prihoda za unos u SAP'!$G$3:$G$500,'Plan prihoda za unos u SAP'!$C$3:$C$500,"=11",'Plan prihoda za unos u SAP'!$K$3:$K$500,"=638")</f>
        <v>0</v>
      </c>
      <c r="F16" s="105">
        <f>SUMIFS('Plan prihoda za unos u SAP'!$G$3:$G$500,'Plan prihoda za unos u SAP'!$C$3:$C$500,"=12",'Plan prihoda za unos u SAP'!$K$3:$K$500,"=638")</f>
        <v>0</v>
      </c>
      <c r="G16" s="105">
        <f>SUMIFS('Plan prihoda za unos u SAP'!$G$3:$G$500,'Plan prihoda za unos u SAP'!$C$3:$C$500,"=31",'Plan prihoda za unos u SAP'!$K$3:$K$500,"=638")</f>
        <v>0</v>
      </c>
      <c r="H16" s="105">
        <f>SUMIFS('Plan prihoda za unos u SAP'!$G$3:$G$500,'Plan prihoda za unos u SAP'!$C$3:$C$500,"=41",'Plan prihoda za unos u SAP'!$K$3:$K$500,"=638")</f>
        <v>0</v>
      </c>
      <c r="I16" s="105">
        <f>SUMIFS('Plan prihoda za unos u SAP'!$G$3:$G$500,'Plan prihoda za unos u SAP'!$C$3:$C$500,"=43",'Plan prihoda za unos u SAP'!$K$3:$K$500,"=638")</f>
        <v>0</v>
      </c>
      <c r="J16" s="105">
        <f>SUMIFS('Plan prihoda za unos u SAP'!$G$3:$G$500,'Plan prihoda za unos u SAP'!$C$3:$C$500,"=51",'Plan prihoda za unos u SAP'!$K$3:$K$500,"=638")</f>
        <v>0</v>
      </c>
      <c r="K16" s="105">
        <f>SUMIFS('Plan prihoda za unos u SAP'!$G$3:$G$500,'Plan prihoda za unos u SAP'!$C$3:$C$500,"=52",'Plan prihoda za unos u SAP'!$K$3:$K$500,"=638")</f>
        <v>0</v>
      </c>
      <c r="L16" s="105">
        <f>SUMIFS('Plan prihoda za unos u SAP'!$G$3:$G$500,'Plan prihoda za unos u SAP'!$C$3:$C$500,"=552",'Plan prihoda za unos u SAP'!$K$3:$K$500,"=638")</f>
        <v>0</v>
      </c>
      <c r="M16" s="105">
        <f>SUMIFS('Plan prihoda za unos u SAP'!$G$3:$G$500,'Plan prihoda za unos u SAP'!$C$3:$C$500,"=559",'Plan prihoda za unos u SAP'!$K$3:$K$500,"=638")</f>
        <v>0</v>
      </c>
      <c r="N16" s="105">
        <f>SUMIFS('Plan prihoda za unos u SAP'!$G$3:$G$500,'Plan prihoda za unos u SAP'!$C$3:$C$500,"=561",'Plan prihoda za unos u SAP'!$K$3:$K$500,"=638")</f>
        <v>0</v>
      </c>
      <c r="O16" s="105">
        <f>SUMIFS('Plan prihoda za unos u SAP'!$G$3:$G$500,'Plan prihoda za unos u SAP'!$C$3:$C$500,"=563",'Plan prihoda za unos u SAP'!$K$3:$K$500,"=638")</f>
        <v>0</v>
      </c>
      <c r="P16" s="105">
        <f>SUMIFS('Plan prihoda za unos u SAP'!$G$3:$G$500,'Plan prihoda za unos u SAP'!$C$3:$C$500,"=573",'Plan prihoda za unos u SAP'!$K$3:$K$500,"=638")</f>
        <v>0</v>
      </c>
      <c r="Q16" s="105">
        <f>SUMIFS('Plan prihoda za unos u SAP'!$G$3:$G$500,'Plan prihoda za unos u SAP'!$C$3:$C$500,"=575",'Plan prihoda za unos u SAP'!$K$3:$K$500,"=638")</f>
        <v>0</v>
      </c>
      <c r="R16" s="105">
        <f>SUMIFS('Plan prihoda za unos u SAP'!$G$3:$G$500,'Plan prihoda za unos u SAP'!$C$3:$C$500,"=576",'Plan prihoda za unos u SAP'!$K$3:$K$500,"=638")</f>
        <v>0</v>
      </c>
      <c r="S16" s="105">
        <f>SUMIFS('Plan prihoda za unos u SAP'!$G$3:$G$500,'Plan prihoda za unos u SAP'!$C$3:$C$500,"=581",'Plan prihoda za unos u SAP'!$K$3:$K$500,"=638")</f>
        <v>0</v>
      </c>
      <c r="T16" s="105">
        <f>SUMIFS('Plan prihoda za unos u SAP'!$G$3:$G$500,'Plan prihoda za unos u SAP'!$C$3:$C$500,"=61",'Plan prihoda za unos u SAP'!$K$3:$K$500,"=638")</f>
        <v>0</v>
      </c>
      <c r="U16" s="105">
        <f>SUMIFS('Plan prihoda za unos u SAP'!$G$3:$G$500,'Plan prihoda za unos u SAP'!$C$3:$C$500,"=63",'Plan prihoda za unos u SAP'!$K$3:$K$500,"=638")</f>
        <v>0</v>
      </c>
      <c r="V16" s="105">
        <f>SUMIFS('Plan prihoda za unos u SAP'!$G$3:$G$500,'Plan prihoda za unos u SAP'!$C$3:$C$500,"=71",'Plan prihoda za unos u SAP'!$K$3:$K$500,"=638")</f>
        <v>0</v>
      </c>
      <c r="W16" s="105">
        <f>SUMIFS('Plan prihoda za unos u SAP'!$G$3:$G$500,'Plan prihoda za unos u SAP'!$C$3:$C$500,"=81",'Plan prihoda za unos u SAP'!$K$3:$K$500,"=638")</f>
        <v>0</v>
      </c>
      <c r="X16" s="80"/>
      <c r="Y16" s="80"/>
      <c r="Z16" s="80"/>
      <c r="AA16" s="80"/>
      <c r="AB16" s="80"/>
      <c r="AC16" s="80"/>
    </row>
    <row r="17" spans="1:29" ht="12.75" customHeight="1">
      <c r="A17" s="80">
        <v>2021</v>
      </c>
      <c r="B17" s="88" t="s">
        <v>3378</v>
      </c>
      <c r="C17" s="89" t="s">
        <v>3379</v>
      </c>
      <c r="D17" s="90">
        <f t="shared" si="0"/>
        <v>10728285</v>
      </c>
      <c r="E17" s="105">
        <f>SUMIFS('Plan prihoda za unos u SAP'!$G$3:$G$500,'Plan prihoda za unos u SAP'!$C$3:$C$500,"=11",'Plan prihoda za unos u SAP'!$K$3:$K$500,"=639")</f>
        <v>0</v>
      </c>
      <c r="F17" s="105">
        <f>SUMIFS('Plan prihoda za unos u SAP'!$G$3:$G$500,'Plan prihoda za unos u SAP'!$C$3:$C$500,"=12",'Plan prihoda za unos u SAP'!$K$3:$K$500,"=639")</f>
        <v>0</v>
      </c>
      <c r="G17" s="105">
        <f>SUMIFS('Plan prihoda za unos u SAP'!$G$3:$G$500,'Plan prihoda za unos u SAP'!$C$3:$C$500,"=31",'Plan prihoda za unos u SAP'!$K$3:$K$500,"=639")</f>
        <v>0</v>
      </c>
      <c r="H17" s="105">
        <f>SUMIFS('Plan prihoda za unos u SAP'!$G$3:$G$500,'Plan prihoda za unos u SAP'!$C$3:$C$500,"=41",'Plan prihoda za unos u SAP'!$K$3:$K$500,"=639")</f>
        <v>0</v>
      </c>
      <c r="I17" s="105">
        <f>SUMIFS('Plan prihoda za unos u SAP'!$G$3:$G$500,'Plan prihoda za unos u SAP'!$C$3:$C$500,"=43",'Plan prihoda za unos u SAP'!$K$3:$K$500,"=639")</f>
        <v>0</v>
      </c>
      <c r="J17" s="105">
        <f>SUMIFS('Plan prihoda za unos u SAP'!$G$3:$G$500,'Plan prihoda za unos u SAP'!$C$3:$C$500,"=51",'Plan prihoda za unos u SAP'!$K$3:$K$500,"=639")</f>
        <v>0</v>
      </c>
      <c r="K17" s="105">
        <f>SUMIFS('Plan prihoda za unos u SAP'!$G$3:$G$500,'Plan prihoda za unos u SAP'!$C$3:$C$500,"=52",'Plan prihoda za unos u SAP'!$K$3:$K$500,"=639")</f>
        <v>10728285</v>
      </c>
      <c r="L17" s="105">
        <f>SUMIFS('Plan prihoda za unos u SAP'!$G$3:$G$500,'Plan prihoda za unos u SAP'!$C$3:$C$500,"=552",'Plan prihoda za unos u SAP'!$K$3:$K$500,"=639")</f>
        <v>0</v>
      </c>
      <c r="M17" s="105">
        <f>SUMIFS('Plan prihoda za unos u SAP'!$G$3:$G$500,'Plan prihoda za unos u SAP'!$C$3:$C$500,"=559",'Plan prihoda za unos u SAP'!$K$3:$K$500,"=639")</f>
        <v>0</v>
      </c>
      <c r="N17" s="105">
        <f>SUMIFS('Plan prihoda za unos u SAP'!$G$3:$G$500,'Plan prihoda za unos u SAP'!$C$3:$C$500,"=561",'Plan prihoda za unos u SAP'!$K$3:$K$500,"=639")</f>
        <v>0</v>
      </c>
      <c r="O17" s="105">
        <f>SUMIFS('Plan prihoda za unos u SAP'!$G$3:$G$500,'Plan prihoda za unos u SAP'!$C$3:$C$500,"=563",'Plan prihoda za unos u SAP'!$K$3:$K$500,"=639")</f>
        <v>0</v>
      </c>
      <c r="P17" s="105">
        <f>SUMIFS('Plan prihoda za unos u SAP'!$G$3:$G$500,'Plan prihoda za unos u SAP'!$C$3:$C$500,"=573",'Plan prihoda za unos u SAP'!$K$3:$K$500,"=639")</f>
        <v>0</v>
      </c>
      <c r="Q17" s="105">
        <f>SUMIFS('Plan prihoda za unos u SAP'!$G$3:$G$500,'Plan prihoda za unos u SAP'!$C$3:$C$500,"=575",'Plan prihoda za unos u SAP'!$K$3:$K$500,"=639")</f>
        <v>0</v>
      </c>
      <c r="R17" s="105">
        <f>SUMIFS('Plan prihoda za unos u SAP'!$G$3:$G$500,'Plan prihoda za unos u SAP'!$C$3:$C$500,"=576",'Plan prihoda za unos u SAP'!$K$3:$K$500,"=639")</f>
        <v>0</v>
      </c>
      <c r="S17" s="105">
        <f>SUMIFS('Plan prihoda za unos u SAP'!$G$3:$G$500,'Plan prihoda za unos u SAP'!$C$3:$C$500,"=581",'Plan prihoda za unos u SAP'!$K$3:$K$500,"=639")</f>
        <v>0</v>
      </c>
      <c r="T17" s="105">
        <f>SUMIFS('Plan prihoda za unos u SAP'!$G$3:$G$500,'Plan prihoda za unos u SAP'!$C$3:$C$500,"=61",'Plan prihoda za unos u SAP'!$K$3:$K$500,"=639")</f>
        <v>0</v>
      </c>
      <c r="U17" s="105">
        <f>SUMIFS('Plan prihoda za unos u SAP'!$G$3:$G$500,'Plan prihoda za unos u SAP'!$C$3:$C$500,"=63",'Plan prihoda za unos u SAP'!$K$3:$K$500,"=639")</f>
        <v>0</v>
      </c>
      <c r="V17" s="105">
        <f>SUMIFS('Plan prihoda za unos u SAP'!$G$3:$G$500,'Plan prihoda za unos u SAP'!$C$3:$C$500,"=71",'Plan prihoda za unos u SAP'!$K$3:$K$500,"=639")</f>
        <v>0</v>
      </c>
      <c r="W17" s="105">
        <f>SUMIFS('Plan prihoda za unos u SAP'!$G$3:$G$500,'Plan prihoda za unos u SAP'!$C$3:$C$500,"=81",'Plan prihoda za unos u SAP'!$K$3:$K$500,"=639")</f>
        <v>0</v>
      </c>
      <c r="X17" s="80"/>
      <c r="Y17" s="80"/>
      <c r="Z17" s="80"/>
      <c r="AA17" s="80"/>
      <c r="AB17" s="80"/>
      <c r="AC17" s="80"/>
    </row>
    <row r="18" spans="1:29" ht="12.75" customHeight="1">
      <c r="A18" s="80">
        <v>2021</v>
      </c>
      <c r="B18" s="88" t="s">
        <v>3380</v>
      </c>
      <c r="C18" s="89" t="s">
        <v>3381</v>
      </c>
      <c r="D18" s="90">
        <f t="shared" si="0"/>
        <v>0</v>
      </c>
      <c r="E18" s="105">
        <f>SUMIFS('Plan prihoda za unos u SAP'!$G$3:$G$500,'Plan prihoda za unos u SAP'!$C$3:$C$500,"=11",'Plan prihoda za unos u SAP'!$K$3:$K$500,"=641")</f>
        <v>0</v>
      </c>
      <c r="F18" s="105">
        <f>SUMIFS('Plan prihoda za unos u SAP'!$G$3:$G$500,'Plan prihoda za unos u SAP'!$C$3:$C$500,"=12",'Plan prihoda za unos u SAP'!$K$3:$K$500,"=641")</f>
        <v>0</v>
      </c>
      <c r="G18" s="105">
        <f>SUMIFS('Plan prihoda za unos u SAP'!$G$3:$G$500,'Plan prihoda za unos u SAP'!$C$3:$C$500,"=31",'Plan prihoda za unos u SAP'!$K$3:$K$500,"=641")</f>
        <v>0</v>
      </c>
      <c r="H18" s="105">
        <f>SUMIFS('Plan prihoda za unos u SAP'!$G$3:$G$500,'Plan prihoda za unos u SAP'!$C$3:$C$500,"=41",'Plan prihoda za unos u SAP'!$K$3:$K$500,"=641")</f>
        <v>0</v>
      </c>
      <c r="I18" s="105">
        <f>SUMIFS('Plan prihoda za unos u SAP'!$G$3:$G$500,'Plan prihoda za unos u SAP'!$C$3:$C$500,"=43",'Plan prihoda za unos u SAP'!$K$3:$K$500,"=641")</f>
        <v>0</v>
      </c>
      <c r="J18" s="105">
        <f>SUMIFS('Plan prihoda za unos u SAP'!$G$3:$G$500,'Plan prihoda za unos u SAP'!$C$3:$C$500,"=51",'Plan prihoda za unos u SAP'!$K$3:$K$500,"=641")</f>
        <v>0</v>
      </c>
      <c r="K18" s="105">
        <f>SUMIFS('Plan prihoda za unos u SAP'!$G$3:$G$500,'Plan prihoda za unos u SAP'!$C$3:$C$500,"=52",'Plan prihoda za unos u SAP'!$K$3:$K$500,"=641")</f>
        <v>0</v>
      </c>
      <c r="L18" s="105">
        <f>SUMIFS('Plan prihoda za unos u SAP'!$G$3:$G$500,'Plan prihoda za unos u SAP'!$C$3:$C$500,"=552",'Plan prihoda za unos u SAP'!$K$3:$K$500,"=641")</f>
        <v>0</v>
      </c>
      <c r="M18" s="105">
        <f>SUMIFS('Plan prihoda za unos u SAP'!$G$3:$G$500,'Plan prihoda za unos u SAP'!$C$3:$C$500,"=559",'Plan prihoda za unos u SAP'!$K$3:$K$500,"=641")</f>
        <v>0</v>
      </c>
      <c r="N18" s="105">
        <f>SUMIFS('Plan prihoda za unos u SAP'!$G$3:$G$500,'Plan prihoda za unos u SAP'!$C$3:$C$500,"=561",'Plan prihoda za unos u SAP'!$K$3:$K$500,"=641")</f>
        <v>0</v>
      </c>
      <c r="O18" s="105">
        <f>SUMIFS('Plan prihoda za unos u SAP'!$G$3:$G$500,'Plan prihoda za unos u SAP'!$C$3:$C$500,"=563",'Plan prihoda za unos u SAP'!$K$3:$K$500,"=641")</f>
        <v>0</v>
      </c>
      <c r="P18" s="105">
        <f>SUMIFS('Plan prihoda za unos u SAP'!$G$3:$G$500,'Plan prihoda za unos u SAP'!$C$3:$C$500,"=573",'Plan prihoda za unos u SAP'!$K$3:$K$500,"=641")</f>
        <v>0</v>
      </c>
      <c r="Q18" s="105">
        <f>SUMIFS('Plan prihoda za unos u SAP'!$G$3:$G$500,'Plan prihoda za unos u SAP'!$C$3:$C$500,"=575",'Plan prihoda za unos u SAP'!$K$3:$K$500,"=641")</f>
        <v>0</v>
      </c>
      <c r="R18" s="105">
        <f>SUMIFS('Plan prihoda za unos u SAP'!$G$3:$G$500,'Plan prihoda za unos u SAP'!$C$3:$C$500,"=576",'Plan prihoda za unos u SAP'!$K$3:$K$500,"=641")</f>
        <v>0</v>
      </c>
      <c r="S18" s="105">
        <f>SUMIFS('Plan prihoda za unos u SAP'!$G$3:$G$500,'Plan prihoda za unos u SAP'!$C$3:$C$500,"=581",'Plan prihoda za unos u SAP'!$K$3:$K$500,"=641")</f>
        <v>0</v>
      </c>
      <c r="T18" s="105">
        <f>SUMIFS('Plan prihoda za unos u SAP'!$G$3:$G$500,'Plan prihoda za unos u SAP'!$C$3:$C$500,"=61",'Plan prihoda za unos u SAP'!$K$3:$K$500,"=641")</f>
        <v>0</v>
      </c>
      <c r="U18" s="105">
        <f>SUMIFS('Plan prihoda za unos u SAP'!$G$3:$G$500,'Plan prihoda za unos u SAP'!$C$3:$C$500,"=63",'Plan prihoda za unos u SAP'!$K$3:$K$500,"=641")</f>
        <v>0</v>
      </c>
      <c r="V18" s="105">
        <f>SUMIFS('Plan prihoda za unos u SAP'!$G$3:$G$500,'Plan prihoda za unos u SAP'!$C$3:$C$500,"=71",'Plan prihoda za unos u SAP'!$K$3:$K$500,"=641")</f>
        <v>0</v>
      </c>
      <c r="W18" s="105">
        <f>SUMIFS('Plan prihoda za unos u SAP'!$G$3:$G$500,'Plan prihoda za unos u SAP'!$C$3:$C$500,"=81",'Plan prihoda za unos u SAP'!$K$3:$K$500,"=641")</f>
        <v>0</v>
      </c>
      <c r="X18" s="80"/>
      <c r="Y18" s="80"/>
      <c r="Z18" s="80"/>
      <c r="AA18" s="80"/>
      <c r="AB18" s="80"/>
      <c r="AC18" s="80"/>
    </row>
    <row r="19" spans="1:29" ht="12.75" customHeight="1">
      <c r="A19" s="80">
        <v>2021</v>
      </c>
      <c r="B19" s="88" t="s">
        <v>3382</v>
      </c>
      <c r="C19" s="89" t="s">
        <v>3383</v>
      </c>
      <c r="D19" s="90">
        <f t="shared" si="0"/>
        <v>0</v>
      </c>
      <c r="E19" s="105">
        <f>SUMIFS('Plan prihoda za unos u SAP'!$G$3:$G$500,'Plan prihoda za unos u SAP'!$C$3:$C$500,"=11",'Plan prihoda za unos u SAP'!$K$3:$K$500,"=642")</f>
        <v>0</v>
      </c>
      <c r="F19" s="105">
        <f>SUMIFS('Plan prihoda za unos u SAP'!$G$3:$G$500,'Plan prihoda za unos u SAP'!$C$3:$C$500,"=12",'Plan prihoda za unos u SAP'!$K$3:$K$500,"=642")</f>
        <v>0</v>
      </c>
      <c r="G19" s="105">
        <f>SUMIFS('Plan prihoda za unos u SAP'!$G$3:$G$500,'Plan prihoda za unos u SAP'!$C$3:$C$500,"=31",'Plan prihoda za unos u SAP'!$K$3:$K$500,"=642")</f>
        <v>0</v>
      </c>
      <c r="H19" s="105">
        <f>SUMIFS('Plan prihoda za unos u SAP'!$G$3:$G$500,'Plan prihoda za unos u SAP'!$C$3:$C$500,"=41",'Plan prihoda za unos u SAP'!$K$3:$K$500,"=642")</f>
        <v>0</v>
      </c>
      <c r="I19" s="105">
        <f>SUMIFS('Plan prihoda za unos u SAP'!$G$3:$G$500,'Plan prihoda za unos u SAP'!$C$3:$C$500,"=43",'Plan prihoda za unos u SAP'!$K$3:$K$500,"=642")</f>
        <v>0</v>
      </c>
      <c r="J19" s="105">
        <f>SUMIFS('Plan prihoda za unos u SAP'!$G$3:$G$500,'Plan prihoda za unos u SAP'!$C$3:$C$500,"=51",'Plan prihoda za unos u SAP'!$K$3:$K$500,"=642")</f>
        <v>0</v>
      </c>
      <c r="K19" s="105">
        <f>SUMIFS('Plan prihoda za unos u SAP'!$G$3:$G$500,'Plan prihoda za unos u SAP'!$C$3:$C$500,"=52",'Plan prihoda za unos u SAP'!$K$3:$K$500,"=642")</f>
        <v>0</v>
      </c>
      <c r="L19" s="105">
        <f>SUMIFS('Plan prihoda za unos u SAP'!$G$3:$G$500,'Plan prihoda za unos u SAP'!$C$3:$C$500,"=552",'Plan prihoda za unos u SAP'!$K$3:$K$500,"=642")</f>
        <v>0</v>
      </c>
      <c r="M19" s="105">
        <f>SUMIFS('Plan prihoda za unos u SAP'!$G$3:$G$500,'Plan prihoda za unos u SAP'!$C$3:$C$500,"=559",'Plan prihoda za unos u SAP'!$K$3:$K$500,"=642")</f>
        <v>0</v>
      </c>
      <c r="N19" s="105">
        <f>SUMIFS('Plan prihoda za unos u SAP'!$G$3:$G$500,'Plan prihoda za unos u SAP'!$C$3:$C$500,"=561",'Plan prihoda za unos u SAP'!$K$3:$K$500,"=642")</f>
        <v>0</v>
      </c>
      <c r="O19" s="105">
        <f>SUMIFS('Plan prihoda za unos u SAP'!$G$3:$G$500,'Plan prihoda za unos u SAP'!$C$3:$C$500,"=563",'Plan prihoda za unos u SAP'!$K$3:$K$500,"=642")</f>
        <v>0</v>
      </c>
      <c r="P19" s="105">
        <f>SUMIFS('Plan prihoda za unos u SAP'!$G$3:$G$500,'Plan prihoda za unos u SAP'!$C$3:$C$500,"=573",'Plan prihoda za unos u SAP'!$K$3:$K$500,"=642")</f>
        <v>0</v>
      </c>
      <c r="Q19" s="105">
        <f>SUMIFS('Plan prihoda za unos u SAP'!$G$3:$G$500,'Plan prihoda za unos u SAP'!$C$3:$C$500,"=575",'Plan prihoda za unos u SAP'!$K$3:$K$500,"=642")</f>
        <v>0</v>
      </c>
      <c r="R19" s="105">
        <f>SUMIFS('Plan prihoda za unos u SAP'!$G$3:$G$500,'Plan prihoda za unos u SAP'!$C$3:$C$500,"=576",'Plan prihoda za unos u SAP'!$K$3:$K$500,"=642")</f>
        <v>0</v>
      </c>
      <c r="S19" s="105">
        <f>SUMIFS('Plan prihoda za unos u SAP'!$G$3:$G$500,'Plan prihoda za unos u SAP'!$C$3:$C$500,"=581",'Plan prihoda za unos u SAP'!$K$3:$K$500,"=642")</f>
        <v>0</v>
      </c>
      <c r="T19" s="105">
        <f>SUMIFS('Plan prihoda za unos u SAP'!$G$3:$G$500,'Plan prihoda za unos u SAP'!$C$3:$C$500,"=61",'Plan prihoda za unos u SAP'!$K$3:$K$500,"=642")</f>
        <v>0</v>
      </c>
      <c r="U19" s="105">
        <f>SUMIFS('Plan prihoda za unos u SAP'!$G$3:$G$500,'Plan prihoda za unos u SAP'!$C$3:$C$500,"=63",'Plan prihoda za unos u SAP'!$K$3:$K$500,"=642")</f>
        <v>0</v>
      </c>
      <c r="V19" s="105">
        <f>SUMIFS('Plan prihoda za unos u SAP'!$G$3:$G$500,'Plan prihoda za unos u SAP'!$C$3:$C$500,"=71",'Plan prihoda za unos u SAP'!$K$3:$K$500,"=642")</f>
        <v>0</v>
      </c>
      <c r="W19" s="105">
        <f>SUMIFS('Plan prihoda za unos u SAP'!$G$3:$G$500,'Plan prihoda za unos u SAP'!$C$3:$C$500,"=81",'Plan prihoda za unos u SAP'!$K$3:$K$500,"=642")</f>
        <v>0</v>
      </c>
      <c r="X19" s="80"/>
      <c r="Y19" s="80"/>
      <c r="Z19" s="80"/>
      <c r="AA19" s="80"/>
      <c r="AB19" s="80"/>
      <c r="AC19" s="80"/>
    </row>
    <row r="20" spans="1:29" ht="12.75" customHeight="1">
      <c r="A20" s="80">
        <v>2021</v>
      </c>
      <c r="B20" s="95" t="s">
        <v>3384</v>
      </c>
      <c r="C20" s="89" t="s">
        <v>3385</v>
      </c>
      <c r="D20" s="90">
        <f t="shared" si="0"/>
        <v>0</v>
      </c>
      <c r="E20" s="105">
        <f>SUMIFS('Plan prihoda za unos u SAP'!$G$3:$G$500,'Plan prihoda za unos u SAP'!$C$3:$C$500,"=11",'Plan prihoda za unos u SAP'!$K$3:$K$500,"=651")</f>
        <v>0</v>
      </c>
      <c r="F20" s="105">
        <f>SUMIFS('Plan prihoda za unos u SAP'!$G$3:$G$500,'Plan prihoda za unos u SAP'!$C$3:$C$500,"=12",'Plan prihoda za unos u SAP'!$K$3:$K$500,"=651")</f>
        <v>0</v>
      </c>
      <c r="G20" s="105">
        <f>SUMIFS('Plan prihoda za unos u SAP'!$G$3:$G$500,'Plan prihoda za unos u SAP'!$C$3:$C$500,"=31",'Plan prihoda za unos u SAP'!$K$3:$K$500,"=651")</f>
        <v>0</v>
      </c>
      <c r="H20" s="105">
        <f>SUMIFS('Plan prihoda za unos u SAP'!$G$3:$G$500,'Plan prihoda za unos u SAP'!$C$3:$C$500,"=41",'Plan prihoda za unos u SAP'!$K$3:$K$500,"=651")</f>
        <v>0</v>
      </c>
      <c r="I20" s="105">
        <f>SUMIFS('Plan prihoda za unos u SAP'!$G$3:$G$500,'Plan prihoda za unos u SAP'!$C$3:$C$500,"=43",'Plan prihoda za unos u SAP'!$K$3:$K$500,"=651")</f>
        <v>0</v>
      </c>
      <c r="J20" s="105">
        <f>SUMIFS('Plan prihoda za unos u SAP'!$G$3:$G$500,'Plan prihoda za unos u SAP'!$C$3:$C$500,"=51",'Plan prihoda za unos u SAP'!$K$3:$K$500,"=651")</f>
        <v>0</v>
      </c>
      <c r="K20" s="105">
        <f>SUMIFS('Plan prihoda za unos u SAP'!$G$3:$G$500,'Plan prihoda za unos u SAP'!$C$3:$C$500,"=52",'Plan prihoda za unos u SAP'!$K$3:$K$500,"=651")</f>
        <v>0</v>
      </c>
      <c r="L20" s="105">
        <f>SUMIFS('Plan prihoda za unos u SAP'!$G$3:$G$500,'Plan prihoda za unos u SAP'!$C$3:$C$500,"=552",'Plan prihoda za unos u SAP'!$K$3:$K$500,"=651")</f>
        <v>0</v>
      </c>
      <c r="M20" s="105">
        <f>SUMIFS('Plan prihoda za unos u SAP'!$G$3:$G$500,'Plan prihoda za unos u SAP'!$C$3:$C$500,"=559",'Plan prihoda za unos u SAP'!$K$3:$K$500,"=651")</f>
        <v>0</v>
      </c>
      <c r="N20" s="105">
        <f>SUMIFS('Plan prihoda za unos u SAP'!$G$3:$G$500,'Plan prihoda za unos u SAP'!$C$3:$C$500,"=561",'Plan prihoda za unos u SAP'!$K$3:$K$500,"=651")</f>
        <v>0</v>
      </c>
      <c r="O20" s="105">
        <f>SUMIFS('Plan prihoda za unos u SAP'!$G$3:$G$500,'Plan prihoda za unos u SAP'!$C$3:$C$500,"=563",'Plan prihoda za unos u SAP'!$K$3:$K$500,"=651")</f>
        <v>0</v>
      </c>
      <c r="P20" s="105">
        <f>SUMIFS('Plan prihoda za unos u SAP'!$G$3:$G$500,'Plan prihoda za unos u SAP'!$C$3:$C$500,"=573",'Plan prihoda za unos u SAP'!$K$3:$K$500,"=651")</f>
        <v>0</v>
      </c>
      <c r="Q20" s="105">
        <f>SUMIFS('Plan prihoda za unos u SAP'!$G$3:$G$500,'Plan prihoda za unos u SAP'!$C$3:$C$500,"=575",'Plan prihoda za unos u SAP'!$K$3:$K$500,"=651")</f>
        <v>0</v>
      </c>
      <c r="R20" s="105">
        <f>SUMIFS('Plan prihoda za unos u SAP'!$G$3:$G$500,'Plan prihoda za unos u SAP'!$C$3:$C$500,"=576",'Plan prihoda za unos u SAP'!$K$3:$K$500,"=651")</f>
        <v>0</v>
      </c>
      <c r="S20" s="105">
        <f>SUMIFS('Plan prihoda za unos u SAP'!$G$3:$G$500,'Plan prihoda za unos u SAP'!$C$3:$C$500,"=581",'Plan prihoda za unos u SAP'!$K$3:$K$500,"=651")</f>
        <v>0</v>
      </c>
      <c r="T20" s="105">
        <f>SUMIFS('Plan prihoda za unos u SAP'!$G$3:$G$500,'Plan prihoda za unos u SAP'!$C$3:$C$500,"=61",'Plan prihoda za unos u SAP'!$K$3:$K$500,"=651")</f>
        <v>0</v>
      </c>
      <c r="U20" s="105">
        <f>SUMIFS('Plan prihoda za unos u SAP'!$G$3:$G$500,'Plan prihoda za unos u SAP'!$C$3:$C$500,"=63",'Plan prihoda za unos u SAP'!$K$3:$K$500,"=651")</f>
        <v>0</v>
      </c>
      <c r="V20" s="105">
        <f>SUMIFS('Plan prihoda za unos u SAP'!$G$3:$G$500,'Plan prihoda za unos u SAP'!$C$3:$C$500,"=71",'Plan prihoda za unos u SAP'!$K$3:$K$500,"=651")</f>
        <v>0</v>
      </c>
      <c r="W20" s="105">
        <f>SUMIFS('Plan prihoda za unos u SAP'!$G$3:$G$500,'Plan prihoda za unos u SAP'!$C$3:$C$500,"=81",'Plan prihoda za unos u SAP'!$K$3:$K$500,"=651")</f>
        <v>0</v>
      </c>
      <c r="X20" s="80"/>
      <c r="Y20" s="80"/>
      <c r="Z20" s="80"/>
      <c r="AA20" s="80"/>
      <c r="AB20" s="80"/>
      <c r="AC20" s="80"/>
    </row>
    <row r="21" spans="1:29" ht="12.75" customHeight="1">
      <c r="A21" s="80">
        <v>2021</v>
      </c>
      <c r="B21" s="88" t="s">
        <v>3386</v>
      </c>
      <c r="C21" s="89" t="s">
        <v>3387</v>
      </c>
      <c r="D21" s="90">
        <f t="shared" si="0"/>
        <v>23000000</v>
      </c>
      <c r="E21" s="105">
        <f>SUMIFS('Plan prihoda za unos u SAP'!$G$3:$G$500,'Plan prihoda za unos u SAP'!$C$3:$C$500,"=11",'Plan prihoda za unos u SAP'!$K$3:$K$500,"=652")</f>
        <v>0</v>
      </c>
      <c r="F21" s="105">
        <f>SUMIFS('Plan prihoda za unos u SAP'!$G$3:$G$500,'Plan prihoda za unos u SAP'!$C$3:$C$500,"=12",'Plan prihoda za unos u SAP'!$K$3:$K$500,"=652")</f>
        <v>0</v>
      </c>
      <c r="G21" s="105">
        <f>SUMIFS('Plan prihoda za unos u SAP'!$G$3:$G$500,'Plan prihoda za unos u SAP'!$C$3:$C$500,"=31",'Plan prihoda za unos u SAP'!$K$3:$K$500,"=652")</f>
        <v>0</v>
      </c>
      <c r="H21" s="105">
        <f>SUMIFS('Plan prihoda za unos u SAP'!$G$3:$G$500,'Plan prihoda za unos u SAP'!$C$3:$C$500,"=41",'Plan prihoda za unos u SAP'!$K$3:$K$500,"=652")</f>
        <v>0</v>
      </c>
      <c r="I21" s="105">
        <f>SUMIFS('Plan prihoda za unos u SAP'!$G$3:$G$500,'Plan prihoda za unos u SAP'!$C$3:$C$500,"=43",'Plan prihoda za unos u SAP'!$K$3:$K$500,"=652")</f>
        <v>23000000</v>
      </c>
      <c r="J21" s="105">
        <f>SUMIFS('Plan prihoda za unos u SAP'!$G$3:$G$500,'Plan prihoda za unos u SAP'!$C$3:$C$500,"=51",'Plan prihoda za unos u SAP'!$K$3:$K$500,"=652")</f>
        <v>0</v>
      </c>
      <c r="K21" s="105">
        <f>SUMIFS('Plan prihoda za unos u SAP'!$G$3:$G$500,'Plan prihoda za unos u SAP'!$C$3:$C$500,"=52",'Plan prihoda za unos u SAP'!$K$3:$K$500,"=652")</f>
        <v>0</v>
      </c>
      <c r="L21" s="105">
        <f>SUMIFS('Plan prihoda za unos u SAP'!$G$3:$G$500,'Plan prihoda za unos u SAP'!$C$3:$C$500,"=552",'Plan prihoda za unos u SAP'!$K$3:$K$500,"=652")</f>
        <v>0</v>
      </c>
      <c r="M21" s="105">
        <f>SUMIFS('Plan prihoda za unos u SAP'!$G$3:$G$500,'Plan prihoda za unos u SAP'!$C$3:$C$500,"=559",'Plan prihoda za unos u SAP'!$K$3:$K$500,"=652")</f>
        <v>0</v>
      </c>
      <c r="N21" s="105">
        <f>SUMIFS('Plan prihoda za unos u SAP'!$G$3:$G$500,'Plan prihoda za unos u SAP'!$C$3:$C$500,"=561",'Plan prihoda za unos u SAP'!$K$3:$K$500,"=652")</f>
        <v>0</v>
      </c>
      <c r="O21" s="105">
        <f>SUMIFS('Plan prihoda za unos u SAP'!$G$3:$G$500,'Plan prihoda za unos u SAP'!$C$3:$C$500,"=563",'Plan prihoda za unos u SAP'!$K$3:$K$500,"=652")</f>
        <v>0</v>
      </c>
      <c r="P21" s="105">
        <f>SUMIFS('Plan prihoda za unos u SAP'!$G$3:$G$500,'Plan prihoda za unos u SAP'!$C$3:$C$500,"=573",'Plan prihoda za unos u SAP'!$K$3:$K$500,"=652")</f>
        <v>0</v>
      </c>
      <c r="Q21" s="105">
        <f>SUMIFS('Plan prihoda za unos u SAP'!$G$3:$G$500,'Plan prihoda za unos u SAP'!$C$3:$C$500,"=575",'Plan prihoda za unos u SAP'!$K$3:$K$500,"=652")</f>
        <v>0</v>
      </c>
      <c r="R21" s="105">
        <f>SUMIFS('Plan prihoda za unos u SAP'!$G$3:$G$500,'Plan prihoda za unos u SAP'!$C$3:$C$500,"=576",'Plan prihoda za unos u SAP'!$K$3:$K$500,"=652")</f>
        <v>0</v>
      </c>
      <c r="S21" s="105">
        <f>SUMIFS('Plan prihoda za unos u SAP'!$G$3:$G$500,'Plan prihoda za unos u SAP'!$C$3:$C$500,"=581",'Plan prihoda za unos u SAP'!$K$3:$K$500,"=652")</f>
        <v>0</v>
      </c>
      <c r="T21" s="105">
        <f>SUMIFS('Plan prihoda za unos u SAP'!$G$3:$G$500,'Plan prihoda za unos u SAP'!$C$3:$C$500,"=61",'Plan prihoda za unos u SAP'!$K$3:$K$500,"=652")</f>
        <v>0</v>
      </c>
      <c r="U21" s="105">
        <f>SUMIFS('Plan prihoda za unos u SAP'!$G$3:$G$500,'Plan prihoda za unos u SAP'!$C$3:$C$500,"=63",'Plan prihoda za unos u SAP'!$K$3:$K$500,"=652")</f>
        <v>0</v>
      </c>
      <c r="V21" s="105">
        <f>SUMIFS('Plan prihoda za unos u SAP'!$G$3:$G$500,'Plan prihoda za unos u SAP'!$C$3:$C$500,"=71",'Plan prihoda za unos u SAP'!$K$3:$K$500,"=652")</f>
        <v>0</v>
      </c>
      <c r="W21" s="105">
        <f>SUMIFS('Plan prihoda za unos u SAP'!$G$3:$G$500,'Plan prihoda za unos u SAP'!$C$3:$C$500,"=81",'Plan prihoda za unos u SAP'!$K$3:$K$500,"=652")</f>
        <v>0</v>
      </c>
      <c r="X21" s="80"/>
      <c r="Y21" s="80"/>
      <c r="Z21" s="80"/>
      <c r="AA21" s="80"/>
      <c r="AB21" s="80"/>
      <c r="AC21" s="80"/>
    </row>
    <row r="22" spans="1:29" ht="12.75" customHeight="1">
      <c r="A22" s="80">
        <v>2021</v>
      </c>
      <c r="B22" s="88" t="s">
        <v>3388</v>
      </c>
      <c r="C22" s="89" t="s">
        <v>3389</v>
      </c>
      <c r="D22" s="90">
        <f t="shared" si="0"/>
        <v>13343782</v>
      </c>
      <c r="E22" s="105">
        <f>SUMIFS('Plan prihoda za unos u SAP'!$G$3:$G$500,'Plan prihoda za unos u SAP'!$C$3:$C$500,"=11",'Plan prihoda za unos u SAP'!$K$3:$K$500,"=661")</f>
        <v>0</v>
      </c>
      <c r="F22" s="105">
        <f>SUMIFS('Plan prihoda za unos u SAP'!$G$3:$G$500,'Plan prihoda za unos u SAP'!$C$3:$C$500,"=12",'Plan prihoda za unos u SAP'!$K$3:$K$500,"=661")</f>
        <v>0</v>
      </c>
      <c r="G22" s="105">
        <f>SUMIFS('Plan prihoda za unos u SAP'!$G$3:$G$500,'Plan prihoda za unos u SAP'!$C$3:$C$500,"=31",'Plan prihoda za unos u SAP'!$K$3:$K$500,"=661")</f>
        <v>13343782</v>
      </c>
      <c r="H22" s="105">
        <f>SUMIFS('Plan prihoda za unos u SAP'!$G$3:$G$500,'Plan prihoda za unos u SAP'!$C$3:$C$500,"=41",'Plan prihoda za unos u SAP'!$K$3:$K$500,"=661")</f>
        <v>0</v>
      </c>
      <c r="I22" s="105">
        <f>SUMIFS('Plan prihoda za unos u SAP'!$G$3:$G$500,'Plan prihoda za unos u SAP'!$C$3:$C$500,"=43",'Plan prihoda za unos u SAP'!$K$3:$K$500,"=661")</f>
        <v>0</v>
      </c>
      <c r="J22" s="105">
        <f>SUMIFS('Plan prihoda za unos u SAP'!$G$3:$G$500,'Plan prihoda za unos u SAP'!$C$3:$C$500,"=51",'Plan prihoda za unos u SAP'!$K$3:$K$500,"=661")</f>
        <v>0</v>
      </c>
      <c r="K22" s="105">
        <f>SUMIFS('Plan prihoda za unos u SAP'!$G$3:$G$500,'Plan prihoda za unos u SAP'!$C$3:$C$500,"=52",'Plan prihoda za unos u SAP'!$K$3:$K$500,"=661")</f>
        <v>0</v>
      </c>
      <c r="L22" s="105">
        <f>SUMIFS('Plan prihoda za unos u SAP'!$G$3:$G$500,'Plan prihoda za unos u SAP'!$C$3:$C$500,"=552",'Plan prihoda za unos u SAP'!$K$3:$K$500,"=661")</f>
        <v>0</v>
      </c>
      <c r="M22" s="105">
        <f>SUMIFS('Plan prihoda za unos u SAP'!$G$3:$G$500,'Plan prihoda za unos u SAP'!$C$3:$C$500,"=559",'Plan prihoda za unos u SAP'!$K$3:$K$500,"=661")</f>
        <v>0</v>
      </c>
      <c r="N22" s="105">
        <f>SUMIFS('Plan prihoda za unos u SAP'!$G$3:$G$500,'Plan prihoda za unos u SAP'!$C$3:$C$500,"=561",'Plan prihoda za unos u SAP'!$K$3:$K$500,"=661")</f>
        <v>0</v>
      </c>
      <c r="O22" s="105">
        <f>SUMIFS('Plan prihoda za unos u SAP'!$G$3:$G$500,'Plan prihoda za unos u SAP'!$C$3:$C$500,"=563",'Plan prihoda za unos u SAP'!$K$3:$K$500,"=661")</f>
        <v>0</v>
      </c>
      <c r="P22" s="105">
        <f>SUMIFS('Plan prihoda za unos u SAP'!$G$3:$G$500,'Plan prihoda za unos u SAP'!$C$3:$C$500,"=573",'Plan prihoda za unos u SAP'!$K$3:$K$500,"=661")</f>
        <v>0</v>
      </c>
      <c r="Q22" s="105">
        <f>SUMIFS('Plan prihoda za unos u SAP'!$G$3:$G$500,'Plan prihoda za unos u SAP'!$C$3:$C$500,"=575",'Plan prihoda za unos u SAP'!$K$3:$K$500,"=661")</f>
        <v>0</v>
      </c>
      <c r="R22" s="105">
        <f>SUMIFS('Plan prihoda za unos u SAP'!$G$3:$G$500,'Plan prihoda za unos u SAP'!$C$3:$C$500,"=576",'Plan prihoda za unos u SAP'!$K$3:$K$500,"=661")</f>
        <v>0</v>
      </c>
      <c r="S22" s="105">
        <f>SUMIFS('Plan prihoda za unos u SAP'!$G$3:$G$500,'Plan prihoda za unos u SAP'!$C$3:$C$500,"=581",'Plan prihoda za unos u SAP'!$K$3:$K$500,"=661")</f>
        <v>0</v>
      </c>
      <c r="T22" s="105">
        <f>SUMIFS('Plan prihoda za unos u SAP'!$G$3:$G$500,'Plan prihoda za unos u SAP'!$C$3:$C$500,"=61",'Plan prihoda za unos u SAP'!$K$3:$K$500,"=661")</f>
        <v>0</v>
      </c>
      <c r="U22" s="105">
        <f>SUMIFS('Plan prihoda za unos u SAP'!$G$3:$G$500,'Plan prihoda za unos u SAP'!$C$3:$C$500,"=63",'Plan prihoda za unos u SAP'!$K$3:$K$500,"=661")</f>
        <v>0</v>
      </c>
      <c r="V22" s="105">
        <f>SUMIFS('Plan prihoda za unos u SAP'!$G$3:$G$500,'Plan prihoda za unos u SAP'!$C$3:$C$500,"=71",'Plan prihoda za unos u SAP'!$K$3:$K$500,"=661")</f>
        <v>0</v>
      </c>
      <c r="W22" s="105">
        <f>SUMIFS('Plan prihoda za unos u SAP'!$G$3:$G$500,'Plan prihoda za unos u SAP'!$C$3:$C$500,"=81",'Plan prihoda za unos u SAP'!$K$3:$K$500,"=661")</f>
        <v>0</v>
      </c>
      <c r="X22" s="80"/>
      <c r="Y22" s="80"/>
      <c r="Z22" s="80"/>
      <c r="AA22" s="80"/>
      <c r="AB22" s="80"/>
      <c r="AC22" s="80"/>
    </row>
    <row r="23" spans="1:29" ht="12.75" customHeight="1">
      <c r="A23" s="80">
        <v>2021</v>
      </c>
      <c r="B23" s="88" t="s">
        <v>3390</v>
      </c>
      <c r="C23" s="89" t="s">
        <v>3391</v>
      </c>
      <c r="D23" s="90">
        <f t="shared" si="0"/>
        <v>505000</v>
      </c>
      <c r="E23" s="105">
        <f>SUMIFS('Plan prihoda za unos u SAP'!$G$3:$G$500,'Plan prihoda za unos u SAP'!$C$3:$C$500,"=11",'Plan prihoda za unos u SAP'!$K$3:$K$500,"=663")</f>
        <v>0</v>
      </c>
      <c r="F23" s="105">
        <f>SUMIFS('Plan prihoda za unos u SAP'!$G$3:$G$500,'Plan prihoda za unos u SAP'!$C$3:$C$500,"=12",'Plan prihoda za unos u SAP'!$K$3:$K$500,"=663")</f>
        <v>0</v>
      </c>
      <c r="G23" s="105">
        <f>SUMIFS('Plan prihoda za unos u SAP'!$G$3:$G$500,'Plan prihoda za unos u SAP'!$C$3:$C$500,"=31",'Plan prihoda za unos u SAP'!$K$3:$K$500,"=663")</f>
        <v>0</v>
      </c>
      <c r="H23" s="105">
        <f>SUMIFS('Plan prihoda za unos u SAP'!$G$3:$G$500,'Plan prihoda za unos u SAP'!$C$3:$C$500,"=41",'Plan prihoda za unos u SAP'!$K$3:$K$500,"=663")</f>
        <v>0</v>
      </c>
      <c r="I23" s="105">
        <f>SUMIFS('Plan prihoda za unos u SAP'!$G$3:$G$500,'Plan prihoda za unos u SAP'!$C$3:$C$500,"=43",'Plan prihoda za unos u SAP'!$K$3:$K$500,"=663")</f>
        <v>0</v>
      </c>
      <c r="J23" s="105">
        <f>SUMIFS('Plan prihoda za unos u SAP'!$G$3:$G$500,'Plan prihoda za unos u SAP'!$C$3:$C$500,"=51",'Plan prihoda za unos u SAP'!$K$3:$K$500,"=663")</f>
        <v>0</v>
      </c>
      <c r="K23" s="105">
        <f>SUMIFS('Plan prihoda za unos u SAP'!$G$3:$G$500,'Plan prihoda za unos u SAP'!$C$3:$C$500,"=52",'Plan prihoda za unos u SAP'!$K$3:$K$500,"=663")</f>
        <v>0</v>
      </c>
      <c r="L23" s="105">
        <f>SUMIFS('Plan prihoda za unos u SAP'!$G$3:$G$500,'Plan prihoda za unos u SAP'!$C$3:$C$500,"=552",'Plan prihoda za unos u SAP'!$K$3:$K$500,"=663")</f>
        <v>0</v>
      </c>
      <c r="M23" s="105">
        <f>SUMIFS('Plan prihoda za unos u SAP'!$G$3:$G$500,'Plan prihoda za unos u SAP'!$C$3:$C$500,"=559",'Plan prihoda za unos u SAP'!$K$3:$K$500,"=663")</f>
        <v>0</v>
      </c>
      <c r="N23" s="105">
        <f>SUMIFS('Plan prihoda za unos u SAP'!$G$3:$G$500,'Plan prihoda za unos u SAP'!$C$3:$C$500,"=561",'Plan prihoda za unos u SAP'!$K$3:$K$500,"=663")</f>
        <v>0</v>
      </c>
      <c r="O23" s="105">
        <f>SUMIFS('Plan prihoda za unos u SAP'!$G$3:$G$500,'Plan prihoda za unos u SAP'!$C$3:$C$500,"=563",'Plan prihoda za unos u SAP'!$K$3:$K$500,"=663")</f>
        <v>0</v>
      </c>
      <c r="P23" s="105">
        <f>SUMIFS('Plan prihoda za unos u SAP'!$G$3:$G$500,'Plan prihoda za unos u SAP'!$C$3:$C$500,"=573",'Plan prihoda za unos u SAP'!$K$3:$K$500,"=663")</f>
        <v>0</v>
      </c>
      <c r="Q23" s="105">
        <f>SUMIFS('Plan prihoda za unos u SAP'!$G$3:$G$500,'Plan prihoda za unos u SAP'!$C$3:$C$500,"=575",'Plan prihoda za unos u SAP'!$K$3:$K$500,"=663")</f>
        <v>0</v>
      </c>
      <c r="R23" s="105">
        <f>SUMIFS('Plan prihoda za unos u SAP'!$G$3:$G$500,'Plan prihoda za unos u SAP'!$C$3:$C$500,"=576",'Plan prihoda za unos u SAP'!$K$3:$K$500,"=663")</f>
        <v>0</v>
      </c>
      <c r="S23" s="105">
        <f>SUMIFS('Plan prihoda za unos u SAP'!$G$3:$G$500,'Plan prihoda za unos u SAP'!$C$3:$C$500,"=581",'Plan prihoda za unos u SAP'!$K$3:$K$500,"=663")</f>
        <v>0</v>
      </c>
      <c r="T23" s="105">
        <f>SUMIFS('Plan prihoda za unos u SAP'!$G$3:$G$500,'Plan prihoda za unos u SAP'!$C$3:$C$500,"=61",'Plan prihoda za unos u SAP'!$K$3:$K$500,"=663")</f>
        <v>505000</v>
      </c>
      <c r="U23" s="105">
        <f>SUMIFS('Plan prihoda za unos u SAP'!$G$3:$G$500,'Plan prihoda za unos u SAP'!$C$3:$C$500,"=63",'Plan prihoda za unos u SAP'!$K$3:$K$500,"=663")</f>
        <v>0</v>
      </c>
      <c r="V23" s="105">
        <f>SUMIFS('Plan prihoda za unos u SAP'!$G$3:$G$500,'Plan prihoda za unos u SAP'!$C$3:$C$500,"=71",'Plan prihoda za unos u SAP'!$K$3:$K$500,"=663")</f>
        <v>0</v>
      </c>
      <c r="W23" s="105">
        <f>SUMIFS('Plan prihoda za unos u SAP'!$G$3:$G$500,'Plan prihoda za unos u SAP'!$C$3:$C$500,"=81",'Plan prihoda za unos u SAP'!$K$3:$K$500,"=663")</f>
        <v>0</v>
      </c>
      <c r="X23" s="80"/>
      <c r="Y23" s="80"/>
      <c r="Z23" s="80"/>
      <c r="AA23" s="80"/>
      <c r="AB23" s="80"/>
      <c r="AC23" s="80"/>
    </row>
    <row r="24" spans="1:29" ht="12.75" customHeight="1">
      <c r="A24" s="80">
        <v>2021</v>
      </c>
      <c r="B24" s="88" t="s">
        <v>3392</v>
      </c>
      <c r="C24" s="89" t="s">
        <v>483</v>
      </c>
      <c r="D24" s="90">
        <f t="shared" si="0"/>
        <v>138511770</v>
      </c>
      <c r="E24" s="105">
        <f>SUMIFS('Plan prihoda za unos u SAP'!$G$3:$G$500,'Plan prihoda za unos u SAP'!$C$3:$C$500,"=11",'Plan prihoda za unos u SAP'!$K$3:$K$500,"=671")</f>
        <v>138511770</v>
      </c>
      <c r="F24" s="105">
        <f>SUMIFS('Plan prihoda za unos u SAP'!$G$3:$G$500,'Plan prihoda za unos u SAP'!$C$3:$C$500,"=12",'Plan prihoda za unos u SAP'!$K$3:$K$500,"=671")</f>
        <v>0</v>
      </c>
      <c r="G24" s="105">
        <f>SUMIFS('Plan prihoda za unos u SAP'!$G$3:$G$500,'Plan prihoda za unos u SAP'!$C$3:$C$500,"=31",'Plan prihoda za unos u SAP'!$K$3:$K$500,"=671")</f>
        <v>0</v>
      </c>
      <c r="H24" s="105">
        <f>SUMIFS('Plan prihoda za unos u SAP'!$G$3:$G$500,'Plan prihoda za unos u SAP'!$C$3:$C$500,"=41",'Plan prihoda za unos u SAP'!$K$3:$K$500,"=671")</f>
        <v>0</v>
      </c>
      <c r="I24" s="105">
        <f>SUMIFS('Plan prihoda za unos u SAP'!$G$3:$G$500,'Plan prihoda za unos u SAP'!$C$3:$C$500,"=43",'Plan prihoda za unos u SAP'!$K$3:$K$500,"=671")</f>
        <v>0</v>
      </c>
      <c r="J24" s="105">
        <f>SUMIFS('Plan prihoda za unos u SAP'!$G$3:$G$500,'Plan prihoda za unos u SAP'!$C$3:$C$500,"=51",'Plan prihoda za unos u SAP'!$K$3:$K$500,"=671")</f>
        <v>0</v>
      </c>
      <c r="K24" s="105">
        <f>SUMIFS('Plan prihoda za unos u SAP'!$G$3:$G$500,'Plan prihoda za unos u SAP'!$C$3:$C$500,"=52",'Plan prihoda za unos u SAP'!$K$3:$K$500,"=671")</f>
        <v>0</v>
      </c>
      <c r="L24" s="105">
        <f>SUMIFS('Plan prihoda za unos u SAP'!$G$3:$G$500,'Plan prihoda za unos u SAP'!$C$3:$C$500,"=552",'Plan prihoda za unos u SAP'!$K$3:$K$500,"=671")</f>
        <v>0</v>
      </c>
      <c r="M24" s="105">
        <f>SUMIFS('Plan prihoda za unos u SAP'!$G$3:$G$500,'Plan prihoda za unos u SAP'!$C$3:$C$500,"=559",'Plan prihoda za unos u SAP'!$K$3:$K$500,"=671")</f>
        <v>0</v>
      </c>
      <c r="N24" s="105">
        <f>SUMIFS('Plan prihoda za unos u SAP'!$G$3:$G$500,'Plan prihoda za unos u SAP'!$C$3:$C$500,"=561",'Plan prihoda za unos u SAP'!$K$3:$K$500,"=671")</f>
        <v>0</v>
      </c>
      <c r="O24" s="105">
        <f>SUMIFS('Plan prihoda za unos u SAP'!$G$3:$G$500,'Plan prihoda za unos u SAP'!$C$3:$C$500,"=563",'Plan prihoda za unos u SAP'!$K$3:$K$500,"=671")</f>
        <v>0</v>
      </c>
      <c r="P24" s="105">
        <f>SUMIFS('Plan prihoda za unos u SAP'!$G$3:$G$500,'Plan prihoda za unos u SAP'!$C$3:$C$500,"=573",'Plan prihoda za unos u SAP'!$K$3:$K$500,"=671")</f>
        <v>0</v>
      </c>
      <c r="Q24" s="105">
        <f>SUMIFS('Plan prihoda za unos u SAP'!$G$3:$G$500,'Plan prihoda za unos u SAP'!$C$3:$C$500,"=575",'Plan prihoda za unos u SAP'!$K$3:$K$500,"=671")</f>
        <v>0</v>
      </c>
      <c r="R24" s="105">
        <f>SUMIFS('Plan prihoda za unos u SAP'!$G$3:$G$500,'Plan prihoda za unos u SAP'!$C$3:$C$500,"=576",'Plan prihoda za unos u SAP'!$K$3:$K$500,"=671")</f>
        <v>0</v>
      </c>
      <c r="S24" s="105">
        <f>SUMIFS('Plan prihoda za unos u SAP'!$G$3:$G$500,'Plan prihoda za unos u SAP'!$C$3:$C$500,"=581",'Plan prihoda za unos u SAP'!$K$3:$K$500,"=671")</f>
        <v>0</v>
      </c>
      <c r="T24" s="105">
        <f>SUMIFS('Plan prihoda za unos u SAP'!$G$3:$G$500,'Plan prihoda za unos u SAP'!$C$3:$C$500,"=61",'Plan prihoda za unos u SAP'!$K$3:$K$500,"=671")</f>
        <v>0</v>
      </c>
      <c r="U24" s="105">
        <f>SUMIFS('Plan prihoda za unos u SAP'!$G$3:$G$500,'Plan prihoda za unos u SAP'!$C$3:$C$500,"=63",'Plan prihoda za unos u SAP'!$K$3:$K$500,"=671")</f>
        <v>0</v>
      </c>
      <c r="V24" s="105">
        <f>SUMIFS('Plan prihoda za unos u SAP'!$G$3:$G$500,'Plan prihoda za unos u SAP'!$C$3:$C$500,"=71",'Plan prihoda za unos u SAP'!$K$3:$K$500,"=671")</f>
        <v>0</v>
      </c>
      <c r="W24" s="105">
        <f>SUMIFS('Plan prihoda za unos u SAP'!$G$3:$G$500,'Plan prihoda za unos u SAP'!$C$3:$C$500,"=81",'Plan prihoda za unos u SAP'!$K$3:$K$500,"=671")</f>
        <v>0</v>
      </c>
      <c r="X24" s="80"/>
      <c r="Y24" s="80"/>
      <c r="Z24" s="80"/>
      <c r="AA24" s="80"/>
      <c r="AB24" s="80"/>
      <c r="AC24" s="80"/>
    </row>
    <row r="25" spans="1:29" ht="12.75" customHeight="1">
      <c r="A25" s="80">
        <v>2021</v>
      </c>
      <c r="B25" s="88" t="s">
        <v>3393</v>
      </c>
      <c r="C25" s="89" t="s">
        <v>3394</v>
      </c>
      <c r="D25" s="90">
        <f t="shared" si="0"/>
        <v>0</v>
      </c>
      <c r="E25" s="105">
        <f>SUMIFS('Plan prihoda za unos u SAP'!$G$3:$G$500,'Plan prihoda za unos u SAP'!$C$3:$C$500,"=11",'Plan prihoda za unos u SAP'!$K$3:$K$500,"=681")</f>
        <v>0</v>
      </c>
      <c r="F25" s="105">
        <f>SUMIFS('Plan prihoda za unos u SAP'!$G$3:$G$500,'Plan prihoda za unos u SAP'!$C$3:$C$500,"=12",'Plan prihoda za unos u SAP'!$K$3:$K$500,"=681")</f>
        <v>0</v>
      </c>
      <c r="G25" s="105">
        <f>SUMIFS('Plan prihoda za unos u SAP'!$G$3:$G$500,'Plan prihoda za unos u SAP'!$C$3:$C$500,"=31",'Plan prihoda za unos u SAP'!$K$3:$K$500,"=681")</f>
        <v>0</v>
      </c>
      <c r="H25" s="105">
        <f>SUMIFS('Plan prihoda za unos u SAP'!$G$3:$G$500,'Plan prihoda za unos u SAP'!$C$3:$C$500,"=41",'Plan prihoda za unos u SAP'!$K$3:$K$500,"=681")</f>
        <v>0</v>
      </c>
      <c r="I25" s="105">
        <f>SUMIFS('Plan prihoda za unos u SAP'!$G$3:$G$500,'Plan prihoda za unos u SAP'!$C$3:$C$500,"=43",'Plan prihoda za unos u SAP'!$K$3:$K$500,"=681")</f>
        <v>0</v>
      </c>
      <c r="J25" s="105">
        <f>SUMIFS('Plan prihoda za unos u SAP'!$G$3:$G$500,'Plan prihoda za unos u SAP'!$C$3:$C$500,"=51",'Plan prihoda za unos u SAP'!$K$3:$K$500,"=681")</f>
        <v>0</v>
      </c>
      <c r="K25" s="105">
        <f>SUMIFS('Plan prihoda za unos u SAP'!$G$3:$G$500,'Plan prihoda za unos u SAP'!$C$3:$C$500,"=52",'Plan prihoda za unos u SAP'!$K$3:$K$500,"=681")</f>
        <v>0</v>
      </c>
      <c r="L25" s="105">
        <f>SUMIFS('Plan prihoda za unos u SAP'!$G$3:$G$500,'Plan prihoda za unos u SAP'!$C$3:$C$500,"=552",'Plan prihoda za unos u SAP'!$K$3:$K$500,"=681")</f>
        <v>0</v>
      </c>
      <c r="M25" s="105">
        <f>SUMIFS('Plan prihoda za unos u SAP'!$G$3:$G$500,'Plan prihoda za unos u SAP'!$C$3:$C$500,"=559",'Plan prihoda za unos u SAP'!$K$3:$K$500,"=681")</f>
        <v>0</v>
      </c>
      <c r="N25" s="105">
        <f>SUMIFS('Plan prihoda za unos u SAP'!$G$3:$G$500,'Plan prihoda za unos u SAP'!$C$3:$C$500,"=561",'Plan prihoda za unos u SAP'!$K$3:$K$500,"=681")</f>
        <v>0</v>
      </c>
      <c r="O25" s="105">
        <f>SUMIFS('Plan prihoda za unos u SAP'!$G$3:$G$500,'Plan prihoda za unos u SAP'!$C$3:$C$500,"=563",'Plan prihoda za unos u SAP'!$K$3:$K$500,"=681")</f>
        <v>0</v>
      </c>
      <c r="P25" s="105">
        <f>SUMIFS('Plan prihoda za unos u SAP'!$G$3:$G$500,'Plan prihoda za unos u SAP'!$C$3:$C$500,"=573",'Plan prihoda za unos u SAP'!$K$3:$K$500,"=681")</f>
        <v>0</v>
      </c>
      <c r="Q25" s="105">
        <f>SUMIFS('Plan prihoda za unos u SAP'!$G$3:$G$500,'Plan prihoda za unos u SAP'!$C$3:$C$500,"=575",'Plan prihoda za unos u SAP'!$K$3:$K$500,"=681")</f>
        <v>0</v>
      </c>
      <c r="R25" s="105">
        <f>SUMIFS('Plan prihoda za unos u SAP'!$G$3:$G$500,'Plan prihoda za unos u SAP'!$C$3:$C$500,"=576",'Plan prihoda za unos u SAP'!$K$3:$K$500,"=681")</f>
        <v>0</v>
      </c>
      <c r="S25" s="105">
        <f>SUMIFS('Plan prihoda za unos u SAP'!$G$3:$G$500,'Plan prihoda za unos u SAP'!$C$3:$C$500,"=581",'Plan prihoda za unos u SAP'!$K$3:$K$500,"=681")</f>
        <v>0</v>
      </c>
      <c r="T25" s="105">
        <f>SUMIFS('Plan prihoda za unos u SAP'!$G$3:$G$500,'Plan prihoda za unos u SAP'!$C$3:$C$500,"=61",'Plan prihoda za unos u SAP'!$K$3:$K$500,"=681")</f>
        <v>0</v>
      </c>
      <c r="U25" s="105">
        <f>SUMIFS('Plan prihoda za unos u SAP'!$G$3:$G$500,'Plan prihoda za unos u SAP'!$C$3:$C$500,"=63",'Plan prihoda za unos u SAP'!$K$3:$K$500,"=681")</f>
        <v>0</v>
      </c>
      <c r="V25" s="105">
        <f>SUMIFS('Plan prihoda za unos u SAP'!$G$3:$G$500,'Plan prihoda za unos u SAP'!$C$3:$C$500,"=71",'Plan prihoda za unos u SAP'!$K$3:$K$500,"=681")</f>
        <v>0</v>
      </c>
      <c r="W25" s="105">
        <f>SUMIFS('Plan prihoda za unos u SAP'!$G$3:$G$500,'Plan prihoda za unos u SAP'!$C$3:$C$500,"=81",'Plan prihoda za unos u SAP'!$K$3:$K$500,"=681")</f>
        <v>0</v>
      </c>
      <c r="X25" s="80"/>
      <c r="Y25" s="80"/>
      <c r="Z25" s="80"/>
      <c r="AA25" s="80"/>
      <c r="AB25" s="80"/>
      <c r="AC25" s="80"/>
    </row>
    <row r="26" spans="1:29" ht="12.75" customHeight="1">
      <c r="A26" s="80">
        <v>2021</v>
      </c>
      <c r="B26" s="88" t="s">
        <v>3395</v>
      </c>
      <c r="C26" s="89" t="s">
        <v>3396</v>
      </c>
      <c r="D26" s="90">
        <f t="shared" si="0"/>
        <v>0</v>
      </c>
      <c r="E26" s="105">
        <f>SUMIFS('Plan prihoda za unos u SAP'!$G$3:$G$500,'Plan prihoda za unos u SAP'!$C$3:$C$500,"=11",'Plan prihoda za unos u SAP'!$K$3:$K$500,"=683")</f>
        <v>0</v>
      </c>
      <c r="F26" s="105">
        <f>SUMIFS('Plan prihoda za unos u SAP'!$G$3:$G$500,'Plan prihoda za unos u SAP'!$C$3:$C$500,"=12",'Plan prihoda za unos u SAP'!$K$3:$K$500,"=683")</f>
        <v>0</v>
      </c>
      <c r="G26" s="105">
        <f>SUMIFS('Plan prihoda za unos u SAP'!$G$3:$G$500,'Plan prihoda za unos u SAP'!$C$3:$C$500,"=31",'Plan prihoda za unos u SAP'!$K$3:$K$500,"=683")</f>
        <v>0</v>
      </c>
      <c r="H26" s="105">
        <f>SUMIFS('Plan prihoda za unos u SAP'!$G$3:$G$500,'Plan prihoda za unos u SAP'!$C$3:$C$500,"=41",'Plan prihoda za unos u SAP'!$K$3:$K$500,"=683")</f>
        <v>0</v>
      </c>
      <c r="I26" s="105">
        <f>SUMIFS('Plan prihoda za unos u SAP'!$G$3:$G$500,'Plan prihoda za unos u SAP'!$C$3:$C$500,"=43",'Plan prihoda za unos u SAP'!$K$3:$K$500,"=683")</f>
        <v>0</v>
      </c>
      <c r="J26" s="105">
        <f>SUMIFS('Plan prihoda za unos u SAP'!$G$3:$G$500,'Plan prihoda za unos u SAP'!$C$3:$C$500,"=51",'Plan prihoda za unos u SAP'!$K$3:$K$500,"=683")</f>
        <v>0</v>
      </c>
      <c r="K26" s="105">
        <f>SUMIFS('Plan prihoda za unos u SAP'!$G$3:$G$500,'Plan prihoda za unos u SAP'!$C$3:$C$500,"=52",'Plan prihoda za unos u SAP'!$K$3:$K$500,"=683")</f>
        <v>0</v>
      </c>
      <c r="L26" s="105">
        <f>SUMIFS('Plan prihoda za unos u SAP'!$G$3:$G$500,'Plan prihoda za unos u SAP'!$C$3:$C$500,"=552",'Plan prihoda za unos u SAP'!$K$3:$K$500,"=683")</f>
        <v>0</v>
      </c>
      <c r="M26" s="105">
        <f>SUMIFS('Plan prihoda za unos u SAP'!$G$3:$G$500,'Plan prihoda za unos u SAP'!$C$3:$C$500,"=559",'Plan prihoda za unos u SAP'!$K$3:$K$500,"=683")</f>
        <v>0</v>
      </c>
      <c r="N26" s="105">
        <f>SUMIFS('Plan prihoda za unos u SAP'!$G$3:$G$500,'Plan prihoda za unos u SAP'!$C$3:$C$500,"=561",'Plan prihoda za unos u SAP'!$K$3:$K$500,"=683")</f>
        <v>0</v>
      </c>
      <c r="O26" s="105">
        <f>SUMIFS('Plan prihoda za unos u SAP'!$G$3:$G$500,'Plan prihoda za unos u SAP'!$C$3:$C$500,"=563",'Plan prihoda za unos u SAP'!$K$3:$K$500,"=683")</f>
        <v>0</v>
      </c>
      <c r="P26" s="105">
        <f>SUMIFS('Plan prihoda za unos u SAP'!$G$3:$G$500,'Plan prihoda za unos u SAP'!$C$3:$C$500,"=573",'Plan prihoda za unos u SAP'!$K$3:$K$500,"=683")</f>
        <v>0</v>
      </c>
      <c r="Q26" s="105">
        <f>SUMIFS('Plan prihoda za unos u SAP'!$G$3:$G$500,'Plan prihoda za unos u SAP'!$C$3:$C$500,"=575",'Plan prihoda za unos u SAP'!$K$3:$K$500,"=683")</f>
        <v>0</v>
      </c>
      <c r="R26" s="105">
        <f>SUMIFS('Plan prihoda za unos u SAP'!$G$3:$G$500,'Plan prihoda za unos u SAP'!$C$3:$C$500,"=576",'Plan prihoda za unos u SAP'!$K$3:$K$500,"=683")</f>
        <v>0</v>
      </c>
      <c r="S26" s="105">
        <f>SUMIFS('Plan prihoda za unos u SAP'!$G$3:$G$500,'Plan prihoda za unos u SAP'!$C$3:$C$500,"=581",'Plan prihoda za unos u SAP'!$K$3:$K$500,"=683")</f>
        <v>0</v>
      </c>
      <c r="T26" s="105">
        <f>SUMIFS('Plan prihoda za unos u SAP'!$G$3:$G$500,'Plan prihoda za unos u SAP'!$C$3:$C$500,"=61",'Plan prihoda za unos u SAP'!$K$3:$K$500,"=683")</f>
        <v>0</v>
      </c>
      <c r="U26" s="105">
        <f>SUMIFS('Plan prihoda za unos u SAP'!$G$3:$G$500,'Plan prihoda za unos u SAP'!$C$3:$C$500,"=63",'Plan prihoda za unos u SAP'!$K$3:$K$500,"=683")</f>
        <v>0</v>
      </c>
      <c r="V26" s="105">
        <f>SUMIFS('Plan prihoda za unos u SAP'!$G$3:$G$500,'Plan prihoda za unos u SAP'!$C$3:$C$500,"=71",'Plan prihoda za unos u SAP'!$K$3:$K$500,"=683")</f>
        <v>0</v>
      </c>
      <c r="W26" s="105">
        <f>SUMIFS('Plan prihoda za unos u SAP'!$G$3:$G$500,'Plan prihoda za unos u SAP'!$C$3:$C$500,"=81",'Plan prihoda za unos u SAP'!$K$3:$K$500,"=683")</f>
        <v>0</v>
      </c>
      <c r="X26" s="80"/>
      <c r="Y26" s="80"/>
      <c r="Z26" s="80"/>
      <c r="AA26" s="80"/>
      <c r="AB26" s="80"/>
      <c r="AC26" s="80"/>
    </row>
    <row r="27" spans="1:29" ht="12.75" customHeight="1">
      <c r="A27" s="80">
        <v>2021</v>
      </c>
      <c r="B27" s="106" t="s">
        <v>3397</v>
      </c>
      <c r="C27" s="107" t="s">
        <v>3398</v>
      </c>
      <c r="D27" s="90">
        <f t="shared" si="0"/>
        <v>486237247</v>
      </c>
      <c r="E27" s="108">
        <f t="shared" ref="E27:W27" si="4">SUM(E11:E26)</f>
        <v>138511770</v>
      </c>
      <c r="F27" s="108">
        <f t="shared" si="4"/>
        <v>0</v>
      </c>
      <c r="G27" s="108">
        <f t="shared" si="4"/>
        <v>13343782</v>
      </c>
      <c r="H27" s="108">
        <f t="shared" si="4"/>
        <v>0</v>
      </c>
      <c r="I27" s="108">
        <f t="shared" si="4"/>
        <v>23000000</v>
      </c>
      <c r="J27" s="108">
        <f t="shared" si="4"/>
        <v>279390</v>
      </c>
      <c r="K27" s="108">
        <f t="shared" si="4"/>
        <v>10728285</v>
      </c>
      <c r="L27" s="108">
        <f t="shared" si="4"/>
        <v>0</v>
      </c>
      <c r="M27" s="108">
        <f t="shared" si="4"/>
        <v>0</v>
      </c>
      <c r="N27" s="108">
        <f t="shared" si="4"/>
        <v>0</v>
      </c>
      <c r="O27" s="108">
        <f t="shared" si="4"/>
        <v>22045383</v>
      </c>
      <c r="P27" s="108">
        <f t="shared" si="4"/>
        <v>0</v>
      </c>
      <c r="Q27" s="108">
        <f t="shared" si="4"/>
        <v>0</v>
      </c>
      <c r="R27" s="108">
        <f t="shared" si="4"/>
        <v>175730498</v>
      </c>
      <c r="S27" s="108">
        <f t="shared" si="4"/>
        <v>102093139</v>
      </c>
      <c r="T27" s="108">
        <f t="shared" si="4"/>
        <v>505000</v>
      </c>
      <c r="U27" s="108">
        <f t="shared" si="4"/>
        <v>0</v>
      </c>
      <c r="V27" s="108">
        <f t="shared" si="4"/>
        <v>0</v>
      </c>
      <c r="W27" s="108">
        <f t="shared" si="4"/>
        <v>0</v>
      </c>
      <c r="X27" s="80"/>
      <c r="Y27" s="80"/>
      <c r="Z27" s="80"/>
      <c r="AA27" s="80"/>
      <c r="AB27" s="80"/>
      <c r="AC27" s="80"/>
    </row>
    <row r="28" spans="1:29" ht="12.75" customHeight="1">
      <c r="A28" s="80">
        <v>2021</v>
      </c>
      <c r="B28" s="88" t="s">
        <v>3399</v>
      </c>
      <c r="C28" s="109" t="s">
        <v>3400</v>
      </c>
      <c r="D28" s="90">
        <f t="shared" si="0"/>
        <v>0</v>
      </c>
      <c r="E28" s="105">
        <f>SUMIFS('Plan prihoda za unos u SAP'!$G$3:$G$500,'Plan prihoda za unos u SAP'!$C$3:$C$500,"=11",'Plan prihoda za unos u SAP'!$K$3:$K$500,"=711")</f>
        <v>0</v>
      </c>
      <c r="F28" s="105">
        <f>SUMIFS('Plan prihoda za unos u SAP'!$G$3:$G$500,'Plan prihoda za unos u SAP'!$C$3:$C$500,"=12",'Plan prihoda za unos u SAP'!$K$3:$K$500,"=711")</f>
        <v>0</v>
      </c>
      <c r="G28" s="105">
        <f>SUMIFS('Plan prihoda za unos u SAP'!$G$3:$G$500,'Plan prihoda za unos u SAP'!$C$3:$C$500,"=31",'Plan prihoda za unos u SAP'!$K$3:$K$500,"=711")</f>
        <v>0</v>
      </c>
      <c r="H28" s="105">
        <f>SUMIFS('Plan prihoda za unos u SAP'!$G$3:$G$500,'Plan prihoda za unos u SAP'!$C$3:$C$500,"=41",'Plan prihoda za unos u SAP'!$K$3:$K$500,"=711")</f>
        <v>0</v>
      </c>
      <c r="I28" s="105">
        <f>SUMIFS('Plan prihoda za unos u SAP'!$G$3:$G$500,'Plan prihoda za unos u SAP'!$C$3:$C$500,"=43",'Plan prihoda za unos u SAP'!$K$3:$K$500,"=711")</f>
        <v>0</v>
      </c>
      <c r="J28" s="105">
        <f>SUMIFS('Plan prihoda za unos u SAP'!$G$3:$G$500,'Plan prihoda za unos u SAP'!$C$3:$C$500,"=51",'Plan prihoda za unos u SAP'!$K$3:$K$500,"=711")</f>
        <v>0</v>
      </c>
      <c r="K28" s="105">
        <f>SUMIFS('Plan prihoda za unos u SAP'!$G$3:$G$500,'Plan prihoda za unos u SAP'!$C$3:$C$500,"=52",'Plan prihoda za unos u SAP'!$K$3:$K$500,"=711")</f>
        <v>0</v>
      </c>
      <c r="L28" s="105">
        <f>SUMIFS('Plan prihoda za unos u SAP'!$G$3:$G$500,'Plan prihoda za unos u SAP'!$C$3:$C$500,"=552",'Plan prihoda za unos u SAP'!$K$3:$K$500,"=711")</f>
        <v>0</v>
      </c>
      <c r="M28" s="105">
        <f>SUMIFS('Plan prihoda za unos u SAP'!$G$3:$G$500,'Plan prihoda za unos u SAP'!$C$3:$C$500,"=559",'Plan prihoda za unos u SAP'!$K$3:$K$500,"=711")</f>
        <v>0</v>
      </c>
      <c r="N28" s="105">
        <f>SUMIFS('Plan prihoda za unos u SAP'!$G$3:$G$500,'Plan prihoda za unos u SAP'!$C$3:$C$500,"=561",'Plan prihoda za unos u SAP'!$K$3:$K$500,"=711")</f>
        <v>0</v>
      </c>
      <c r="O28" s="105">
        <f>SUMIFS('Plan prihoda za unos u SAP'!$G$3:$G$500,'Plan prihoda za unos u SAP'!$C$3:$C$500,"=563",'Plan prihoda za unos u SAP'!$K$3:$K$500,"=711")</f>
        <v>0</v>
      </c>
      <c r="P28" s="105">
        <f>SUMIFS('Plan prihoda za unos u SAP'!$G$3:$G$500,'Plan prihoda za unos u SAP'!$C$3:$C$500,"=573",'Plan prihoda za unos u SAP'!$K$3:$K$500,"=711")</f>
        <v>0</v>
      </c>
      <c r="Q28" s="105">
        <f>SUMIFS('Plan prihoda za unos u SAP'!$G$3:$G$500,'Plan prihoda za unos u SAP'!$C$3:$C$500,"=575",'Plan prihoda za unos u SAP'!$K$3:$K$500,"=711")</f>
        <v>0</v>
      </c>
      <c r="R28" s="105">
        <f>SUMIFS('Plan prihoda za unos u SAP'!$G$3:$G$500,'Plan prihoda za unos u SAP'!$C$3:$C$500,"=576",'Plan prihoda za unos u SAP'!$K$3:$K$500,"=711")</f>
        <v>0</v>
      </c>
      <c r="S28" s="105">
        <f>SUMIFS('Plan prihoda za unos u SAP'!$G$3:$G$500,'Plan prihoda za unos u SAP'!$C$3:$C$500,"=581",'Plan prihoda za unos u SAP'!$K$3:$K$500,"=711")</f>
        <v>0</v>
      </c>
      <c r="T28" s="105">
        <f>SUMIFS('Plan prihoda za unos u SAP'!$G$3:$G$500,'Plan prihoda za unos u SAP'!$C$3:$C$500,"=61",'Plan prihoda za unos u SAP'!$K$3:$K$500,"=711")</f>
        <v>0</v>
      </c>
      <c r="U28" s="105">
        <f>SUMIFS('Plan prihoda za unos u SAP'!$G$3:$G$500,'Plan prihoda za unos u SAP'!$C$3:$C$500,"=63",'Plan prihoda za unos u SAP'!$K$3:$K$500,"=711")</f>
        <v>0</v>
      </c>
      <c r="V28" s="105">
        <f>SUMIFS('Plan prihoda za unos u SAP'!$G$3:$G$500,'Plan prihoda za unos u SAP'!$C$3:$C$500,"=71",'Plan prihoda za unos u SAP'!$K$3:$K$500,"=711")</f>
        <v>0</v>
      </c>
      <c r="W28" s="105">
        <f>SUMIFS('Plan prihoda za unos u SAP'!$G$3:$G$500,'Plan prihoda za unos u SAP'!$C$3:$C$500,"=81",'Plan prihoda za unos u SAP'!$K$3:$K$500,"=711")</f>
        <v>0</v>
      </c>
      <c r="X28" s="80"/>
      <c r="Y28" s="80"/>
      <c r="Z28" s="80"/>
      <c r="AA28" s="80"/>
      <c r="AB28" s="80"/>
      <c r="AC28" s="80"/>
    </row>
    <row r="29" spans="1:29" ht="12.75" customHeight="1">
      <c r="A29" s="80">
        <v>2021</v>
      </c>
      <c r="B29" s="88" t="s">
        <v>3401</v>
      </c>
      <c r="C29" s="109" t="s">
        <v>3402</v>
      </c>
      <c r="D29" s="90">
        <f t="shared" si="0"/>
        <v>0</v>
      </c>
      <c r="E29" s="105">
        <f>SUMIFS('Plan prihoda za unos u SAP'!$G$3:$G$500,'Plan prihoda za unos u SAP'!$C$3:$C$500,"=11",'Plan prihoda za unos u SAP'!$K$3:$K$500,"=712")</f>
        <v>0</v>
      </c>
      <c r="F29" s="105">
        <f>SUMIFS('Plan prihoda za unos u SAP'!$G$3:$G$500,'Plan prihoda za unos u SAP'!$C$3:$C$500,"=12",'Plan prihoda za unos u SAP'!$K$3:$K$500,"=712")</f>
        <v>0</v>
      </c>
      <c r="G29" s="105">
        <f>SUMIFS('Plan prihoda za unos u SAP'!$G$3:$G$500,'Plan prihoda za unos u SAP'!$C$3:$C$500,"=31",'Plan prihoda za unos u SAP'!$K$3:$K$500,"=712")</f>
        <v>0</v>
      </c>
      <c r="H29" s="105">
        <f>SUMIFS('Plan prihoda za unos u SAP'!$G$3:$G$500,'Plan prihoda za unos u SAP'!$C$3:$C$500,"=41",'Plan prihoda za unos u SAP'!$K$3:$K$500,"=712")</f>
        <v>0</v>
      </c>
      <c r="I29" s="105">
        <f>SUMIFS('Plan prihoda za unos u SAP'!$G$3:$G$500,'Plan prihoda za unos u SAP'!$C$3:$C$500,"=43",'Plan prihoda za unos u SAP'!$K$3:$K$500,"=712")</f>
        <v>0</v>
      </c>
      <c r="J29" s="105">
        <f>SUMIFS('Plan prihoda za unos u SAP'!$G$3:$G$500,'Plan prihoda za unos u SAP'!$C$3:$C$500,"=51",'Plan prihoda za unos u SAP'!$K$3:$K$500,"=712")</f>
        <v>0</v>
      </c>
      <c r="K29" s="105">
        <f>SUMIFS('Plan prihoda za unos u SAP'!$G$3:$G$500,'Plan prihoda za unos u SAP'!$C$3:$C$500,"=52",'Plan prihoda za unos u SAP'!$K$3:$K$500,"=712")</f>
        <v>0</v>
      </c>
      <c r="L29" s="105">
        <f>SUMIFS('Plan prihoda za unos u SAP'!$G$3:$G$500,'Plan prihoda za unos u SAP'!$C$3:$C$500,"=552",'Plan prihoda za unos u SAP'!$K$3:$K$500,"=712")</f>
        <v>0</v>
      </c>
      <c r="M29" s="105">
        <f>SUMIFS('Plan prihoda za unos u SAP'!$G$3:$G$500,'Plan prihoda za unos u SAP'!$C$3:$C$500,"=559",'Plan prihoda za unos u SAP'!$K$3:$K$500,"=712")</f>
        <v>0</v>
      </c>
      <c r="N29" s="105">
        <f>SUMIFS('Plan prihoda za unos u SAP'!$G$3:$G$500,'Plan prihoda za unos u SAP'!$C$3:$C$500,"=561",'Plan prihoda za unos u SAP'!$K$3:$K$500,"=712")</f>
        <v>0</v>
      </c>
      <c r="O29" s="105">
        <f>SUMIFS('Plan prihoda za unos u SAP'!$G$3:$G$500,'Plan prihoda za unos u SAP'!$C$3:$C$500,"=563",'Plan prihoda za unos u SAP'!$K$3:$K$500,"=712")</f>
        <v>0</v>
      </c>
      <c r="P29" s="105">
        <f>SUMIFS('Plan prihoda za unos u SAP'!$G$3:$G$500,'Plan prihoda za unos u SAP'!$C$3:$C$500,"=573",'Plan prihoda za unos u SAP'!$K$3:$K$500,"=712")</f>
        <v>0</v>
      </c>
      <c r="Q29" s="105">
        <f>SUMIFS('Plan prihoda za unos u SAP'!$G$3:$G$500,'Plan prihoda za unos u SAP'!$C$3:$C$500,"=575",'Plan prihoda za unos u SAP'!$K$3:$K$500,"=712")</f>
        <v>0</v>
      </c>
      <c r="R29" s="105">
        <f>SUMIFS('Plan prihoda za unos u SAP'!$G$3:$G$500,'Plan prihoda za unos u SAP'!$C$3:$C$500,"=576",'Plan prihoda za unos u SAP'!$K$3:$K$500,"=712")</f>
        <v>0</v>
      </c>
      <c r="S29" s="105">
        <f>SUMIFS('Plan prihoda za unos u SAP'!$G$3:$G$500,'Plan prihoda za unos u SAP'!$C$3:$C$500,"=581",'Plan prihoda za unos u SAP'!$K$3:$K$500,"=712")</f>
        <v>0</v>
      </c>
      <c r="T29" s="105">
        <f>SUMIFS('Plan prihoda za unos u SAP'!$G$3:$G$500,'Plan prihoda za unos u SAP'!$C$3:$C$500,"=61",'Plan prihoda za unos u SAP'!$K$3:$K$500,"=712")</f>
        <v>0</v>
      </c>
      <c r="U29" s="105">
        <f>SUMIFS('Plan prihoda za unos u SAP'!$G$3:$G$500,'Plan prihoda za unos u SAP'!$C$3:$C$500,"=63",'Plan prihoda za unos u SAP'!$K$3:$K$500,"=712")</f>
        <v>0</v>
      </c>
      <c r="V29" s="105">
        <f>SUMIFS('Plan prihoda za unos u SAP'!$G$3:$G$500,'Plan prihoda za unos u SAP'!$C$3:$C$500,"=71",'Plan prihoda za unos u SAP'!$K$3:$K$500,"=712")</f>
        <v>0</v>
      </c>
      <c r="W29" s="105">
        <f>SUMIFS('Plan prihoda za unos u SAP'!$G$3:$G$500,'Plan prihoda za unos u SAP'!$C$3:$C$500,"=81",'Plan prihoda za unos u SAP'!$K$3:$K$500,"=712")</f>
        <v>0</v>
      </c>
      <c r="X29" s="80"/>
      <c r="Y29" s="80"/>
      <c r="Z29" s="80"/>
      <c r="AA29" s="80"/>
      <c r="AB29" s="80"/>
      <c r="AC29" s="80"/>
    </row>
    <row r="30" spans="1:29" ht="12.75" customHeight="1">
      <c r="A30" s="80">
        <v>2021</v>
      </c>
      <c r="B30" s="88" t="s">
        <v>3403</v>
      </c>
      <c r="C30" s="109" t="s">
        <v>3404</v>
      </c>
      <c r="D30" s="90">
        <f t="shared" si="0"/>
        <v>0</v>
      </c>
      <c r="E30" s="105">
        <f>SUMIFS('Plan prihoda za unos u SAP'!$G$3:$G$500,'Plan prihoda za unos u SAP'!$C$3:$C$500,"=11",'Plan prihoda za unos u SAP'!$K$3:$K$500,"=721")</f>
        <v>0</v>
      </c>
      <c r="F30" s="105">
        <f>SUMIFS('Plan prihoda za unos u SAP'!$G$3:$G$500,'Plan prihoda za unos u SAP'!$C$3:$C$500,"=12",'Plan prihoda za unos u SAP'!$K$3:$K$500,"=721")</f>
        <v>0</v>
      </c>
      <c r="G30" s="105">
        <f>SUMIFS('Plan prihoda za unos u SAP'!$G$3:$G$500,'Plan prihoda za unos u SAP'!$C$3:$C$500,"=31",'Plan prihoda za unos u SAP'!$K$3:$K$500,"=721")</f>
        <v>0</v>
      </c>
      <c r="H30" s="105">
        <f>SUMIFS('Plan prihoda za unos u SAP'!$G$3:$G$500,'Plan prihoda za unos u SAP'!$C$3:$C$500,"=41",'Plan prihoda za unos u SAP'!$K$3:$K$500,"=721")</f>
        <v>0</v>
      </c>
      <c r="I30" s="105">
        <f>SUMIFS('Plan prihoda za unos u SAP'!$G$3:$G$500,'Plan prihoda za unos u SAP'!$C$3:$C$500,"=43",'Plan prihoda za unos u SAP'!$K$3:$K$500,"=721")</f>
        <v>0</v>
      </c>
      <c r="J30" s="105">
        <f>SUMIFS('Plan prihoda za unos u SAP'!$G$3:$G$500,'Plan prihoda za unos u SAP'!$C$3:$C$500,"=51",'Plan prihoda za unos u SAP'!$K$3:$K$500,"=721")</f>
        <v>0</v>
      </c>
      <c r="K30" s="105">
        <f>SUMIFS('Plan prihoda za unos u SAP'!$G$3:$G$500,'Plan prihoda za unos u SAP'!$C$3:$C$500,"=52",'Plan prihoda za unos u SAP'!$K$3:$K$500,"=721")</f>
        <v>0</v>
      </c>
      <c r="L30" s="105">
        <f>SUMIFS('Plan prihoda za unos u SAP'!$G$3:$G$500,'Plan prihoda za unos u SAP'!$C$3:$C$500,"=552",'Plan prihoda za unos u SAP'!$K$3:$K$500,"=721")</f>
        <v>0</v>
      </c>
      <c r="M30" s="105">
        <f>SUMIFS('Plan prihoda za unos u SAP'!$G$3:$G$500,'Plan prihoda za unos u SAP'!$C$3:$C$500,"=559",'Plan prihoda za unos u SAP'!$K$3:$K$500,"=721")</f>
        <v>0</v>
      </c>
      <c r="N30" s="105">
        <f>SUMIFS('Plan prihoda za unos u SAP'!$G$3:$G$500,'Plan prihoda za unos u SAP'!$C$3:$C$500,"=561",'Plan prihoda za unos u SAP'!$K$3:$K$500,"=721")</f>
        <v>0</v>
      </c>
      <c r="O30" s="105">
        <f>SUMIFS('Plan prihoda za unos u SAP'!$G$3:$G$500,'Plan prihoda za unos u SAP'!$C$3:$C$500,"=563",'Plan prihoda za unos u SAP'!$K$3:$K$500,"=721")</f>
        <v>0</v>
      </c>
      <c r="P30" s="105">
        <f>SUMIFS('Plan prihoda za unos u SAP'!$G$3:$G$500,'Plan prihoda za unos u SAP'!$C$3:$C$500,"=573",'Plan prihoda za unos u SAP'!$K$3:$K$500,"=721")</f>
        <v>0</v>
      </c>
      <c r="Q30" s="105">
        <f>SUMIFS('Plan prihoda za unos u SAP'!$G$3:$G$500,'Plan prihoda za unos u SAP'!$C$3:$C$500,"=575",'Plan prihoda za unos u SAP'!$K$3:$K$500,"=721")</f>
        <v>0</v>
      </c>
      <c r="R30" s="105">
        <f>SUMIFS('Plan prihoda za unos u SAP'!$G$3:$G$500,'Plan prihoda za unos u SAP'!$C$3:$C$500,"=576",'Plan prihoda za unos u SAP'!$K$3:$K$500,"=721")</f>
        <v>0</v>
      </c>
      <c r="S30" s="105">
        <f>SUMIFS('Plan prihoda za unos u SAP'!$G$3:$G$500,'Plan prihoda za unos u SAP'!$C$3:$C$500,"=581",'Plan prihoda za unos u SAP'!$K$3:$K$500,"=721")</f>
        <v>0</v>
      </c>
      <c r="T30" s="105">
        <f>SUMIFS('Plan prihoda za unos u SAP'!$G$3:$G$500,'Plan prihoda za unos u SAP'!$C$3:$C$500,"=61",'Plan prihoda za unos u SAP'!$K$3:$K$500,"=721")</f>
        <v>0</v>
      </c>
      <c r="U30" s="105">
        <f>SUMIFS('Plan prihoda za unos u SAP'!$G$3:$G$500,'Plan prihoda za unos u SAP'!$C$3:$C$500,"=63",'Plan prihoda za unos u SAP'!$K$3:$K$500,"=721")</f>
        <v>0</v>
      </c>
      <c r="V30" s="105">
        <f>SUMIFS('Plan prihoda za unos u SAP'!$G$3:$G$500,'Plan prihoda za unos u SAP'!$C$3:$C$500,"=71",'Plan prihoda za unos u SAP'!$K$3:$K$500,"=721")</f>
        <v>0</v>
      </c>
      <c r="W30" s="105">
        <f>SUMIFS('Plan prihoda za unos u SAP'!$G$3:$G$500,'Plan prihoda za unos u SAP'!$C$3:$C$500,"=81",'Plan prihoda za unos u SAP'!$K$3:$K$500,"=721")</f>
        <v>0</v>
      </c>
      <c r="X30" s="80"/>
      <c r="Y30" s="80"/>
      <c r="Z30" s="80"/>
      <c r="AA30" s="80"/>
      <c r="AB30" s="80"/>
      <c r="AC30" s="80"/>
    </row>
    <row r="31" spans="1:29" ht="12.75" customHeight="1">
      <c r="A31" s="80">
        <v>2021</v>
      </c>
      <c r="B31" s="88" t="s">
        <v>3405</v>
      </c>
      <c r="C31" s="109" t="s">
        <v>3406</v>
      </c>
      <c r="D31" s="90">
        <f t="shared" si="0"/>
        <v>0</v>
      </c>
      <c r="E31" s="105">
        <f>SUMIFS('Plan prihoda za unos u SAP'!$G$3:$G$500,'Plan prihoda za unos u SAP'!$C$3:$C$500,"=11",'Plan prihoda za unos u SAP'!$K$3:$K$500,"=722")</f>
        <v>0</v>
      </c>
      <c r="F31" s="105">
        <f>SUMIFS('Plan prihoda za unos u SAP'!$G$3:$G$500,'Plan prihoda za unos u SAP'!$C$3:$C$500,"=12",'Plan prihoda za unos u SAP'!$K$3:$K$500,"=722")</f>
        <v>0</v>
      </c>
      <c r="G31" s="105">
        <f>SUMIFS('Plan prihoda za unos u SAP'!$G$3:$G$500,'Plan prihoda za unos u SAP'!$C$3:$C$500,"=31",'Plan prihoda za unos u SAP'!$K$3:$K$500,"=722")</f>
        <v>0</v>
      </c>
      <c r="H31" s="105">
        <f>SUMIFS('Plan prihoda za unos u SAP'!$G$3:$G$500,'Plan prihoda za unos u SAP'!$C$3:$C$500,"=41",'Plan prihoda za unos u SAP'!$K$3:$K$500,"=722")</f>
        <v>0</v>
      </c>
      <c r="I31" s="105">
        <f>SUMIFS('Plan prihoda za unos u SAP'!$G$3:$G$500,'Plan prihoda za unos u SAP'!$C$3:$C$500,"=43",'Plan prihoda za unos u SAP'!$K$3:$K$500,"=722")</f>
        <v>0</v>
      </c>
      <c r="J31" s="105">
        <f>SUMIFS('Plan prihoda za unos u SAP'!$G$3:$G$500,'Plan prihoda za unos u SAP'!$C$3:$C$500,"=51",'Plan prihoda za unos u SAP'!$K$3:$K$500,"=722")</f>
        <v>0</v>
      </c>
      <c r="K31" s="105">
        <f>SUMIFS('Plan prihoda za unos u SAP'!$G$3:$G$500,'Plan prihoda za unos u SAP'!$C$3:$C$500,"=52",'Plan prihoda za unos u SAP'!$K$3:$K$500,"=722")</f>
        <v>0</v>
      </c>
      <c r="L31" s="105">
        <f>SUMIFS('Plan prihoda za unos u SAP'!$G$3:$G$500,'Plan prihoda za unos u SAP'!$C$3:$C$500,"=552",'Plan prihoda za unos u SAP'!$K$3:$K$500,"=722")</f>
        <v>0</v>
      </c>
      <c r="M31" s="105">
        <f>SUMIFS('Plan prihoda za unos u SAP'!$G$3:$G$500,'Plan prihoda za unos u SAP'!$C$3:$C$500,"=559",'Plan prihoda za unos u SAP'!$K$3:$K$500,"=722")</f>
        <v>0</v>
      </c>
      <c r="N31" s="105">
        <f>SUMIFS('Plan prihoda za unos u SAP'!$G$3:$G$500,'Plan prihoda za unos u SAP'!$C$3:$C$500,"=561",'Plan prihoda za unos u SAP'!$K$3:$K$500,"=722")</f>
        <v>0</v>
      </c>
      <c r="O31" s="105">
        <f>SUMIFS('Plan prihoda za unos u SAP'!$G$3:$G$500,'Plan prihoda za unos u SAP'!$C$3:$C$500,"=563",'Plan prihoda za unos u SAP'!$K$3:$K$500,"=722")</f>
        <v>0</v>
      </c>
      <c r="P31" s="105">
        <f>SUMIFS('Plan prihoda za unos u SAP'!$G$3:$G$500,'Plan prihoda za unos u SAP'!$C$3:$C$500,"=573",'Plan prihoda za unos u SAP'!$K$3:$K$500,"=722")</f>
        <v>0</v>
      </c>
      <c r="Q31" s="105">
        <f>SUMIFS('Plan prihoda za unos u SAP'!$G$3:$G$500,'Plan prihoda za unos u SAP'!$C$3:$C$500,"=575",'Plan prihoda za unos u SAP'!$K$3:$K$500,"=722")</f>
        <v>0</v>
      </c>
      <c r="R31" s="105">
        <f>SUMIFS('Plan prihoda za unos u SAP'!$G$3:$G$500,'Plan prihoda za unos u SAP'!$C$3:$C$500,"=576",'Plan prihoda za unos u SAP'!$K$3:$K$500,"=722")</f>
        <v>0</v>
      </c>
      <c r="S31" s="105">
        <f>SUMIFS('Plan prihoda za unos u SAP'!$G$3:$G$500,'Plan prihoda za unos u SAP'!$C$3:$C$500,"=581",'Plan prihoda za unos u SAP'!$K$3:$K$500,"=722")</f>
        <v>0</v>
      </c>
      <c r="T31" s="105">
        <f>SUMIFS('Plan prihoda za unos u SAP'!$G$3:$G$500,'Plan prihoda za unos u SAP'!$C$3:$C$500,"=61",'Plan prihoda za unos u SAP'!$K$3:$K$500,"=722")</f>
        <v>0</v>
      </c>
      <c r="U31" s="105">
        <f>SUMIFS('Plan prihoda za unos u SAP'!$G$3:$G$500,'Plan prihoda za unos u SAP'!$C$3:$C$500,"=63",'Plan prihoda za unos u SAP'!$K$3:$K$500,"=722")</f>
        <v>0</v>
      </c>
      <c r="V31" s="105">
        <f>SUMIFS('Plan prihoda za unos u SAP'!$G$3:$G$500,'Plan prihoda za unos u SAP'!$C$3:$C$500,"=71",'Plan prihoda za unos u SAP'!$K$3:$K$500,"=722")</f>
        <v>0</v>
      </c>
      <c r="W31" s="105">
        <f>SUMIFS('Plan prihoda za unos u SAP'!$G$3:$G$500,'Plan prihoda za unos u SAP'!$C$3:$C$500,"=81",'Plan prihoda za unos u SAP'!$K$3:$K$500,"=722")</f>
        <v>0</v>
      </c>
      <c r="X31" s="80"/>
      <c r="Y31" s="80"/>
      <c r="Z31" s="80"/>
      <c r="AA31" s="80"/>
      <c r="AB31" s="80"/>
      <c r="AC31" s="80"/>
    </row>
    <row r="32" spans="1:29" ht="12.75" customHeight="1">
      <c r="A32" s="80">
        <v>2021</v>
      </c>
      <c r="B32" s="88" t="s">
        <v>3407</v>
      </c>
      <c r="C32" s="109" t="s">
        <v>3408</v>
      </c>
      <c r="D32" s="90">
        <f t="shared" si="0"/>
        <v>0</v>
      </c>
      <c r="E32" s="105">
        <f>SUMIFS('Plan prihoda za unos u SAP'!$G$3:$G$500,'Plan prihoda za unos u SAP'!$C$3:$C$500,"=11",'Plan prihoda za unos u SAP'!$K$3:$K$500,"=723")</f>
        <v>0</v>
      </c>
      <c r="F32" s="105">
        <f>SUMIFS('Plan prihoda za unos u SAP'!$G$3:$G$500,'Plan prihoda za unos u SAP'!$C$3:$C$500,"=12",'Plan prihoda za unos u SAP'!$K$3:$K$500,"=723")</f>
        <v>0</v>
      </c>
      <c r="G32" s="105">
        <f>SUMIFS('Plan prihoda za unos u SAP'!$G$3:$G$500,'Plan prihoda za unos u SAP'!$C$3:$C$500,"=31",'Plan prihoda za unos u SAP'!$K$3:$K$500,"=723")</f>
        <v>0</v>
      </c>
      <c r="H32" s="105">
        <f>SUMIFS('Plan prihoda za unos u SAP'!$G$3:$G$500,'Plan prihoda za unos u SAP'!$C$3:$C$500,"=41",'Plan prihoda za unos u SAP'!$K$3:$K$500,"=723")</f>
        <v>0</v>
      </c>
      <c r="I32" s="105">
        <f>SUMIFS('Plan prihoda za unos u SAP'!$G$3:$G$500,'Plan prihoda za unos u SAP'!$C$3:$C$500,"=43",'Plan prihoda za unos u SAP'!$K$3:$K$500,"=723")</f>
        <v>0</v>
      </c>
      <c r="J32" s="105">
        <f>SUMIFS('Plan prihoda za unos u SAP'!$G$3:$G$500,'Plan prihoda za unos u SAP'!$C$3:$C$500,"=51",'Plan prihoda za unos u SAP'!$K$3:$K$500,"=723")</f>
        <v>0</v>
      </c>
      <c r="K32" s="105">
        <f>SUMIFS('Plan prihoda za unos u SAP'!$G$3:$G$500,'Plan prihoda za unos u SAP'!$C$3:$C$500,"=52",'Plan prihoda za unos u SAP'!$K$3:$K$500,"=723")</f>
        <v>0</v>
      </c>
      <c r="L32" s="105">
        <f>SUMIFS('Plan prihoda za unos u SAP'!$G$3:$G$500,'Plan prihoda za unos u SAP'!$C$3:$C$500,"=552",'Plan prihoda za unos u SAP'!$K$3:$K$500,"=723")</f>
        <v>0</v>
      </c>
      <c r="M32" s="105">
        <f>SUMIFS('Plan prihoda za unos u SAP'!$G$3:$G$500,'Plan prihoda za unos u SAP'!$C$3:$C$500,"=559",'Plan prihoda za unos u SAP'!$K$3:$K$500,"=723")</f>
        <v>0</v>
      </c>
      <c r="N32" s="105">
        <f>SUMIFS('Plan prihoda za unos u SAP'!$G$3:$G$500,'Plan prihoda za unos u SAP'!$C$3:$C$500,"=561",'Plan prihoda za unos u SAP'!$K$3:$K$500,"=723")</f>
        <v>0</v>
      </c>
      <c r="O32" s="105">
        <f>SUMIFS('Plan prihoda za unos u SAP'!$G$3:$G$500,'Plan prihoda za unos u SAP'!$C$3:$C$500,"=563",'Plan prihoda za unos u SAP'!$K$3:$K$500,"=723")</f>
        <v>0</v>
      </c>
      <c r="P32" s="105">
        <f>SUMIFS('Plan prihoda za unos u SAP'!$G$3:$G$500,'Plan prihoda za unos u SAP'!$C$3:$C$500,"=573",'Plan prihoda za unos u SAP'!$K$3:$K$500,"=723")</f>
        <v>0</v>
      </c>
      <c r="Q32" s="105">
        <f>SUMIFS('Plan prihoda za unos u SAP'!$G$3:$G$500,'Plan prihoda za unos u SAP'!$C$3:$C$500,"=575",'Plan prihoda za unos u SAP'!$K$3:$K$500,"=723")</f>
        <v>0</v>
      </c>
      <c r="R32" s="105">
        <f>SUMIFS('Plan prihoda za unos u SAP'!$G$3:$G$500,'Plan prihoda za unos u SAP'!$C$3:$C$500,"=576",'Plan prihoda za unos u SAP'!$K$3:$K$500,"=723")</f>
        <v>0</v>
      </c>
      <c r="S32" s="105">
        <f>SUMIFS('Plan prihoda za unos u SAP'!$G$3:$G$500,'Plan prihoda za unos u SAP'!$C$3:$C$500,"=581",'Plan prihoda za unos u SAP'!$K$3:$K$500,"=723")</f>
        <v>0</v>
      </c>
      <c r="T32" s="105">
        <f>SUMIFS('Plan prihoda za unos u SAP'!$G$3:$G$500,'Plan prihoda za unos u SAP'!$C$3:$C$500,"=61",'Plan prihoda za unos u SAP'!$K$3:$K$500,"=723")</f>
        <v>0</v>
      </c>
      <c r="U32" s="105">
        <f>SUMIFS('Plan prihoda za unos u SAP'!$G$3:$G$500,'Plan prihoda za unos u SAP'!$C$3:$C$500,"=63",'Plan prihoda za unos u SAP'!$K$3:$K$500,"=723")</f>
        <v>0</v>
      </c>
      <c r="V32" s="105">
        <f>SUMIFS('Plan prihoda za unos u SAP'!$G$3:$G$500,'Plan prihoda za unos u SAP'!$C$3:$C$500,"=71",'Plan prihoda za unos u SAP'!$K$3:$K$500,"=723")</f>
        <v>0</v>
      </c>
      <c r="W32" s="105">
        <f>SUMIFS('Plan prihoda za unos u SAP'!$G$3:$G$500,'Plan prihoda za unos u SAP'!$C$3:$C$500,"=81",'Plan prihoda za unos u SAP'!$K$3:$K$500,"=723")</f>
        <v>0</v>
      </c>
      <c r="X32" s="80"/>
      <c r="Y32" s="80"/>
      <c r="Z32" s="80"/>
      <c r="AA32" s="80"/>
      <c r="AB32" s="80"/>
      <c r="AC32" s="80"/>
    </row>
    <row r="33" spans="1:29" ht="12.75" customHeight="1">
      <c r="A33" s="80">
        <v>2021</v>
      </c>
      <c r="B33" s="88" t="s">
        <v>3409</v>
      </c>
      <c r="C33" s="109" t="s">
        <v>3410</v>
      </c>
      <c r="D33" s="90">
        <f t="shared" si="0"/>
        <v>0</v>
      </c>
      <c r="E33" s="105">
        <f>SUMIFS('Plan prihoda za unos u SAP'!$G$3:$G$500,'Plan prihoda za unos u SAP'!$C$3:$C$500,"=11",'Plan prihoda za unos u SAP'!$K$3:$K$500,"=725")</f>
        <v>0</v>
      </c>
      <c r="F33" s="105">
        <f>SUMIFS('Plan prihoda za unos u SAP'!$G$3:$G$500,'Plan prihoda za unos u SAP'!$C$3:$C$500,"=12",'Plan prihoda za unos u SAP'!$K$3:$K$500,"=725")</f>
        <v>0</v>
      </c>
      <c r="G33" s="105">
        <f>SUMIFS('Plan prihoda za unos u SAP'!$G$3:$G$500,'Plan prihoda za unos u SAP'!$C$3:$C$500,"=31",'Plan prihoda za unos u SAP'!$K$3:$K$500,"=725")</f>
        <v>0</v>
      </c>
      <c r="H33" s="105">
        <f>SUMIFS('Plan prihoda za unos u SAP'!$G$3:$G$500,'Plan prihoda za unos u SAP'!$C$3:$C$500,"=41",'Plan prihoda za unos u SAP'!$K$3:$K$500,"=725")</f>
        <v>0</v>
      </c>
      <c r="I33" s="105">
        <f>SUMIFS('Plan prihoda za unos u SAP'!$G$3:$G$500,'Plan prihoda za unos u SAP'!$C$3:$C$500,"=43",'Plan prihoda za unos u SAP'!$K$3:$K$500,"=725")</f>
        <v>0</v>
      </c>
      <c r="J33" s="105">
        <f>SUMIFS('Plan prihoda za unos u SAP'!$G$3:$G$500,'Plan prihoda za unos u SAP'!$C$3:$C$500,"=51",'Plan prihoda za unos u SAP'!$K$3:$K$500,"=725")</f>
        <v>0</v>
      </c>
      <c r="K33" s="105">
        <f>SUMIFS('Plan prihoda za unos u SAP'!$G$3:$G$500,'Plan prihoda za unos u SAP'!$C$3:$C$500,"=52",'Plan prihoda za unos u SAP'!$K$3:$K$500,"=725")</f>
        <v>0</v>
      </c>
      <c r="L33" s="105">
        <f>SUMIFS('Plan prihoda za unos u SAP'!$G$3:$G$500,'Plan prihoda za unos u SAP'!$C$3:$C$500,"=552",'Plan prihoda za unos u SAP'!$K$3:$K$500,"=725")</f>
        <v>0</v>
      </c>
      <c r="M33" s="105">
        <f>SUMIFS('Plan prihoda za unos u SAP'!$G$3:$G$500,'Plan prihoda za unos u SAP'!$C$3:$C$500,"=559",'Plan prihoda za unos u SAP'!$K$3:$K$500,"=725")</f>
        <v>0</v>
      </c>
      <c r="N33" s="105">
        <f>SUMIFS('Plan prihoda za unos u SAP'!$G$3:$G$500,'Plan prihoda za unos u SAP'!$C$3:$C$500,"=561",'Plan prihoda za unos u SAP'!$K$3:$K$500,"=725")</f>
        <v>0</v>
      </c>
      <c r="O33" s="105">
        <f>SUMIFS('Plan prihoda za unos u SAP'!$G$3:$G$500,'Plan prihoda za unos u SAP'!$C$3:$C$500,"=563",'Plan prihoda za unos u SAP'!$K$3:$K$500,"=725")</f>
        <v>0</v>
      </c>
      <c r="P33" s="105">
        <f>SUMIFS('Plan prihoda za unos u SAP'!$G$3:$G$500,'Plan prihoda za unos u SAP'!$C$3:$C$500,"=573",'Plan prihoda za unos u SAP'!$K$3:$K$500,"=725")</f>
        <v>0</v>
      </c>
      <c r="Q33" s="105">
        <f>SUMIFS('Plan prihoda za unos u SAP'!$G$3:$G$500,'Plan prihoda za unos u SAP'!$C$3:$C$500,"=575",'Plan prihoda za unos u SAP'!$K$3:$K$500,"=725")</f>
        <v>0</v>
      </c>
      <c r="R33" s="105">
        <f>SUMIFS('Plan prihoda za unos u SAP'!$G$3:$G$500,'Plan prihoda za unos u SAP'!$C$3:$C$500,"=576",'Plan prihoda za unos u SAP'!$K$3:$K$500,"=725")</f>
        <v>0</v>
      </c>
      <c r="S33" s="105">
        <f>SUMIFS('Plan prihoda za unos u SAP'!$G$3:$G$500,'Plan prihoda za unos u SAP'!$C$3:$C$500,"=581",'Plan prihoda za unos u SAP'!$K$3:$K$500,"=725")</f>
        <v>0</v>
      </c>
      <c r="T33" s="105">
        <f>SUMIFS('Plan prihoda za unos u SAP'!$G$3:$G$500,'Plan prihoda za unos u SAP'!$C$3:$C$500,"=61",'Plan prihoda za unos u SAP'!$K$3:$K$500,"=725")</f>
        <v>0</v>
      </c>
      <c r="U33" s="105">
        <f>SUMIFS('Plan prihoda za unos u SAP'!$G$3:$G$500,'Plan prihoda za unos u SAP'!$C$3:$C$500,"=63",'Plan prihoda za unos u SAP'!$K$3:$K$500,"=725")</f>
        <v>0</v>
      </c>
      <c r="V33" s="105">
        <f>SUMIFS('Plan prihoda za unos u SAP'!$G$3:$G$500,'Plan prihoda za unos u SAP'!$C$3:$C$500,"=71",'Plan prihoda za unos u SAP'!$K$3:$K$500,"=725")</f>
        <v>0</v>
      </c>
      <c r="W33" s="105">
        <f>SUMIFS('Plan prihoda za unos u SAP'!$G$3:$G$500,'Plan prihoda za unos u SAP'!$C$3:$C$500,"=81",'Plan prihoda za unos u SAP'!$K$3:$K$500,"=725")</f>
        <v>0</v>
      </c>
      <c r="X33" s="80"/>
      <c r="Y33" s="80"/>
      <c r="Z33" s="80"/>
      <c r="AA33" s="80"/>
      <c r="AB33" s="80"/>
      <c r="AC33" s="80"/>
    </row>
    <row r="34" spans="1:29" ht="12.75" customHeight="1">
      <c r="A34" s="80">
        <v>2021</v>
      </c>
      <c r="B34" s="106" t="s">
        <v>3411</v>
      </c>
      <c r="C34" s="107" t="s">
        <v>3398</v>
      </c>
      <c r="D34" s="90">
        <f t="shared" si="0"/>
        <v>0</v>
      </c>
      <c r="E34" s="108">
        <f t="shared" ref="E34:W34" si="5">SUM(E28:E33)</f>
        <v>0</v>
      </c>
      <c r="F34" s="108">
        <f t="shared" si="5"/>
        <v>0</v>
      </c>
      <c r="G34" s="108">
        <f t="shared" si="5"/>
        <v>0</v>
      </c>
      <c r="H34" s="108">
        <f t="shared" si="5"/>
        <v>0</v>
      </c>
      <c r="I34" s="108">
        <f t="shared" si="5"/>
        <v>0</v>
      </c>
      <c r="J34" s="108">
        <f t="shared" si="5"/>
        <v>0</v>
      </c>
      <c r="K34" s="108">
        <f t="shared" si="5"/>
        <v>0</v>
      </c>
      <c r="L34" s="108">
        <f t="shared" si="5"/>
        <v>0</v>
      </c>
      <c r="M34" s="108">
        <f t="shared" si="5"/>
        <v>0</v>
      </c>
      <c r="N34" s="108">
        <f t="shared" si="5"/>
        <v>0</v>
      </c>
      <c r="O34" s="108">
        <f t="shared" si="5"/>
        <v>0</v>
      </c>
      <c r="P34" s="108">
        <f t="shared" si="5"/>
        <v>0</v>
      </c>
      <c r="Q34" s="108">
        <f t="shared" si="5"/>
        <v>0</v>
      </c>
      <c r="R34" s="108">
        <f t="shared" si="5"/>
        <v>0</v>
      </c>
      <c r="S34" s="108">
        <f t="shared" si="5"/>
        <v>0</v>
      </c>
      <c r="T34" s="108">
        <f t="shared" si="5"/>
        <v>0</v>
      </c>
      <c r="U34" s="108">
        <f t="shared" si="5"/>
        <v>0</v>
      </c>
      <c r="V34" s="108">
        <f t="shared" si="5"/>
        <v>0</v>
      </c>
      <c r="W34" s="108">
        <f t="shared" si="5"/>
        <v>0</v>
      </c>
      <c r="X34" s="80"/>
      <c r="Y34" s="80"/>
      <c r="Z34" s="80"/>
      <c r="AA34" s="80"/>
      <c r="AB34" s="80"/>
      <c r="AC34" s="80"/>
    </row>
    <row r="35" spans="1:29" ht="12.75" customHeight="1">
      <c r="A35" s="80">
        <v>2021</v>
      </c>
      <c r="B35" s="110">
        <v>818</v>
      </c>
      <c r="C35" s="89" t="s">
        <v>3412</v>
      </c>
      <c r="D35" s="90">
        <f t="shared" si="0"/>
        <v>0</v>
      </c>
      <c r="E35" s="105">
        <f>SUMIFS('Plan prihoda za unos u SAP'!$G$3:$G$500,'Plan prihoda za unos u SAP'!$C$3:$C$500,"=11",'Plan prihoda za unos u SAP'!$K$3:$K$500,"=818")</f>
        <v>0</v>
      </c>
      <c r="F35" s="105">
        <f>SUMIFS('Plan prihoda za unos u SAP'!$G$3:$G$500,'Plan prihoda za unos u SAP'!$C$3:$C$500,"=12",'Plan prihoda za unos u SAP'!$K$3:$K$500,"=818")</f>
        <v>0</v>
      </c>
      <c r="G35" s="105">
        <f>SUMIFS('Plan prihoda za unos u SAP'!$G$3:$G$500,'Plan prihoda za unos u SAP'!$C$3:$C$500,"=31",'Plan prihoda za unos u SAP'!$K$3:$K$500,"=818")</f>
        <v>0</v>
      </c>
      <c r="H35" s="105">
        <f>SUMIFS('Plan prihoda za unos u SAP'!$G$3:$G$500,'Plan prihoda za unos u SAP'!$C$3:$C$500,"=41",'Plan prihoda za unos u SAP'!$K$3:$K$500,"=818")</f>
        <v>0</v>
      </c>
      <c r="I35" s="105">
        <f>SUMIFS('Plan prihoda za unos u SAP'!$G$3:$G$500,'Plan prihoda za unos u SAP'!$C$3:$C$500,"=43",'Plan prihoda za unos u SAP'!$K$3:$K$500,"=818")</f>
        <v>0</v>
      </c>
      <c r="J35" s="105">
        <f>SUMIFS('Plan prihoda za unos u SAP'!$G$3:$G$500,'Plan prihoda za unos u SAP'!$C$3:$C$500,"=51",'Plan prihoda za unos u SAP'!$K$3:$K$500,"=818")</f>
        <v>0</v>
      </c>
      <c r="K35" s="105">
        <f>SUMIFS('Plan prihoda za unos u SAP'!$G$3:$G$500,'Plan prihoda za unos u SAP'!$C$3:$C$500,"=52",'Plan prihoda za unos u SAP'!$K$3:$K$500,"=818")</f>
        <v>0</v>
      </c>
      <c r="L35" s="105">
        <f>SUMIFS('Plan prihoda za unos u SAP'!$G$3:$G$500,'Plan prihoda za unos u SAP'!$C$3:$C$500,"=552",'Plan prihoda za unos u SAP'!$K$3:$K$500,"=818")</f>
        <v>0</v>
      </c>
      <c r="M35" s="105">
        <f>SUMIFS('Plan prihoda za unos u SAP'!$G$3:$G$500,'Plan prihoda za unos u SAP'!$C$3:$C$500,"=559",'Plan prihoda za unos u SAP'!$K$3:$K$500,"=818")</f>
        <v>0</v>
      </c>
      <c r="N35" s="105">
        <f>SUMIFS('Plan prihoda za unos u SAP'!$G$3:$G$500,'Plan prihoda za unos u SAP'!$C$3:$C$500,"=561",'Plan prihoda za unos u SAP'!$K$3:$K$500,"=818")</f>
        <v>0</v>
      </c>
      <c r="O35" s="105">
        <f>SUMIFS('Plan prihoda za unos u SAP'!$G$3:$G$500,'Plan prihoda za unos u SAP'!$C$3:$C$500,"=563",'Plan prihoda za unos u SAP'!$K$3:$K$500,"=818")</f>
        <v>0</v>
      </c>
      <c r="P35" s="105">
        <f>SUMIFS('Plan prihoda za unos u SAP'!$G$3:$G$500,'Plan prihoda za unos u SAP'!$C$3:$C$500,"=573",'Plan prihoda za unos u SAP'!$K$3:$K$500,"=818")</f>
        <v>0</v>
      </c>
      <c r="Q35" s="105">
        <f>SUMIFS('Plan prihoda za unos u SAP'!$G$3:$G$500,'Plan prihoda za unos u SAP'!$C$3:$C$500,"=575",'Plan prihoda za unos u SAP'!$K$3:$K$500,"=818")</f>
        <v>0</v>
      </c>
      <c r="R35" s="105">
        <f>SUMIFS('Plan prihoda za unos u SAP'!$G$3:$G$500,'Plan prihoda za unos u SAP'!$C$3:$C$500,"=576",'Plan prihoda za unos u SAP'!$K$3:$K$500,"=818")</f>
        <v>0</v>
      </c>
      <c r="S35" s="105">
        <f>SUMIFS('Plan prihoda za unos u SAP'!$G$3:$G$500,'Plan prihoda za unos u SAP'!$C$3:$C$500,"=581",'Plan prihoda za unos u SAP'!$K$3:$K$500,"=818")</f>
        <v>0</v>
      </c>
      <c r="T35" s="105">
        <f>SUMIFS('Plan prihoda za unos u SAP'!$G$3:$G$500,'Plan prihoda za unos u SAP'!$C$3:$C$500,"=61",'Plan prihoda za unos u SAP'!$K$3:$K$500,"=818")</f>
        <v>0</v>
      </c>
      <c r="U35" s="105">
        <f>SUMIFS('Plan prihoda za unos u SAP'!$G$3:$G$500,'Plan prihoda za unos u SAP'!$C$3:$C$500,"=63",'Plan prihoda za unos u SAP'!$K$3:$K$500,"=818")</f>
        <v>0</v>
      </c>
      <c r="V35" s="105">
        <f>SUMIFS('Plan prihoda za unos u SAP'!$G$3:$G$500,'Plan prihoda za unos u SAP'!$C$3:$C$500,"=71",'Plan prihoda za unos u SAP'!$K$3:$K$500,"=818")</f>
        <v>0</v>
      </c>
      <c r="W35" s="105">
        <f>SUMIFS('Plan prihoda za unos u SAP'!$G$3:$G$500,'Plan prihoda za unos u SAP'!$C$3:$C$500,"=81",'Plan prihoda za unos u SAP'!$K$3:$K$500,"=818")</f>
        <v>0</v>
      </c>
      <c r="X35" s="80"/>
      <c r="Y35" s="80"/>
      <c r="Z35" s="80"/>
      <c r="AA35" s="80"/>
      <c r="AB35" s="80"/>
      <c r="AC35" s="80"/>
    </row>
    <row r="36" spans="1:29" ht="12.75" customHeight="1">
      <c r="A36" s="80">
        <v>2021</v>
      </c>
      <c r="B36" s="110">
        <v>832</v>
      </c>
      <c r="C36" s="89" t="s">
        <v>3413</v>
      </c>
      <c r="D36" s="90">
        <f t="shared" si="0"/>
        <v>0</v>
      </c>
      <c r="E36" s="105">
        <f>SUMIFS('Plan prihoda za unos u SAP'!$G$3:$G$500,'Plan prihoda za unos u SAP'!$C$3:$C$500,"=11",'Plan prihoda za unos u SAP'!$K$3:$K$500,"=832")</f>
        <v>0</v>
      </c>
      <c r="F36" s="105">
        <f>SUMIFS('Plan prihoda za unos u SAP'!$G$3:$G$500,'Plan prihoda za unos u SAP'!$C$3:$C$500,"=12",'Plan prihoda za unos u SAP'!$K$3:$K$500,"=832")</f>
        <v>0</v>
      </c>
      <c r="G36" s="105">
        <f>SUMIFS('Plan prihoda za unos u SAP'!$G$3:$G$500,'Plan prihoda za unos u SAP'!$C$3:$C$500,"=31",'Plan prihoda za unos u SAP'!$K$3:$K$500,"=832")</f>
        <v>0</v>
      </c>
      <c r="H36" s="105">
        <f>SUMIFS('Plan prihoda za unos u SAP'!$G$3:$G$500,'Plan prihoda za unos u SAP'!$C$3:$C$500,"=41",'Plan prihoda za unos u SAP'!$K$3:$K$500,"=832")</f>
        <v>0</v>
      </c>
      <c r="I36" s="105">
        <f>SUMIFS('Plan prihoda za unos u SAP'!$G$3:$G$500,'Plan prihoda za unos u SAP'!$C$3:$C$500,"=43",'Plan prihoda za unos u SAP'!$K$3:$K$500,"=832")</f>
        <v>0</v>
      </c>
      <c r="J36" s="105">
        <f>SUMIFS('Plan prihoda za unos u SAP'!$G$3:$G$500,'Plan prihoda za unos u SAP'!$C$3:$C$500,"=51",'Plan prihoda za unos u SAP'!$K$3:$K$500,"=832")</f>
        <v>0</v>
      </c>
      <c r="K36" s="105">
        <f>SUMIFS('Plan prihoda za unos u SAP'!$G$3:$G$500,'Plan prihoda za unos u SAP'!$C$3:$C$500,"=52",'Plan prihoda za unos u SAP'!$K$3:$K$500,"=832")</f>
        <v>0</v>
      </c>
      <c r="L36" s="105">
        <f>SUMIFS('Plan prihoda za unos u SAP'!$G$3:$G$500,'Plan prihoda za unos u SAP'!$C$3:$C$500,"=552",'Plan prihoda za unos u SAP'!$K$3:$K$500,"=832")</f>
        <v>0</v>
      </c>
      <c r="M36" s="105">
        <f>SUMIFS('Plan prihoda za unos u SAP'!$G$3:$G$500,'Plan prihoda za unos u SAP'!$C$3:$C$500,"=559",'Plan prihoda za unos u SAP'!$K$3:$K$500,"=832")</f>
        <v>0</v>
      </c>
      <c r="N36" s="105">
        <f>SUMIFS('Plan prihoda za unos u SAP'!$G$3:$G$500,'Plan prihoda za unos u SAP'!$C$3:$C$500,"=561",'Plan prihoda za unos u SAP'!$K$3:$K$500,"=832")</f>
        <v>0</v>
      </c>
      <c r="O36" s="105">
        <f>SUMIFS('Plan prihoda za unos u SAP'!$G$3:$G$500,'Plan prihoda za unos u SAP'!$C$3:$C$500,"=563",'Plan prihoda za unos u SAP'!$K$3:$K$500,"=832")</f>
        <v>0</v>
      </c>
      <c r="P36" s="105">
        <f>SUMIFS('Plan prihoda za unos u SAP'!$G$3:$G$500,'Plan prihoda za unos u SAP'!$C$3:$C$500,"=573",'Plan prihoda za unos u SAP'!$K$3:$K$500,"=832")</f>
        <v>0</v>
      </c>
      <c r="Q36" s="105">
        <f>SUMIFS('Plan prihoda za unos u SAP'!$G$3:$G$500,'Plan prihoda za unos u SAP'!$C$3:$C$500,"=575",'Plan prihoda za unos u SAP'!$K$3:$K$500,"=832")</f>
        <v>0</v>
      </c>
      <c r="R36" s="105">
        <f>SUMIFS('Plan prihoda za unos u SAP'!$G$3:$G$500,'Plan prihoda za unos u SAP'!$C$3:$C$500,"=576",'Plan prihoda za unos u SAP'!$K$3:$K$500,"=832")</f>
        <v>0</v>
      </c>
      <c r="S36" s="105">
        <f>SUMIFS('Plan prihoda za unos u SAP'!$G$3:$G$500,'Plan prihoda za unos u SAP'!$C$3:$C$500,"=581",'Plan prihoda za unos u SAP'!$K$3:$K$500,"=832")</f>
        <v>0</v>
      </c>
      <c r="T36" s="105">
        <f>SUMIFS('Plan prihoda za unos u SAP'!$G$3:$G$500,'Plan prihoda za unos u SAP'!$C$3:$C$500,"=61",'Plan prihoda za unos u SAP'!$K$3:$K$500,"=832")</f>
        <v>0</v>
      </c>
      <c r="U36" s="105">
        <f>SUMIFS('Plan prihoda za unos u SAP'!$G$3:$G$500,'Plan prihoda za unos u SAP'!$C$3:$C$500,"=63",'Plan prihoda za unos u SAP'!$K$3:$K$500,"=832")</f>
        <v>0</v>
      </c>
      <c r="V36" s="105">
        <f>SUMIFS('Plan prihoda za unos u SAP'!$G$3:$G$500,'Plan prihoda za unos u SAP'!$C$3:$C$500,"=71",'Plan prihoda za unos u SAP'!$K$3:$K$500,"=832")</f>
        <v>0</v>
      </c>
      <c r="W36" s="105">
        <f>SUMIFS('Plan prihoda za unos u SAP'!$G$3:$G$500,'Plan prihoda za unos u SAP'!$C$3:$C$500,"=81",'Plan prihoda za unos u SAP'!$K$3:$K$500,"=832")</f>
        <v>0</v>
      </c>
      <c r="X36" s="80"/>
      <c r="Y36" s="80"/>
      <c r="Z36" s="80"/>
      <c r="AA36" s="80"/>
      <c r="AB36" s="80"/>
      <c r="AC36" s="80"/>
    </row>
    <row r="37" spans="1:29" ht="12.75" customHeight="1">
      <c r="A37" s="80">
        <v>2021</v>
      </c>
      <c r="B37" s="110">
        <v>833</v>
      </c>
      <c r="C37" s="89" t="s">
        <v>3414</v>
      </c>
      <c r="D37" s="90">
        <f t="shared" si="0"/>
        <v>0</v>
      </c>
      <c r="E37" s="105">
        <f>SUMIFS('Plan prihoda za unos u SAP'!$G$3:$G$500,'Plan prihoda za unos u SAP'!$C$3:$C$500,"=11",'Plan prihoda za unos u SAP'!$K$3:$K$500,"=833")</f>
        <v>0</v>
      </c>
      <c r="F37" s="105">
        <f>SUMIFS('Plan prihoda za unos u SAP'!$G$3:$G$500,'Plan prihoda za unos u SAP'!$C$3:$C$500,"=12",'Plan prihoda za unos u SAP'!$K$3:$K$500,"=833")</f>
        <v>0</v>
      </c>
      <c r="G37" s="105">
        <f>SUMIFS('Plan prihoda za unos u SAP'!$G$3:$G$500,'Plan prihoda za unos u SAP'!$C$3:$C$500,"=31",'Plan prihoda za unos u SAP'!$K$3:$K$500,"=833")</f>
        <v>0</v>
      </c>
      <c r="H37" s="105">
        <f>SUMIFS('Plan prihoda za unos u SAP'!$G$3:$G$500,'Plan prihoda za unos u SAP'!$C$3:$C$500,"=41",'Plan prihoda za unos u SAP'!$K$3:$K$500,"=833")</f>
        <v>0</v>
      </c>
      <c r="I37" s="105">
        <f>SUMIFS('Plan prihoda za unos u SAP'!$G$3:$G$500,'Plan prihoda za unos u SAP'!$C$3:$C$500,"=43",'Plan prihoda za unos u SAP'!$K$3:$K$500,"=833")</f>
        <v>0</v>
      </c>
      <c r="J37" s="105">
        <f>SUMIFS('Plan prihoda za unos u SAP'!$G$3:$G$500,'Plan prihoda za unos u SAP'!$C$3:$C$500,"=51",'Plan prihoda za unos u SAP'!$K$3:$K$500,"=833")</f>
        <v>0</v>
      </c>
      <c r="K37" s="105">
        <f>SUMIFS('Plan prihoda za unos u SAP'!$G$3:$G$500,'Plan prihoda za unos u SAP'!$C$3:$C$500,"=52",'Plan prihoda za unos u SAP'!$K$3:$K$500,"=833")</f>
        <v>0</v>
      </c>
      <c r="L37" s="105">
        <f>SUMIFS('Plan prihoda za unos u SAP'!$G$3:$G$500,'Plan prihoda za unos u SAP'!$C$3:$C$500,"=552",'Plan prihoda za unos u SAP'!$K$3:$K$500,"=833")</f>
        <v>0</v>
      </c>
      <c r="M37" s="105">
        <f>SUMIFS('Plan prihoda za unos u SAP'!$G$3:$G$500,'Plan prihoda za unos u SAP'!$C$3:$C$500,"=559",'Plan prihoda za unos u SAP'!$K$3:$K$500,"=833")</f>
        <v>0</v>
      </c>
      <c r="N37" s="105">
        <f>SUMIFS('Plan prihoda za unos u SAP'!$G$3:$G$500,'Plan prihoda za unos u SAP'!$C$3:$C$500,"=561",'Plan prihoda za unos u SAP'!$K$3:$K$500,"=833")</f>
        <v>0</v>
      </c>
      <c r="O37" s="105">
        <f>SUMIFS('Plan prihoda za unos u SAP'!$G$3:$G$500,'Plan prihoda za unos u SAP'!$C$3:$C$500,"=563",'Plan prihoda za unos u SAP'!$K$3:$K$500,"=833")</f>
        <v>0</v>
      </c>
      <c r="P37" s="105">
        <f>SUMIFS('Plan prihoda za unos u SAP'!$G$3:$G$500,'Plan prihoda za unos u SAP'!$C$3:$C$500,"=573",'Plan prihoda za unos u SAP'!$K$3:$K$500,"=833")</f>
        <v>0</v>
      </c>
      <c r="Q37" s="105">
        <f>SUMIFS('Plan prihoda za unos u SAP'!$G$3:$G$500,'Plan prihoda za unos u SAP'!$C$3:$C$500,"=575",'Plan prihoda za unos u SAP'!$K$3:$K$500,"=833")</f>
        <v>0</v>
      </c>
      <c r="R37" s="105">
        <f>SUMIFS('Plan prihoda za unos u SAP'!$G$3:$G$500,'Plan prihoda za unos u SAP'!$C$3:$C$500,"=576",'Plan prihoda za unos u SAP'!$K$3:$K$500,"=833")</f>
        <v>0</v>
      </c>
      <c r="S37" s="105">
        <f>SUMIFS('Plan prihoda za unos u SAP'!$G$3:$G$500,'Plan prihoda za unos u SAP'!$C$3:$C$500,"=581",'Plan prihoda za unos u SAP'!$K$3:$K$500,"=833")</f>
        <v>0</v>
      </c>
      <c r="T37" s="105">
        <f>SUMIFS('Plan prihoda za unos u SAP'!$G$3:$G$500,'Plan prihoda za unos u SAP'!$C$3:$C$500,"=61",'Plan prihoda za unos u SAP'!$K$3:$K$500,"=833")</f>
        <v>0</v>
      </c>
      <c r="U37" s="105">
        <f>SUMIFS('Plan prihoda za unos u SAP'!$G$3:$G$500,'Plan prihoda za unos u SAP'!$C$3:$C$500,"=63",'Plan prihoda za unos u SAP'!$K$3:$K$500,"=833")</f>
        <v>0</v>
      </c>
      <c r="V37" s="105">
        <f>SUMIFS('Plan prihoda za unos u SAP'!$G$3:$G$500,'Plan prihoda za unos u SAP'!$C$3:$C$500,"=71",'Plan prihoda za unos u SAP'!$K$3:$K$500,"=833")</f>
        <v>0</v>
      </c>
      <c r="W37" s="105">
        <f>SUMIFS('Plan prihoda za unos u SAP'!$G$3:$G$500,'Plan prihoda za unos u SAP'!$C$3:$C$500,"=81",'Plan prihoda za unos u SAP'!$K$3:$K$500,"=833")</f>
        <v>0</v>
      </c>
      <c r="X37" s="80"/>
      <c r="Y37" s="80"/>
      <c r="Z37" s="80"/>
      <c r="AA37" s="80"/>
      <c r="AB37" s="80"/>
      <c r="AC37" s="80"/>
    </row>
    <row r="38" spans="1:29" ht="12.75" customHeight="1">
      <c r="A38" s="80">
        <v>2021</v>
      </c>
      <c r="B38" s="110">
        <v>841</v>
      </c>
      <c r="C38" s="89" t="s">
        <v>3415</v>
      </c>
      <c r="D38" s="90">
        <f t="shared" si="0"/>
        <v>0</v>
      </c>
      <c r="E38" s="105">
        <f>SUMIFS('Plan prihoda za unos u SAP'!$G$3:$G$500,'Plan prihoda za unos u SAP'!$C$3:$C$500,"=11",'Plan prihoda za unos u SAP'!$K$3:$K$500,"=841")</f>
        <v>0</v>
      </c>
      <c r="F38" s="105">
        <f>SUMIFS('Plan prihoda za unos u SAP'!$G$3:$G$500,'Plan prihoda za unos u SAP'!$C$3:$C$500,"=12",'Plan prihoda za unos u SAP'!$K$3:$K$500,"=841")</f>
        <v>0</v>
      </c>
      <c r="G38" s="105">
        <f>SUMIFS('Plan prihoda za unos u SAP'!$G$3:$G$500,'Plan prihoda za unos u SAP'!$C$3:$C$500,"=31",'Plan prihoda za unos u SAP'!$K$3:$K$500,"=841")</f>
        <v>0</v>
      </c>
      <c r="H38" s="105">
        <f>SUMIFS('Plan prihoda za unos u SAP'!$G$3:$G$500,'Plan prihoda za unos u SAP'!$C$3:$C$500,"=41",'Plan prihoda za unos u SAP'!$K$3:$K$500,"=841")</f>
        <v>0</v>
      </c>
      <c r="I38" s="105">
        <f>SUMIFS('Plan prihoda za unos u SAP'!$G$3:$G$500,'Plan prihoda za unos u SAP'!$C$3:$C$500,"=43",'Plan prihoda za unos u SAP'!$K$3:$K$500,"=841")</f>
        <v>0</v>
      </c>
      <c r="J38" s="105">
        <f>SUMIFS('Plan prihoda za unos u SAP'!$G$3:$G$500,'Plan prihoda za unos u SAP'!$C$3:$C$500,"=51",'Plan prihoda za unos u SAP'!$K$3:$K$500,"=841")</f>
        <v>0</v>
      </c>
      <c r="K38" s="105">
        <f>SUMIFS('Plan prihoda za unos u SAP'!$G$3:$G$500,'Plan prihoda za unos u SAP'!$C$3:$C$500,"=52",'Plan prihoda za unos u SAP'!$K$3:$K$500,"=841")</f>
        <v>0</v>
      </c>
      <c r="L38" s="105">
        <f>SUMIFS('Plan prihoda za unos u SAP'!$G$3:$G$500,'Plan prihoda za unos u SAP'!$C$3:$C$500,"=552",'Plan prihoda za unos u SAP'!$K$3:$K$500,"=841")</f>
        <v>0</v>
      </c>
      <c r="M38" s="105">
        <f>SUMIFS('Plan prihoda za unos u SAP'!$G$3:$G$500,'Plan prihoda za unos u SAP'!$C$3:$C$500,"=559",'Plan prihoda za unos u SAP'!$K$3:$K$500,"=841")</f>
        <v>0</v>
      </c>
      <c r="N38" s="105">
        <f>SUMIFS('Plan prihoda za unos u SAP'!$G$3:$G$500,'Plan prihoda za unos u SAP'!$C$3:$C$500,"=561",'Plan prihoda za unos u SAP'!$K$3:$K$500,"=841")</f>
        <v>0</v>
      </c>
      <c r="O38" s="105">
        <f>SUMIFS('Plan prihoda za unos u SAP'!$G$3:$G$500,'Plan prihoda za unos u SAP'!$C$3:$C$500,"=563",'Plan prihoda za unos u SAP'!$K$3:$K$500,"=841")</f>
        <v>0</v>
      </c>
      <c r="P38" s="105">
        <f>SUMIFS('Plan prihoda za unos u SAP'!$G$3:$G$500,'Plan prihoda za unos u SAP'!$C$3:$C$500,"=573",'Plan prihoda za unos u SAP'!$K$3:$K$500,"=841")</f>
        <v>0</v>
      </c>
      <c r="Q38" s="105">
        <f>SUMIFS('Plan prihoda za unos u SAP'!$G$3:$G$500,'Plan prihoda za unos u SAP'!$C$3:$C$500,"=575",'Plan prihoda za unos u SAP'!$K$3:$K$500,"=841")</f>
        <v>0</v>
      </c>
      <c r="R38" s="105">
        <f>SUMIFS('Plan prihoda za unos u SAP'!$G$3:$G$500,'Plan prihoda za unos u SAP'!$C$3:$C$500,"=576",'Plan prihoda za unos u SAP'!$K$3:$K$500,"=841")</f>
        <v>0</v>
      </c>
      <c r="S38" s="105">
        <f>SUMIFS('Plan prihoda za unos u SAP'!$G$3:$G$500,'Plan prihoda za unos u SAP'!$C$3:$C$500,"=581",'Plan prihoda za unos u SAP'!$K$3:$K$500,"=841")</f>
        <v>0</v>
      </c>
      <c r="T38" s="105">
        <f>SUMIFS('Plan prihoda za unos u SAP'!$G$3:$G$500,'Plan prihoda za unos u SAP'!$C$3:$C$500,"=61",'Plan prihoda za unos u SAP'!$K$3:$K$500,"=841")</f>
        <v>0</v>
      </c>
      <c r="U38" s="105">
        <f>SUMIFS('Plan prihoda za unos u SAP'!$G$3:$G$500,'Plan prihoda za unos u SAP'!$C$3:$C$500,"=63",'Plan prihoda za unos u SAP'!$K$3:$K$500,"=841")</f>
        <v>0</v>
      </c>
      <c r="V38" s="105">
        <f>SUMIFS('Plan prihoda za unos u SAP'!$G$3:$G$500,'Plan prihoda za unos u SAP'!$C$3:$C$500,"=71",'Plan prihoda za unos u SAP'!$K$3:$K$500,"=841")</f>
        <v>0</v>
      </c>
      <c r="W38" s="105">
        <f>SUMIFS('Plan prihoda za unos u SAP'!$G$3:$G$500,'Plan prihoda za unos u SAP'!$C$3:$C$500,"=81",'Plan prihoda za unos u SAP'!$K$3:$K$500,"=841")</f>
        <v>0</v>
      </c>
      <c r="X38" s="80"/>
      <c r="Y38" s="80"/>
      <c r="Z38" s="80"/>
      <c r="AA38" s="80"/>
      <c r="AB38" s="80"/>
      <c r="AC38" s="80"/>
    </row>
    <row r="39" spans="1:29" ht="12.75" customHeight="1">
      <c r="A39" s="80">
        <v>2021</v>
      </c>
      <c r="B39" s="110">
        <v>842</v>
      </c>
      <c r="C39" s="89" t="s">
        <v>3416</v>
      </c>
      <c r="D39" s="90">
        <f t="shared" si="0"/>
        <v>0</v>
      </c>
      <c r="E39" s="105">
        <f>SUMIFS('Plan prihoda za unos u SAP'!$G$3:$G$500,'Plan prihoda za unos u SAP'!$C$3:$C$500,"=11",'Plan prihoda za unos u SAP'!$K$3:$K$500,"=842")</f>
        <v>0</v>
      </c>
      <c r="F39" s="105">
        <f>SUMIFS('Plan prihoda za unos u SAP'!$G$3:$G$500,'Plan prihoda za unos u SAP'!$C$3:$C$500,"=12",'Plan prihoda za unos u SAP'!$K$3:$K$500,"=842")</f>
        <v>0</v>
      </c>
      <c r="G39" s="105">
        <f>SUMIFS('Plan prihoda za unos u SAP'!$G$3:$G$500,'Plan prihoda za unos u SAP'!$C$3:$C$500,"=31",'Plan prihoda za unos u SAP'!$K$3:$K$500,"=842")</f>
        <v>0</v>
      </c>
      <c r="H39" s="105">
        <f>SUMIFS('Plan prihoda za unos u SAP'!$G$3:$G$500,'Plan prihoda za unos u SAP'!$C$3:$C$500,"=41",'Plan prihoda za unos u SAP'!$K$3:$K$500,"=842")</f>
        <v>0</v>
      </c>
      <c r="I39" s="105">
        <f>SUMIFS('Plan prihoda za unos u SAP'!$G$3:$G$500,'Plan prihoda za unos u SAP'!$C$3:$C$500,"=43",'Plan prihoda za unos u SAP'!$K$3:$K$500,"=842")</f>
        <v>0</v>
      </c>
      <c r="J39" s="105">
        <f>SUMIFS('Plan prihoda za unos u SAP'!$G$3:$G$500,'Plan prihoda za unos u SAP'!$C$3:$C$500,"=51",'Plan prihoda za unos u SAP'!$K$3:$K$500,"=842")</f>
        <v>0</v>
      </c>
      <c r="K39" s="105">
        <f>SUMIFS('Plan prihoda za unos u SAP'!$G$3:$G$500,'Plan prihoda za unos u SAP'!$C$3:$C$500,"=52",'Plan prihoda za unos u SAP'!$K$3:$K$500,"=842")</f>
        <v>0</v>
      </c>
      <c r="L39" s="105">
        <f>SUMIFS('Plan prihoda za unos u SAP'!$G$3:$G$500,'Plan prihoda za unos u SAP'!$C$3:$C$500,"=552",'Plan prihoda za unos u SAP'!$K$3:$K$500,"=842")</f>
        <v>0</v>
      </c>
      <c r="M39" s="105">
        <f>SUMIFS('Plan prihoda za unos u SAP'!$G$3:$G$500,'Plan prihoda za unos u SAP'!$C$3:$C$500,"=559",'Plan prihoda za unos u SAP'!$K$3:$K$500,"=842")</f>
        <v>0</v>
      </c>
      <c r="N39" s="105">
        <f>SUMIFS('Plan prihoda za unos u SAP'!$G$3:$G$500,'Plan prihoda za unos u SAP'!$C$3:$C$500,"=561",'Plan prihoda za unos u SAP'!$K$3:$K$500,"=842")</f>
        <v>0</v>
      </c>
      <c r="O39" s="105">
        <f>SUMIFS('Plan prihoda za unos u SAP'!$G$3:$G$500,'Plan prihoda za unos u SAP'!$C$3:$C$500,"=563",'Plan prihoda za unos u SAP'!$K$3:$K$500,"=842")</f>
        <v>0</v>
      </c>
      <c r="P39" s="105">
        <f>SUMIFS('Plan prihoda za unos u SAP'!$G$3:$G$500,'Plan prihoda za unos u SAP'!$C$3:$C$500,"=573",'Plan prihoda za unos u SAP'!$K$3:$K$500,"=842")</f>
        <v>0</v>
      </c>
      <c r="Q39" s="105">
        <f>SUMIFS('Plan prihoda za unos u SAP'!$G$3:$G$500,'Plan prihoda za unos u SAP'!$C$3:$C$500,"=575",'Plan prihoda za unos u SAP'!$K$3:$K$500,"=842")</f>
        <v>0</v>
      </c>
      <c r="R39" s="105">
        <f>SUMIFS('Plan prihoda za unos u SAP'!$G$3:$G$500,'Plan prihoda za unos u SAP'!$C$3:$C$500,"=576",'Plan prihoda za unos u SAP'!$K$3:$K$500,"=842")</f>
        <v>0</v>
      </c>
      <c r="S39" s="105">
        <f>SUMIFS('Plan prihoda za unos u SAP'!$G$3:$G$500,'Plan prihoda za unos u SAP'!$C$3:$C$500,"=581",'Plan prihoda za unos u SAP'!$K$3:$K$500,"=842")</f>
        <v>0</v>
      </c>
      <c r="T39" s="105">
        <f>SUMIFS('Plan prihoda za unos u SAP'!$G$3:$G$500,'Plan prihoda za unos u SAP'!$C$3:$C$500,"=61",'Plan prihoda za unos u SAP'!$K$3:$K$500,"=842")</f>
        <v>0</v>
      </c>
      <c r="U39" s="105">
        <f>SUMIFS('Plan prihoda za unos u SAP'!$G$3:$G$500,'Plan prihoda za unos u SAP'!$C$3:$C$500,"=63",'Plan prihoda za unos u SAP'!$K$3:$K$500,"=842")</f>
        <v>0</v>
      </c>
      <c r="V39" s="105">
        <f>SUMIFS('Plan prihoda za unos u SAP'!$G$3:$G$500,'Plan prihoda za unos u SAP'!$C$3:$C$500,"=71",'Plan prihoda za unos u SAP'!$K$3:$K$500,"=842")</f>
        <v>0</v>
      </c>
      <c r="W39" s="105">
        <f>SUMIFS('Plan prihoda za unos u SAP'!$G$3:$G$500,'Plan prihoda za unos u SAP'!$C$3:$C$500,"=81",'Plan prihoda za unos u SAP'!$K$3:$K$500,"=842")</f>
        <v>0</v>
      </c>
      <c r="X39" s="80"/>
      <c r="Y39" s="80"/>
      <c r="Z39" s="80"/>
      <c r="AA39" s="80"/>
      <c r="AB39" s="80"/>
      <c r="AC39" s="80"/>
    </row>
    <row r="40" spans="1:29" ht="12.75" customHeight="1">
      <c r="A40" s="80">
        <v>2021</v>
      </c>
      <c r="B40" s="106" t="s">
        <v>3417</v>
      </c>
      <c r="C40" s="107" t="s">
        <v>3398</v>
      </c>
      <c r="D40" s="90">
        <f t="shared" si="0"/>
        <v>0</v>
      </c>
      <c r="E40" s="108">
        <f t="shared" ref="E40:W40" si="6">SUM(E35:E39)</f>
        <v>0</v>
      </c>
      <c r="F40" s="108">
        <f t="shared" si="6"/>
        <v>0</v>
      </c>
      <c r="G40" s="108">
        <f t="shared" si="6"/>
        <v>0</v>
      </c>
      <c r="H40" s="108">
        <f t="shared" si="6"/>
        <v>0</v>
      </c>
      <c r="I40" s="108">
        <f t="shared" si="6"/>
        <v>0</v>
      </c>
      <c r="J40" s="108">
        <f t="shared" si="6"/>
        <v>0</v>
      </c>
      <c r="K40" s="108">
        <f t="shared" si="6"/>
        <v>0</v>
      </c>
      <c r="L40" s="108">
        <f t="shared" si="6"/>
        <v>0</v>
      </c>
      <c r="M40" s="108">
        <f t="shared" si="6"/>
        <v>0</v>
      </c>
      <c r="N40" s="108">
        <f t="shared" si="6"/>
        <v>0</v>
      </c>
      <c r="O40" s="108">
        <f t="shared" si="6"/>
        <v>0</v>
      </c>
      <c r="P40" s="108">
        <f t="shared" si="6"/>
        <v>0</v>
      </c>
      <c r="Q40" s="108">
        <f t="shared" si="6"/>
        <v>0</v>
      </c>
      <c r="R40" s="108">
        <f t="shared" si="6"/>
        <v>0</v>
      </c>
      <c r="S40" s="108">
        <f t="shared" si="6"/>
        <v>0</v>
      </c>
      <c r="T40" s="108">
        <f t="shared" si="6"/>
        <v>0</v>
      </c>
      <c r="U40" s="108">
        <f t="shared" si="6"/>
        <v>0</v>
      </c>
      <c r="V40" s="108">
        <f t="shared" si="6"/>
        <v>0</v>
      </c>
      <c r="W40" s="108">
        <f t="shared" si="6"/>
        <v>0</v>
      </c>
      <c r="X40" s="80"/>
      <c r="Y40" s="80"/>
      <c r="Z40" s="80"/>
      <c r="AA40" s="80"/>
      <c r="AB40" s="80"/>
      <c r="AC40" s="80"/>
    </row>
    <row r="41" spans="1:29" ht="12.75" customHeight="1">
      <c r="A41" s="80">
        <v>2021</v>
      </c>
      <c r="B41" s="85" t="s">
        <v>3418</v>
      </c>
      <c r="C41" s="85"/>
      <c r="D41" s="90">
        <f t="shared" si="0"/>
        <v>486237247</v>
      </c>
      <c r="E41" s="111">
        <f t="shared" ref="E41:W41" si="7">+E40+E34+E27</f>
        <v>138511770</v>
      </c>
      <c r="F41" s="111">
        <f t="shared" si="7"/>
        <v>0</v>
      </c>
      <c r="G41" s="111">
        <f t="shared" si="7"/>
        <v>13343782</v>
      </c>
      <c r="H41" s="111">
        <f t="shared" si="7"/>
        <v>0</v>
      </c>
      <c r="I41" s="111">
        <f t="shared" si="7"/>
        <v>23000000</v>
      </c>
      <c r="J41" s="111">
        <f t="shared" si="7"/>
        <v>279390</v>
      </c>
      <c r="K41" s="111">
        <f t="shared" si="7"/>
        <v>10728285</v>
      </c>
      <c r="L41" s="111">
        <f t="shared" si="7"/>
        <v>0</v>
      </c>
      <c r="M41" s="111">
        <f t="shared" si="7"/>
        <v>0</v>
      </c>
      <c r="N41" s="111">
        <f t="shared" si="7"/>
        <v>0</v>
      </c>
      <c r="O41" s="111">
        <f t="shared" si="7"/>
        <v>22045383</v>
      </c>
      <c r="P41" s="111">
        <f t="shared" si="7"/>
        <v>0</v>
      </c>
      <c r="Q41" s="111">
        <f t="shared" si="7"/>
        <v>0</v>
      </c>
      <c r="R41" s="111">
        <f t="shared" si="7"/>
        <v>175730498</v>
      </c>
      <c r="S41" s="111">
        <f t="shared" si="7"/>
        <v>102093139</v>
      </c>
      <c r="T41" s="111">
        <f t="shared" si="7"/>
        <v>505000</v>
      </c>
      <c r="U41" s="111">
        <f t="shared" si="7"/>
        <v>0</v>
      </c>
      <c r="V41" s="111">
        <f t="shared" si="7"/>
        <v>0</v>
      </c>
      <c r="W41" s="111">
        <f t="shared" si="7"/>
        <v>0</v>
      </c>
      <c r="X41" s="80"/>
      <c r="Y41" s="80"/>
      <c r="Z41" s="80"/>
      <c r="AA41" s="80"/>
      <c r="AB41" s="80"/>
      <c r="AC41" s="80"/>
    </row>
    <row r="42" spans="1:29" ht="12.75" customHeight="1">
      <c r="A42" s="79"/>
      <c r="B42" s="112"/>
      <c r="C42" s="112"/>
      <c r="D42" s="112"/>
      <c r="E42" s="112"/>
      <c r="F42" s="112"/>
      <c r="G42" s="112"/>
      <c r="H42" s="112"/>
      <c r="I42" s="113"/>
      <c r="J42" s="114"/>
      <c r="K42" s="114"/>
      <c r="L42" s="114"/>
      <c r="M42" s="114"/>
      <c r="N42" s="114"/>
      <c r="O42" s="114"/>
      <c r="P42" s="114"/>
      <c r="Q42" s="114"/>
      <c r="R42" s="114"/>
      <c r="S42" s="82"/>
      <c r="T42" s="79"/>
      <c r="U42" s="79"/>
      <c r="V42" s="79"/>
      <c r="W42" s="82"/>
      <c r="X42" s="79"/>
      <c r="Y42" s="79"/>
      <c r="Z42" s="79"/>
      <c r="AA42" s="79"/>
      <c r="AB42" s="79"/>
      <c r="AC42" s="79"/>
    </row>
    <row r="43" spans="1:29" ht="12.75" customHeight="1">
      <c r="A43" s="80"/>
      <c r="B43" s="247" t="s">
        <v>3336</v>
      </c>
      <c r="C43" s="248"/>
      <c r="D43" s="249" t="s">
        <v>3419</v>
      </c>
      <c r="E43" s="250"/>
      <c r="F43" s="250"/>
      <c r="G43" s="250"/>
      <c r="H43" s="250"/>
      <c r="I43" s="250"/>
      <c r="J43" s="250"/>
      <c r="K43" s="250"/>
      <c r="L43" s="250"/>
      <c r="M43" s="250"/>
      <c r="N43" s="250"/>
      <c r="O43" s="250"/>
      <c r="P43" s="250"/>
      <c r="Q43" s="250"/>
      <c r="R43" s="250"/>
      <c r="S43" s="250"/>
      <c r="T43" s="250"/>
      <c r="U43" s="248"/>
      <c r="V43" s="83"/>
      <c r="W43" s="80"/>
      <c r="X43" s="80"/>
      <c r="Y43" s="80"/>
      <c r="Z43" s="80"/>
      <c r="AA43" s="80"/>
      <c r="AB43" s="80"/>
      <c r="AC43" s="80"/>
    </row>
    <row r="44" spans="1:29" ht="12.75" customHeight="1">
      <c r="A44" s="84" t="s">
        <v>3338</v>
      </c>
      <c r="B44" s="84" t="s">
        <v>3339</v>
      </c>
      <c r="C44" s="84" t="s">
        <v>3340</v>
      </c>
      <c r="D44" s="85" t="s">
        <v>3341</v>
      </c>
      <c r="E44" s="86" t="s">
        <v>3342</v>
      </c>
      <c r="F44" s="86" t="s">
        <v>3343</v>
      </c>
      <c r="G44" s="86" t="s">
        <v>3344</v>
      </c>
      <c r="H44" s="86" t="s">
        <v>3345</v>
      </c>
      <c r="I44" s="86" t="s">
        <v>3346</v>
      </c>
      <c r="J44" s="86" t="s">
        <v>3347</v>
      </c>
      <c r="K44" s="86" t="s">
        <v>3348</v>
      </c>
      <c r="L44" s="86" t="s">
        <v>3349</v>
      </c>
      <c r="M44" s="86" t="s">
        <v>3350</v>
      </c>
      <c r="N44" s="86" t="s">
        <v>3351</v>
      </c>
      <c r="O44" s="86" t="s">
        <v>3352</v>
      </c>
      <c r="P44" s="86" t="s">
        <v>3353</v>
      </c>
      <c r="Q44" s="86" t="s">
        <v>3354</v>
      </c>
      <c r="R44" s="86" t="s">
        <v>3355</v>
      </c>
      <c r="S44" s="87" t="s">
        <v>3356</v>
      </c>
      <c r="T44" s="86" t="s">
        <v>3357</v>
      </c>
      <c r="U44" s="87" t="s">
        <v>3358</v>
      </c>
      <c r="V44" s="87" t="s">
        <v>3359</v>
      </c>
      <c r="W44" s="87" t="s">
        <v>3360</v>
      </c>
      <c r="X44" s="80"/>
      <c r="Y44" s="80"/>
      <c r="Z44" s="80"/>
      <c r="AA44" s="80"/>
      <c r="AB44" s="80"/>
      <c r="AC44" s="80"/>
    </row>
    <row r="45" spans="1:29" ht="12.75" customHeight="1">
      <c r="A45" s="80">
        <v>2022</v>
      </c>
      <c r="B45" s="88"/>
      <c r="C45" s="89" t="s">
        <v>94</v>
      </c>
      <c r="D45" s="90">
        <f t="shared" ref="D45:D81" si="8">SUM(E45:W45)</f>
        <v>9379978</v>
      </c>
      <c r="E45" s="91">
        <f t="shared" ref="E45:W45" si="9">-E7</f>
        <v>0</v>
      </c>
      <c r="F45" s="91">
        <f t="shared" si="9"/>
        <v>0</v>
      </c>
      <c r="G45" s="91">
        <f t="shared" si="9"/>
        <v>1509684</v>
      </c>
      <c r="H45" s="91">
        <f t="shared" si="9"/>
        <v>0</v>
      </c>
      <c r="I45" s="91">
        <f t="shared" si="9"/>
        <v>6990830</v>
      </c>
      <c r="J45" s="91">
        <f t="shared" si="9"/>
        <v>537806</v>
      </c>
      <c r="K45" s="91">
        <f t="shared" si="9"/>
        <v>116390</v>
      </c>
      <c r="L45" s="91">
        <f t="shared" si="9"/>
        <v>0</v>
      </c>
      <c r="M45" s="91">
        <f t="shared" si="9"/>
        <v>0</v>
      </c>
      <c r="N45" s="91">
        <f t="shared" si="9"/>
        <v>0</v>
      </c>
      <c r="O45" s="91">
        <f t="shared" si="9"/>
        <v>0</v>
      </c>
      <c r="P45" s="91">
        <f t="shared" si="9"/>
        <v>0</v>
      </c>
      <c r="Q45" s="91">
        <f t="shared" si="9"/>
        <v>0</v>
      </c>
      <c r="R45" s="91">
        <f t="shared" si="9"/>
        <v>0</v>
      </c>
      <c r="S45" s="91">
        <f t="shared" si="9"/>
        <v>0</v>
      </c>
      <c r="T45" s="91">
        <f t="shared" si="9"/>
        <v>225268</v>
      </c>
      <c r="U45" s="91">
        <f t="shared" si="9"/>
        <v>0</v>
      </c>
      <c r="V45" s="91">
        <f t="shared" si="9"/>
        <v>0</v>
      </c>
      <c r="W45" s="91">
        <f t="shared" si="9"/>
        <v>0</v>
      </c>
      <c r="X45" s="80"/>
      <c r="Y45" s="80"/>
      <c r="Z45" s="80"/>
      <c r="AA45" s="80"/>
      <c r="AB45" s="80"/>
      <c r="AC45" s="80"/>
    </row>
    <row r="46" spans="1:29" ht="12.75" customHeight="1">
      <c r="A46" s="80">
        <v>2022</v>
      </c>
      <c r="B46" s="92"/>
      <c r="C46" s="93" t="s">
        <v>3361</v>
      </c>
      <c r="D46" s="90">
        <f t="shared" si="8"/>
        <v>192295040</v>
      </c>
      <c r="E46" s="94">
        <f t="shared" ref="E46:W46" si="10">+E67+E74</f>
        <v>139302798</v>
      </c>
      <c r="F46" s="94">
        <f t="shared" si="10"/>
        <v>0</v>
      </c>
      <c r="G46" s="94">
        <f t="shared" si="10"/>
        <v>15497220</v>
      </c>
      <c r="H46" s="94">
        <f t="shared" si="10"/>
        <v>0</v>
      </c>
      <c r="I46" s="94">
        <f t="shared" si="10"/>
        <v>24500000</v>
      </c>
      <c r="J46" s="94">
        <f t="shared" si="10"/>
        <v>636469</v>
      </c>
      <c r="K46" s="94">
        <f t="shared" si="10"/>
        <v>10645380</v>
      </c>
      <c r="L46" s="94">
        <f t="shared" si="10"/>
        <v>0</v>
      </c>
      <c r="M46" s="94">
        <f t="shared" si="10"/>
        <v>0</v>
      </c>
      <c r="N46" s="94">
        <f t="shared" si="10"/>
        <v>0</v>
      </c>
      <c r="O46" s="94">
        <f t="shared" si="10"/>
        <v>1033173</v>
      </c>
      <c r="P46" s="94">
        <f t="shared" si="10"/>
        <v>0</v>
      </c>
      <c r="Q46" s="94">
        <f t="shared" si="10"/>
        <v>0</v>
      </c>
      <c r="R46" s="94">
        <f t="shared" si="10"/>
        <v>0</v>
      </c>
      <c r="S46" s="94">
        <f t="shared" si="10"/>
        <v>0</v>
      </c>
      <c r="T46" s="94">
        <f t="shared" si="10"/>
        <v>680000</v>
      </c>
      <c r="U46" s="94">
        <f t="shared" si="10"/>
        <v>0</v>
      </c>
      <c r="V46" s="94">
        <f t="shared" si="10"/>
        <v>0</v>
      </c>
      <c r="W46" s="94">
        <f t="shared" si="10"/>
        <v>0</v>
      </c>
      <c r="X46" s="80"/>
      <c r="Y46" s="80"/>
      <c r="Z46" s="80"/>
      <c r="AA46" s="80"/>
      <c r="AB46" s="80"/>
      <c r="AC46" s="80"/>
    </row>
    <row r="47" spans="1:29" ht="12.75" customHeight="1">
      <c r="A47" s="80">
        <v>2022</v>
      </c>
      <c r="B47" s="88"/>
      <c r="C47" s="89" t="s">
        <v>3420</v>
      </c>
      <c r="D47" s="90">
        <f t="shared" si="8"/>
        <v>-10904914</v>
      </c>
      <c r="E47" s="115"/>
      <c r="F47" s="115"/>
      <c r="G47" s="115">
        <v>-3390494</v>
      </c>
      <c r="H47" s="115"/>
      <c r="I47" s="115">
        <v>-6628711</v>
      </c>
      <c r="J47" s="115">
        <v>-522296</v>
      </c>
      <c r="K47" s="115">
        <v>-116390</v>
      </c>
      <c r="L47" s="115"/>
      <c r="M47" s="91"/>
      <c r="N47" s="115"/>
      <c r="O47" s="115"/>
      <c r="P47" s="115"/>
      <c r="Q47" s="115"/>
      <c r="R47" s="115"/>
      <c r="S47" s="115"/>
      <c r="T47" s="115">
        <v>-247023</v>
      </c>
      <c r="U47" s="115"/>
      <c r="V47" s="115"/>
      <c r="W47" s="115"/>
      <c r="X47" s="80"/>
      <c r="Y47" s="80"/>
      <c r="Z47" s="80"/>
      <c r="AA47" s="80"/>
      <c r="AB47" s="80"/>
      <c r="AC47" s="80"/>
    </row>
    <row r="48" spans="1:29" ht="12.75" customHeight="1">
      <c r="A48" s="80">
        <v>2022</v>
      </c>
      <c r="B48" s="92"/>
      <c r="C48" s="93" t="s">
        <v>3363</v>
      </c>
      <c r="D48" s="90">
        <f t="shared" si="8"/>
        <v>190770104</v>
      </c>
      <c r="E48" s="94">
        <f t="shared" ref="E48:W48" si="11">+E45+E46+E47</f>
        <v>139302798</v>
      </c>
      <c r="F48" s="94">
        <f t="shared" si="11"/>
        <v>0</v>
      </c>
      <c r="G48" s="94">
        <f t="shared" si="11"/>
        <v>13616410</v>
      </c>
      <c r="H48" s="94">
        <f t="shared" si="11"/>
        <v>0</v>
      </c>
      <c r="I48" s="94">
        <f t="shared" si="11"/>
        <v>24862119</v>
      </c>
      <c r="J48" s="94">
        <f t="shared" si="11"/>
        <v>651979</v>
      </c>
      <c r="K48" s="94">
        <f t="shared" si="11"/>
        <v>10645380</v>
      </c>
      <c r="L48" s="94">
        <f t="shared" si="11"/>
        <v>0</v>
      </c>
      <c r="M48" s="94">
        <f t="shared" si="11"/>
        <v>0</v>
      </c>
      <c r="N48" s="94">
        <f t="shared" si="11"/>
        <v>0</v>
      </c>
      <c r="O48" s="94">
        <f t="shared" si="11"/>
        <v>1033173</v>
      </c>
      <c r="P48" s="94">
        <f t="shared" si="11"/>
        <v>0</v>
      </c>
      <c r="Q48" s="94">
        <f t="shared" si="11"/>
        <v>0</v>
      </c>
      <c r="R48" s="94">
        <f t="shared" si="11"/>
        <v>0</v>
      </c>
      <c r="S48" s="94">
        <f t="shared" si="11"/>
        <v>0</v>
      </c>
      <c r="T48" s="94">
        <f t="shared" si="11"/>
        <v>658245</v>
      </c>
      <c r="U48" s="94">
        <f t="shared" si="11"/>
        <v>0</v>
      </c>
      <c r="V48" s="94">
        <f t="shared" si="11"/>
        <v>0</v>
      </c>
      <c r="W48" s="94">
        <f t="shared" si="11"/>
        <v>0</v>
      </c>
      <c r="X48" s="80"/>
      <c r="Y48" s="80"/>
      <c r="Z48" s="80"/>
      <c r="AA48" s="80"/>
      <c r="AB48" s="80"/>
      <c r="AC48" s="80"/>
    </row>
    <row r="49" spans="1:29" ht="12.75" customHeight="1">
      <c r="A49" s="80">
        <v>2022</v>
      </c>
      <c r="B49" s="97"/>
      <c r="C49" s="98" t="s">
        <v>3364</v>
      </c>
      <c r="D49" s="90">
        <f t="shared" si="8"/>
        <v>190770103.60080001</v>
      </c>
      <c r="E49" s="99">
        <f>+'PLAN RASHODA I IZDATAKA'!E71</f>
        <v>139302798</v>
      </c>
      <c r="F49" s="99">
        <f>+'PLAN RASHODA I IZDATAKA'!F71</f>
        <v>0</v>
      </c>
      <c r="G49" s="99">
        <f>+'PLAN RASHODA I IZDATAKA'!G71</f>
        <v>13616409.699999999</v>
      </c>
      <c r="H49" s="99">
        <f>+'PLAN RASHODA I IZDATAKA'!H71</f>
        <v>0</v>
      </c>
      <c r="I49" s="99">
        <f>+'PLAN RASHODA I IZDATAKA'!I71</f>
        <v>24862119.301600002</v>
      </c>
      <c r="J49" s="99">
        <f>+'PLAN RASHODA I IZDATAKA'!J71</f>
        <v>651979</v>
      </c>
      <c r="K49" s="99">
        <f>+'PLAN RASHODA I IZDATAKA'!K71</f>
        <v>10645379.599200001</v>
      </c>
      <c r="L49" s="99">
        <f>+'PLAN RASHODA I IZDATAKA'!L71</f>
        <v>0</v>
      </c>
      <c r="M49" s="99">
        <f>+'PLAN RASHODA I IZDATAKA'!M71</f>
        <v>0</v>
      </c>
      <c r="N49" s="99">
        <f>+'PLAN RASHODA I IZDATAKA'!N71</f>
        <v>0</v>
      </c>
      <c r="O49" s="99">
        <f>+'PLAN RASHODA I IZDATAKA'!O71</f>
        <v>1033173</v>
      </c>
      <c r="P49" s="99">
        <f>+'PLAN RASHODA I IZDATAKA'!P71</f>
        <v>0</v>
      </c>
      <c r="Q49" s="99">
        <f>+'PLAN RASHODA I IZDATAKA'!Q71</f>
        <v>0</v>
      </c>
      <c r="R49" s="99">
        <f>+'PLAN RASHODA I IZDATAKA'!R71</f>
        <v>0</v>
      </c>
      <c r="S49" s="99">
        <f>+'PLAN RASHODA I IZDATAKA'!S71</f>
        <v>0</v>
      </c>
      <c r="T49" s="99">
        <f>+'PLAN RASHODA I IZDATAKA'!T71</f>
        <v>658245</v>
      </c>
      <c r="U49" s="99">
        <f>+'PLAN RASHODA I IZDATAKA'!U71</f>
        <v>0</v>
      </c>
      <c r="V49" s="99">
        <f>+'PLAN RASHODA I IZDATAKA'!V71</f>
        <v>0</v>
      </c>
      <c r="W49" s="99">
        <f>+'PLAN RASHODA I IZDATAKA'!W71</f>
        <v>0</v>
      </c>
      <c r="X49" s="80"/>
      <c r="Y49" s="80"/>
      <c r="Z49" s="80"/>
      <c r="AA49" s="80"/>
      <c r="AB49" s="80"/>
      <c r="AC49" s="80"/>
    </row>
    <row r="50" spans="1:29" ht="12.75" customHeight="1">
      <c r="A50" s="80">
        <v>2022</v>
      </c>
      <c r="B50" s="100"/>
      <c r="C50" s="101" t="s">
        <v>3365</v>
      </c>
      <c r="D50" s="116">
        <f t="shared" si="8"/>
        <v>0.39919999800622463</v>
      </c>
      <c r="E50" s="102">
        <f t="shared" ref="E50:W50" si="12">+E48-E49</f>
        <v>0</v>
      </c>
      <c r="F50" s="102">
        <f t="shared" si="12"/>
        <v>0</v>
      </c>
      <c r="G50" s="102">
        <f t="shared" si="12"/>
        <v>0.30000000074505806</v>
      </c>
      <c r="H50" s="102">
        <f t="shared" si="12"/>
        <v>0</v>
      </c>
      <c r="I50" s="102">
        <f t="shared" si="12"/>
        <v>-0.30160000175237656</v>
      </c>
      <c r="J50" s="102">
        <f t="shared" si="12"/>
        <v>0</v>
      </c>
      <c r="K50" s="102">
        <f t="shared" si="12"/>
        <v>0.40079999901354313</v>
      </c>
      <c r="L50" s="102">
        <f t="shared" si="12"/>
        <v>0</v>
      </c>
      <c r="M50" s="102">
        <f t="shared" si="12"/>
        <v>0</v>
      </c>
      <c r="N50" s="102">
        <f t="shared" si="12"/>
        <v>0</v>
      </c>
      <c r="O50" s="102">
        <f t="shared" si="12"/>
        <v>0</v>
      </c>
      <c r="P50" s="102">
        <f t="shared" si="12"/>
        <v>0</v>
      </c>
      <c r="Q50" s="102">
        <f t="shared" si="12"/>
        <v>0</v>
      </c>
      <c r="R50" s="102">
        <f t="shared" si="12"/>
        <v>0</v>
      </c>
      <c r="S50" s="102">
        <f t="shared" si="12"/>
        <v>0</v>
      </c>
      <c r="T50" s="102">
        <f t="shared" si="12"/>
        <v>0</v>
      </c>
      <c r="U50" s="102">
        <f t="shared" si="12"/>
        <v>0</v>
      </c>
      <c r="V50" s="102">
        <f t="shared" si="12"/>
        <v>0</v>
      </c>
      <c r="W50" s="102">
        <f t="shared" si="12"/>
        <v>0</v>
      </c>
      <c r="X50" s="80"/>
      <c r="Y50" s="80"/>
      <c r="Z50" s="80"/>
      <c r="AA50" s="80"/>
      <c r="AB50" s="80"/>
      <c r="AC50" s="80"/>
    </row>
    <row r="51" spans="1:29" ht="12.75" customHeight="1">
      <c r="A51" s="80">
        <v>2022</v>
      </c>
      <c r="B51" s="103" t="s">
        <v>3366</v>
      </c>
      <c r="C51" s="104" t="s">
        <v>3367</v>
      </c>
      <c r="D51" s="90">
        <f t="shared" si="8"/>
        <v>0</v>
      </c>
      <c r="E51" s="105">
        <f>SUMIFS('Plan prihoda za unos u SAP'!$H$3:$H$500,'Plan prihoda za unos u SAP'!$C$3:$C$500,"=11",'Plan prihoda za unos u SAP'!$K$3:$K$500,"=614")</f>
        <v>0</v>
      </c>
      <c r="F51" s="105">
        <f>SUMIFS('Plan prihoda za unos u SAP'!$H$3:$H$500,'Plan prihoda za unos u SAP'!$C$3:$C$500,"=12",'Plan prihoda za unos u SAP'!$K$3:$K$500,"=614")</f>
        <v>0</v>
      </c>
      <c r="G51" s="105">
        <f>SUMIFS('Plan prihoda za unos u SAP'!$H$3:$H$500,'Plan prihoda za unos u SAP'!$C$3:$C$500,"=31",'Plan prihoda za unos u SAP'!$K$3:$K$500,"=614")</f>
        <v>0</v>
      </c>
      <c r="H51" s="105">
        <f>SUMIFS('Plan prihoda za unos u SAP'!$H$3:$H$500,'Plan prihoda za unos u SAP'!$C$3:$C$500,"=41",'Plan prihoda za unos u SAP'!$K$3:$K$500,"=614")</f>
        <v>0</v>
      </c>
      <c r="I51" s="105">
        <f>SUMIFS('Plan prihoda za unos u SAP'!$H$3:$H$500,'Plan prihoda za unos u SAP'!$C$3:$C$500,"=43",'Plan prihoda za unos u SAP'!$K$3:$K$500,"=614")</f>
        <v>0</v>
      </c>
      <c r="J51" s="105">
        <f>SUMIFS('Plan prihoda za unos u SAP'!$H$3:$H$500,'Plan prihoda za unos u SAP'!$C$3:$C$500,"=51",'Plan prihoda za unos u SAP'!$K$3:$K$500,"=614")</f>
        <v>0</v>
      </c>
      <c r="K51" s="105">
        <f>SUMIFS('Plan prihoda za unos u SAP'!$H$3:$H$500,'Plan prihoda za unos u SAP'!$C$3:$C$500,"=52",'Plan prihoda za unos u SAP'!$K$3:$K$500,"=614")</f>
        <v>0</v>
      </c>
      <c r="L51" s="105">
        <f>SUMIFS('Plan prihoda za unos u SAP'!$H$3:$H$500,'Plan prihoda za unos u SAP'!$C$3:$C$500,"=552",'Plan prihoda za unos u SAP'!$K$3:$K$500,"=614")</f>
        <v>0</v>
      </c>
      <c r="M51" s="105">
        <f>SUMIFS('Plan prihoda za unos u SAP'!$H$3:$H$500,'Plan prihoda za unos u SAP'!$C$3:$C$500,"=559",'Plan prihoda za unos u SAP'!$K$3:$K$500,"=614")</f>
        <v>0</v>
      </c>
      <c r="N51" s="105">
        <f>SUMIFS('Plan prihoda za unos u SAP'!$H$3:$H$500,'Plan prihoda za unos u SAP'!$C$3:$C$500,"=561",'Plan prihoda za unos u SAP'!$K$3:$K$500,"=614")</f>
        <v>0</v>
      </c>
      <c r="O51" s="105">
        <f>SUMIFS('Plan prihoda za unos u SAP'!$H$3:$H$500,'Plan prihoda za unos u SAP'!$C$3:$C$500,"=563",'Plan prihoda za unos u SAP'!$K$3:$K$500,"=614")</f>
        <v>0</v>
      </c>
      <c r="P51" s="105">
        <f>SUMIFS('Plan prihoda za unos u SAP'!$H$3:$H$500,'Plan prihoda za unos u SAP'!$C$3:$C$500,"=573",'Plan prihoda za unos u SAP'!$K$3:$K$500,"=614")</f>
        <v>0</v>
      </c>
      <c r="Q51" s="105">
        <f>SUMIFS('Plan prihoda za unos u SAP'!$H$3:$H$500,'Plan prihoda za unos u SAP'!$C$3:$C$500,"=575",'Plan prihoda za unos u SAP'!$K$3:$K$500,"=614")</f>
        <v>0</v>
      </c>
      <c r="R51" s="105">
        <f>SUMIFS('Plan prihoda za unos u SAP'!$H$3:$H$500,'Plan prihoda za unos u SAP'!$C$3:$C$500,"=576",'Plan prihoda za unos u SAP'!$K$3:$K$500,"=614")</f>
        <v>0</v>
      </c>
      <c r="S51" s="105">
        <f>SUMIFS('Plan prihoda za unos u SAP'!$H$3:$H$500,'Plan prihoda za unos u SAP'!$C$3:$C$500,"=581",'Plan prihoda za unos u SAP'!$K$3:$K$500,"=614")</f>
        <v>0</v>
      </c>
      <c r="T51" s="105">
        <f>SUMIFS('Plan prihoda za unos u SAP'!$H$3:$H$500,'Plan prihoda za unos u SAP'!$C$3:$C$500,"=61",'Plan prihoda za unos u SAP'!$K$3:$K$500,"=614")</f>
        <v>0</v>
      </c>
      <c r="U51" s="105">
        <f>SUMIFS('Plan prihoda za unos u SAP'!$H$3:$H$500,'Plan prihoda za unos u SAP'!$C$3:$C$500,"=63",'Plan prihoda za unos u SAP'!$K$3:$K$500,"=614")</f>
        <v>0</v>
      </c>
      <c r="V51" s="105">
        <f>SUMIFS('Plan prihoda za unos u SAP'!$H$3:$H$500,'Plan prihoda za unos u SAP'!$C$3:$C$500,"=71",'Plan prihoda za unos u SAP'!$K$3:$K$500,"=614")</f>
        <v>0</v>
      </c>
      <c r="W51" s="105">
        <f>SUMIFS('Plan prihoda za unos u SAP'!$H$3:$H$500,'Plan prihoda za unos u SAP'!$C$3:$C$500,"=81",'Plan prihoda za unos u SAP'!$K$3:$K$500,"=614")</f>
        <v>0</v>
      </c>
      <c r="X51" s="80"/>
      <c r="Y51" s="80"/>
      <c r="Z51" s="80"/>
      <c r="AA51" s="80"/>
      <c r="AB51" s="80"/>
      <c r="AC51" s="80"/>
    </row>
    <row r="52" spans="1:29" ht="12.75" customHeight="1">
      <c r="A52" s="80">
        <v>2022</v>
      </c>
      <c r="B52" s="103" t="s">
        <v>3368</v>
      </c>
      <c r="C52" s="89" t="s">
        <v>3369</v>
      </c>
      <c r="D52" s="90">
        <f t="shared" si="8"/>
        <v>0</v>
      </c>
      <c r="E52" s="105">
        <f>SUMIFS('Plan prihoda za unos u SAP'!$H$3:$H$500,'Plan prihoda za unos u SAP'!$C$3:$C$500,"=11",'Plan prihoda za unos u SAP'!$K$3:$K$500,"=631")</f>
        <v>0</v>
      </c>
      <c r="F52" s="105">
        <f>SUMIFS('Plan prihoda za unos u SAP'!$H$3:$H$500,'Plan prihoda za unos u SAP'!$C$3:$C$500,"=12",'Plan prihoda za unos u SAP'!$K$3:$K$500,"=631")</f>
        <v>0</v>
      </c>
      <c r="G52" s="105">
        <f>SUMIFS('Plan prihoda za unos u SAP'!$H$3:$H$500,'Plan prihoda za unos u SAP'!$C$3:$C$500,"=31",'Plan prihoda za unos u SAP'!$K$3:$K$500,"=631")</f>
        <v>0</v>
      </c>
      <c r="H52" s="105">
        <f>SUMIFS('Plan prihoda za unos u SAP'!$H$3:$H$500,'Plan prihoda za unos u SAP'!$C$3:$C$500,"=41",'Plan prihoda za unos u SAP'!$K$3:$K$500,"=631")</f>
        <v>0</v>
      </c>
      <c r="I52" s="105">
        <f>SUMIFS('Plan prihoda za unos u SAP'!$H$3:$H$500,'Plan prihoda za unos u SAP'!$C$3:$C$500,"=43",'Plan prihoda za unos u SAP'!$K$3:$K$500,"=631")</f>
        <v>0</v>
      </c>
      <c r="J52" s="105">
        <f>SUMIFS('Plan prihoda za unos u SAP'!$H$3:$H$500,'Plan prihoda za unos u SAP'!$C$3:$C$500,"=51",'Plan prihoda za unos u SAP'!$K$3:$K$500,"=631")</f>
        <v>0</v>
      </c>
      <c r="K52" s="105">
        <f>SUMIFS('Plan prihoda za unos u SAP'!$H$3:$H$500,'Plan prihoda za unos u SAP'!$C$3:$C$500,"=52",'Plan prihoda za unos u SAP'!$K$3:$K$500,"=631")</f>
        <v>0</v>
      </c>
      <c r="L52" s="105">
        <f>SUMIFS('Plan prihoda za unos u SAP'!$H$3:$H$500,'Plan prihoda za unos u SAP'!$C$3:$C$500,"=552",'Plan prihoda za unos u SAP'!$K$3:$K$500,"=631")</f>
        <v>0</v>
      </c>
      <c r="M52" s="105">
        <f>SUMIFS('Plan prihoda za unos u SAP'!$H$3:$H$500,'Plan prihoda za unos u SAP'!$C$3:$C$500,"=559",'Plan prihoda za unos u SAP'!$K$3:$K$500,"=631")</f>
        <v>0</v>
      </c>
      <c r="N52" s="105">
        <f>SUMIFS('Plan prihoda za unos u SAP'!$H$3:$H$500,'Plan prihoda za unos u SAP'!$C$3:$C$500,"=561",'Plan prihoda za unos u SAP'!$K$3:$K$500,"=631")</f>
        <v>0</v>
      </c>
      <c r="O52" s="105">
        <f>SUMIFS('Plan prihoda za unos u SAP'!$H$3:$H$500,'Plan prihoda za unos u SAP'!$C$3:$C$500,"=563",'Plan prihoda za unos u SAP'!$K$3:$K$500,"=631")</f>
        <v>0</v>
      </c>
      <c r="P52" s="105">
        <f>SUMIFS('Plan prihoda za unos u SAP'!$H$3:$H$500,'Plan prihoda za unos u SAP'!$C$3:$C$500,"=573",'Plan prihoda za unos u SAP'!$K$3:$K$500,"=631")</f>
        <v>0</v>
      </c>
      <c r="Q52" s="105">
        <f>SUMIFS('Plan prihoda za unos u SAP'!$H$3:$H$500,'Plan prihoda za unos u SAP'!$C$3:$C$500,"=575",'Plan prihoda za unos u SAP'!$K$3:$K$500,"=631")</f>
        <v>0</v>
      </c>
      <c r="R52" s="105">
        <f>SUMIFS('Plan prihoda za unos u SAP'!$H$3:$H$500,'Plan prihoda za unos u SAP'!$C$3:$C$500,"=576",'Plan prihoda za unos u SAP'!$K$3:$K$500,"=631")</f>
        <v>0</v>
      </c>
      <c r="S52" s="105">
        <f>SUMIFS('Plan prihoda za unos u SAP'!$H$3:$H$500,'Plan prihoda za unos u SAP'!$C$3:$C$500,"=581",'Plan prihoda za unos u SAP'!$K$3:$K$500,"=631")</f>
        <v>0</v>
      </c>
      <c r="T52" s="105">
        <f>SUMIFS('Plan prihoda za unos u SAP'!$H$3:$H$500,'Plan prihoda za unos u SAP'!$C$3:$C$500,"=61",'Plan prihoda za unos u SAP'!$K$3:$K$500,"=631")</f>
        <v>0</v>
      </c>
      <c r="U52" s="105">
        <f>SUMIFS('Plan prihoda za unos u SAP'!$H$3:$H$500,'Plan prihoda za unos u SAP'!$C$3:$C$500,"=63",'Plan prihoda za unos u SAP'!$K$3:$K$500,"=631")</f>
        <v>0</v>
      </c>
      <c r="V52" s="105">
        <f>SUMIFS('Plan prihoda za unos u SAP'!$H$3:$H$500,'Plan prihoda za unos u SAP'!$C$3:$C$500,"=71",'Plan prihoda za unos u SAP'!$K$3:$K$500,"=631")</f>
        <v>0</v>
      </c>
      <c r="W52" s="105">
        <f>SUMIFS('Plan prihoda za unos u SAP'!$H$3:$H$500,'Plan prihoda za unos u SAP'!$C$3:$C$500,"=81",'Plan prihoda za unos u SAP'!$K$3:$K$500,"=631")</f>
        <v>0</v>
      </c>
      <c r="X52" s="80"/>
      <c r="Y52" s="80"/>
      <c r="Z52" s="80"/>
      <c r="AA52" s="80"/>
      <c r="AB52" s="80"/>
      <c r="AC52" s="80"/>
    </row>
    <row r="53" spans="1:29" ht="12.75" customHeight="1">
      <c r="A53" s="80">
        <v>2022</v>
      </c>
      <c r="B53" s="88" t="s">
        <v>3370</v>
      </c>
      <c r="C53" s="89" t="s">
        <v>3371</v>
      </c>
      <c r="D53" s="90">
        <f t="shared" si="8"/>
        <v>1669642</v>
      </c>
      <c r="E53" s="105">
        <f>SUMIFS('Plan prihoda za unos u SAP'!$H$3:$H$500,'Plan prihoda za unos u SAP'!$C$3:$C$500,"=11",'Plan prihoda za unos u SAP'!$K$3:$K$500,"=632")</f>
        <v>0</v>
      </c>
      <c r="F53" s="105">
        <f>SUMIFS('Plan prihoda za unos u SAP'!$H$3:$H$500,'Plan prihoda za unos u SAP'!$C$3:$C$500,"=12",'Plan prihoda za unos u SAP'!$K$3:$K$500,"=632")</f>
        <v>0</v>
      </c>
      <c r="G53" s="105">
        <f>SUMIFS('Plan prihoda za unos u SAP'!$H$3:$H$500,'Plan prihoda za unos u SAP'!$C$3:$C$500,"=31",'Plan prihoda za unos u SAP'!$K$3:$K$500,"=632")</f>
        <v>0</v>
      </c>
      <c r="H53" s="105">
        <f>SUMIFS('Plan prihoda za unos u SAP'!$H$3:$H$500,'Plan prihoda za unos u SAP'!$C$3:$C$500,"=41",'Plan prihoda za unos u SAP'!$K$3:$K$500,"=632")</f>
        <v>0</v>
      </c>
      <c r="I53" s="105">
        <f>SUMIFS('Plan prihoda za unos u SAP'!$H$3:$H$500,'Plan prihoda za unos u SAP'!$C$3:$C$500,"=43",'Plan prihoda za unos u SAP'!$K$3:$K$500,"=632")</f>
        <v>0</v>
      </c>
      <c r="J53" s="105">
        <f>SUMIFS('Plan prihoda za unos u SAP'!$H$3:$H$500,'Plan prihoda za unos u SAP'!$C$3:$C$500,"=51",'Plan prihoda za unos u SAP'!$K$3:$K$500,"=632")</f>
        <v>636469</v>
      </c>
      <c r="K53" s="105">
        <f>SUMIFS('Plan prihoda za unos u SAP'!$H$3:$H$500,'Plan prihoda za unos u SAP'!$C$3:$C$500,"=52",'Plan prihoda za unos u SAP'!$K$3:$K$500,"=632")</f>
        <v>0</v>
      </c>
      <c r="L53" s="105">
        <f>SUMIFS('Plan prihoda za unos u SAP'!$H$3:$H$500,'Plan prihoda za unos u SAP'!$C$3:$C$500,"=552",'Plan prihoda za unos u SAP'!$K$3:$K$500,"=632")</f>
        <v>0</v>
      </c>
      <c r="M53" s="105">
        <f>SUMIFS('Plan prihoda za unos u SAP'!$H$3:$H$500,'Plan prihoda za unos u SAP'!$C$3:$C$500,"=559",'Plan prihoda za unos u SAP'!$K$3:$K$500,"=632")</f>
        <v>0</v>
      </c>
      <c r="N53" s="105">
        <f>SUMIFS('Plan prihoda za unos u SAP'!$H$3:$H$500,'Plan prihoda za unos u SAP'!$C$3:$C$500,"=561",'Plan prihoda za unos u SAP'!$K$3:$K$500,"=632")</f>
        <v>0</v>
      </c>
      <c r="O53" s="105">
        <f>SUMIFS('Plan prihoda za unos u SAP'!$H$3:$H$500,'Plan prihoda za unos u SAP'!$C$3:$C$500,"=563",'Plan prihoda za unos u SAP'!$K$3:$K$500,"=632")</f>
        <v>1033173</v>
      </c>
      <c r="P53" s="105">
        <f>SUMIFS('Plan prihoda za unos u SAP'!$H$3:$H$500,'Plan prihoda za unos u SAP'!$C$3:$C$500,"=573",'Plan prihoda za unos u SAP'!$K$3:$K$500,"=632")</f>
        <v>0</v>
      </c>
      <c r="Q53" s="105">
        <f>SUMIFS('Plan prihoda za unos u SAP'!$H$3:$H$500,'Plan prihoda za unos u SAP'!$C$3:$C$500,"=575",'Plan prihoda za unos u SAP'!$K$3:$K$500,"=632")</f>
        <v>0</v>
      </c>
      <c r="R53" s="105">
        <f>SUMIFS('Plan prihoda za unos u SAP'!$H$3:$H$500,'Plan prihoda za unos u SAP'!$C$3:$C$500,"=576",'Plan prihoda za unos u SAP'!$K$3:$K$500,"=632")</f>
        <v>0</v>
      </c>
      <c r="S53" s="105">
        <f>SUMIFS('Plan prihoda za unos u SAP'!$H$3:$H$500,'Plan prihoda za unos u SAP'!$C$3:$C$500,"=581",'Plan prihoda za unos u SAP'!$K$3:$K$500,"=632")</f>
        <v>0</v>
      </c>
      <c r="T53" s="105">
        <f>SUMIFS('Plan prihoda za unos u SAP'!$H$3:$H$500,'Plan prihoda za unos u SAP'!$C$3:$C$500,"=61",'Plan prihoda za unos u SAP'!$K$3:$K$500,"=632")</f>
        <v>0</v>
      </c>
      <c r="U53" s="105">
        <f>SUMIFS('Plan prihoda za unos u SAP'!$H$3:$H$500,'Plan prihoda za unos u SAP'!$C$3:$C$500,"=63",'Plan prihoda za unos u SAP'!$K$3:$K$500,"=632")</f>
        <v>0</v>
      </c>
      <c r="V53" s="105">
        <f>SUMIFS('Plan prihoda za unos u SAP'!$H$3:$H$500,'Plan prihoda za unos u SAP'!$C$3:$C$500,"=71",'Plan prihoda za unos u SAP'!$K$3:$K$500,"=632")</f>
        <v>0</v>
      </c>
      <c r="W53" s="105">
        <f>SUMIFS('Plan prihoda za unos u SAP'!$H$3:$H$500,'Plan prihoda za unos u SAP'!$C$3:$C$500,"=81",'Plan prihoda za unos u SAP'!$K$3:$K$500,"=632")</f>
        <v>0</v>
      </c>
      <c r="X53" s="80"/>
      <c r="Y53" s="80"/>
      <c r="Z53" s="80"/>
      <c r="AA53" s="80"/>
      <c r="AB53" s="80"/>
      <c r="AC53" s="80"/>
    </row>
    <row r="54" spans="1:29" ht="12.75" customHeight="1">
      <c r="A54" s="80">
        <v>2022</v>
      </c>
      <c r="B54" s="88" t="s">
        <v>3372</v>
      </c>
      <c r="C54" s="89" t="s">
        <v>3373</v>
      </c>
      <c r="D54" s="90">
        <f t="shared" si="8"/>
        <v>0</v>
      </c>
      <c r="E54" s="105">
        <f>SUMIFS('Plan prihoda za unos u SAP'!$H$3:$H$500,'Plan prihoda za unos u SAP'!$C$3:$C$500,"=11",'Plan prihoda za unos u SAP'!$K$3:$K$500,"=634")</f>
        <v>0</v>
      </c>
      <c r="F54" s="105">
        <f>SUMIFS('Plan prihoda za unos u SAP'!$H$3:$H$500,'Plan prihoda za unos u SAP'!$C$3:$C$500,"=12",'Plan prihoda za unos u SAP'!$K$3:$K$500,"=634")</f>
        <v>0</v>
      </c>
      <c r="G54" s="105">
        <f>SUMIFS('Plan prihoda za unos u SAP'!$H$3:$H$500,'Plan prihoda za unos u SAP'!$C$3:$C$500,"=31",'Plan prihoda za unos u SAP'!$K$3:$K$500,"=634")</f>
        <v>0</v>
      </c>
      <c r="H54" s="105">
        <f>SUMIFS('Plan prihoda za unos u SAP'!$H$3:$H$500,'Plan prihoda za unos u SAP'!$C$3:$C$500,"=41",'Plan prihoda za unos u SAP'!$K$3:$K$500,"=634")</f>
        <v>0</v>
      </c>
      <c r="I54" s="105">
        <f>SUMIFS('Plan prihoda za unos u SAP'!$H$3:$H$500,'Plan prihoda za unos u SAP'!$C$3:$C$500,"=43",'Plan prihoda za unos u SAP'!$K$3:$K$500,"=634")</f>
        <v>0</v>
      </c>
      <c r="J54" s="105">
        <f>SUMIFS('Plan prihoda za unos u SAP'!$H$3:$H$500,'Plan prihoda za unos u SAP'!$C$3:$C$500,"=51",'Plan prihoda za unos u SAP'!$K$3:$K$500,"=634")</f>
        <v>0</v>
      </c>
      <c r="K54" s="105">
        <f>SUMIFS('Plan prihoda za unos u SAP'!$H$3:$H$500,'Plan prihoda za unos u SAP'!$C$3:$C$500,"=52",'Plan prihoda za unos u SAP'!$K$3:$K$500,"=634")</f>
        <v>0</v>
      </c>
      <c r="L54" s="105">
        <f>SUMIFS('Plan prihoda za unos u SAP'!$H$3:$H$500,'Plan prihoda za unos u SAP'!$C$3:$C$500,"=552",'Plan prihoda za unos u SAP'!$K$3:$K$500,"=634")</f>
        <v>0</v>
      </c>
      <c r="M54" s="105">
        <f>SUMIFS('Plan prihoda za unos u SAP'!$H$3:$H$500,'Plan prihoda za unos u SAP'!$C$3:$C$500,"=559",'Plan prihoda za unos u SAP'!$K$3:$K$500,"=634")</f>
        <v>0</v>
      </c>
      <c r="N54" s="105">
        <f>SUMIFS('Plan prihoda za unos u SAP'!$H$3:$H$500,'Plan prihoda za unos u SAP'!$C$3:$C$500,"=561",'Plan prihoda za unos u SAP'!$K$3:$K$500,"=634")</f>
        <v>0</v>
      </c>
      <c r="O54" s="105">
        <f>SUMIFS('Plan prihoda za unos u SAP'!$H$3:$H$500,'Plan prihoda za unos u SAP'!$C$3:$C$500,"=563",'Plan prihoda za unos u SAP'!$K$3:$K$500,"=634")</f>
        <v>0</v>
      </c>
      <c r="P54" s="105">
        <f>SUMIFS('Plan prihoda za unos u SAP'!$H$3:$H$500,'Plan prihoda za unos u SAP'!$C$3:$C$500,"=573",'Plan prihoda za unos u SAP'!$K$3:$K$500,"=634")</f>
        <v>0</v>
      </c>
      <c r="Q54" s="105">
        <f>SUMIFS('Plan prihoda za unos u SAP'!$H$3:$H$500,'Plan prihoda za unos u SAP'!$C$3:$C$500,"=575",'Plan prihoda za unos u SAP'!$K$3:$K$500,"=634")</f>
        <v>0</v>
      </c>
      <c r="R54" s="105">
        <f>SUMIFS('Plan prihoda za unos u SAP'!$H$3:$H$500,'Plan prihoda za unos u SAP'!$C$3:$C$500,"=576",'Plan prihoda za unos u SAP'!$K$3:$K$500,"=634")</f>
        <v>0</v>
      </c>
      <c r="S54" s="105">
        <f>SUMIFS('Plan prihoda za unos u SAP'!$H$3:$H$500,'Plan prihoda za unos u SAP'!$C$3:$C$500,"=581",'Plan prihoda za unos u SAP'!$K$3:$K$500,"=634")</f>
        <v>0</v>
      </c>
      <c r="T54" s="105">
        <f>SUMIFS('Plan prihoda za unos u SAP'!$H$3:$H$500,'Plan prihoda za unos u SAP'!$C$3:$C$500,"=61",'Plan prihoda za unos u SAP'!$K$3:$K$500,"=634")</f>
        <v>0</v>
      </c>
      <c r="U54" s="105">
        <f>SUMIFS('Plan prihoda za unos u SAP'!$H$3:$H$500,'Plan prihoda za unos u SAP'!$C$3:$C$500,"=63",'Plan prihoda za unos u SAP'!$K$3:$K$500,"=634")</f>
        <v>0</v>
      </c>
      <c r="V54" s="105">
        <f>SUMIFS('Plan prihoda za unos u SAP'!$H$3:$H$500,'Plan prihoda za unos u SAP'!$C$3:$C$500,"=71",'Plan prihoda za unos u SAP'!$K$3:$K$500,"=634")</f>
        <v>0</v>
      </c>
      <c r="W54" s="105">
        <f>SUMIFS('Plan prihoda za unos u SAP'!$H$3:$H$500,'Plan prihoda za unos u SAP'!$C$3:$C$500,"=81",'Plan prihoda za unos u SAP'!$K$3:$K$500,"=634")</f>
        <v>0</v>
      </c>
      <c r="X54" s="80"/>
      <c r="Y54" s="80"/>
      <c r="Z54" s="80"/>
      <c r="AA54" s="80"/>
      <c r="AB54" s="80"/>
      <c r="AC54" s="80"/>
    </row>
    <row r="55" spans="1:29" ht="12.75" customHeight="1">
      <c r="A55" s="80">
        <v>2022</v>
      </c>
      <c r="B55" s="95" t="s">
        <v>3374</v>
      </c>
      <c r="C55" s="89" t="s">
        <v>3375</v>
      </c>
      <c r="D55" s="90">
        <f t="shared" si="8"/>
        <v>0</v>
      </c>
      <c r="E55" s="105">
        <f>SUMIFS('Plan prihoda za unos u SAP'!$H$3:$H$500,'Plan prihoda za unos u SAP'!$C$3:$C$500,"=11",'Plan prihoda za unos u SAP'!$K$3:$K$500,"=636")</f>
        <v>0</v>
      </c>
      <c r="F55" s="105">
        <f>SUMIFS('Plan prihoda za unos u SAP'!$H$3:$H$500,'Plan prihoda za unos u SAP'!$C$3:$C$500,"=12",'Plan prihoda za unos u SAP'!$K$3:$K$500,"=636")</f>
        <v>0</v>
      </c>
      <c r="G55" s="105">
        <f>SUMIFS('Plan prihoda za unos u SAP'!$H$3:$H$500,'Plan prihoda za unos u SAP'!$C$3:$C$500,"=31",'Plan prihoda za unos u SAP'!$K$3:$K$500,"=636")</f>
        <v>0</v>
      </c>
      <c r="H55" s="105">
        <f>SUMIFS('Plan prihoda za unos u SAP'!$H$3:$H$500,'Plan prihoda za unos u SAP'!$C$3:$C$500,"=41",'Plan prihoda za unos u SAP'!$K$3:$K$500,"=636")</f>
        <v>0</v>
      </c>
      <c r="I55" s="105">
        <f>SUMIFS('Plan prihoda za unos u SAP'!$H$3:$H$500,'Plan prihoda za unos u SAP'!$C$3:$C$500,"=43",'Plan prihoda za unos u SAP'!$K$3:$K$500,"=636")</f>
        <v>0</v>
      </c>
      <c r="J55" s="105">
        <f>SUMIFS('Plan prihoda za unos u SAP'!$H$3:$H$500,'Plan prihoda za unos u SAP'!$C$3:$C$500,"=51",'Plan prihoda za unos u SAP'!$K$3:$K$500,"=636")</f>
        <v>0</v>
      </c>
      <c r="K55" s="105">
        <f>SUMIFS('Plan prihoda za unos u SAP'!$H$3:$H$500,'Plan prihoda za unos u SAP'!$C$3:$C$500,"=52",'Plan prihoda za unos u SAP'!$K$3:$K$500,"=636")</f>
        <v>0</v>
      </c>
      <c r="L55" s="105">
        <f>SUMIFS('Plan prihoda za unos u SAP'!$H$3:$H$500,'Plan prihoda za unos u SAP'!$C$3:$C$500,"=552",'Plan prihoda za unos u SAP'!$K$3:$K$500,"=636")</f>
        <v>0</v>
      </c>
      <c r="M55" s="105">
        <f>SUMIFS('Plan prihoda za unos u SAP'!$H$3:$H$500,'Plan prihoda za unos u SAP'!$C$3:$C$500,"=559",'Plan prihoda za unos u SAP'!$K$3:$K$500,"=636")</f>
        <v>0</v>
      </c>
      <c r="N55" s="105">
        <f>SUMIFS('Plan prihoda za unos u SAP'!$H$3:$H$500,'Plan prihoda za unos u SAP'!$C$3:$C$500,"=561",'Plan prihoda za unos u SAP'!$K$3:$K$500,"=636")</f>
        <v>0</v>
      </c>
      <c r="O55" s="105">
        <f>SUMIFS('Plan prihoda za unos u SAP'!$H$3:$H$500,'Plan prihoda za unos u SAP'!$C$3:$C$500,"=563",'Plan prihoda za unos u SAP'!$K$3:$K$500,"=636")</f>
        <v>0</v>
      </c>
      <c r="P55" s="105">
        <f>SUMIFS('Plan prihoda za unos u SAP'!$H$3:$H$500,'Plan prihoda za unos u SAP'!$C$3:$C$500,"=573",'Plan prihoda za unos u SAP'!$K$3:$K$500,"=636")</f>
        <v>0</v>
      </c>
      <c r="Q55" s="105">
        <f>SUMIFS('Plan prihoda za unos u SAP'!$H$3:$H$500,'Plan prihoda za unos u SAP'!$C$3:$C$500,"=575",'Plan prihoda za unos u SAP'!$K$3:$K$500,"=636")</f>
        <v>0</v>
      </c>
      <c r="R55" s="105">
        <f>SUMIFS('Plan prihoda za unos u SAP'!$H$3:$H$500,'Plan prihoda za unos u SAP'!$C$3:$C$500,"=576",'Plan prihoda za unos u SAP'!$K$3:$K$500,"=636")</f>
        <v>0</v>
      </c>
      <c r="S55" s="105">
        <f>SUMIFS('Plan prihoda za unos u SAP'!$H$3:$H$500,'Plan prihoda za unos u SAP'!$C$3:$C$500,"=581",'Plan prihoda za unos u SAP'!$K$3:$K$500,"=636")</f>
        <v>0</v>
      </c>
      <c r="T55" s="105">
        <f>SUMIFS('Plan prihoda za unos u SAP'!$H$3:$H$500,'Plan prihoda za unos u SAP'!$C$3:$C$500,"=61",'Plan prihoda za unos u SAP'!$K$3:$K$500,"=636")</f>
        <v>0</v>
      </c>
      <c r="U55" s="105">
        <f>SUMIFS('Plan prihoda za unos u SAP'!$H$3:$H$500,'Plan prihoda za unos u SAP'!$C$3:$C$500,"=63",'Plan prihoda za unos u SAP'!$K$3:$K$500,"=636")</f>
        <v>0</v>
      </c>
      <c r="V55" s="105">
        <f>SUMIFS('Plan prihoda za unos u SAP'!$H$3:$H$500,'Plan prihoda za unos u SAP'!$C$3:$C$500,"=71",'Plan prihoda za unos u SAP'!$K$3:$K$500,"=636")</f>
        <v>0</v>
      </c>
      <c r="W55" s="105">
        <f>SUMIFS('Plan prihoda za unos u SAP'!$H$3:$H$500,'Plan prihoda za unos u SAP'!$C$3:$C$500,"=81",'Plan prihoda za unos u SAP'!$K$3:$K$500,"=636")</f>
        <v>0</v>
      </c>
      <c r="X55" s="80"/>
      <c r="Y55" s="80"/>
      <c r="Z55" s="80"/>
      <c r="AA55" s="80"/>
      <c r="AB55" s="80"/>
      <c r="AC55" s="80"/>
    </row>
    <row r="56" spans="1:29" ht="12.75" customHeight="1">
      <c r="A56" s="80">
        <v>2022</v>
      </c>
      <c r="B56" s="88" t="s">
        <v>3376</v>
      </c>
      <c r="C56" s="89" t="s">
        <v>3377</v>
      </c>
      <c r="D56" s="90">
        <f t="shared" si="8"/>
        <v>0</v>
      </c>
      <c r="E56" s="105">
        <f>SUMIFS('Plan prihoda za unos u SAP'!$H$3:$H$500,'Plan prihoda za unos u SAP'!$C$3:$C$500,"=11",'Plan prihoda za unos u SAP'!$K$3:$K$500,"=638")</f>
        <v>0</v>
      </c>
      <c r="F56" s="105">
        <f>SUMIFS('Plan prihoda za unos u SAP'!$H$3:$H$500,'Plan prihoda za unos u SAP'!$C$3:$C$500,"=12",'Plan prihoda za unos u SAP'!$K$3:$K$500,"=638")</f>
        <v>0</v>
      </c>
      <c r="G56" s="105">
        <f>SUMIFS('Plan prihoda za unos u SAP'!$H$3:$H$500,'Plan prihoda za unos u SAP'!$C$3:$C$500,"=31",'Plan prihoda za unos u SAP'!$K$3:$K$500,"=638")</f>
        <v>0</v>
      </c>
      <c r="H56" s="105">
        <f>SUMIFS('Plan prihoda za unos u SAP'!$H$3:$H$500,'Plan prihoda za unos u SAP'!$C$3:$C$500,"=41",'Plan prihoda za unos u SAP'!$K$3:$K$500,"=638")</f>
        <v>0</v>
      </c>
      <c r="I56" s="105">
        <f>SUMIFS('Plan prihoda za unos u SAP'!$H$3:$H$500,'Plan prihoda za unos u SAP'!$C$3:$C$500,"=43",'Plan prihoda za unos u SAP'!$K$3:$K$500,"=638")</f>
        <v>0</v>
      </c>
      <c r="J56" s="105">
        <f>SUMIFS('Plan prihoda za unos u SAP'!$H$3:$H$500,'Plan prihoda za unos u SAP'!$C$3:$C$500,"=51",'Plan prihoda za unos u SAP'!$K$3:$K$500,"=638")</f>
        <v>0</v>
      </c>
      <c r="K56" s="105">
        <f>SUMIFS('Plan prihoda za unos u SAP'!$H$3:$H$500,'Plan prihoda za unos u SAP'!$C$3:$C$500,"=52",'Plan prihoda za unos u SAP'!$K$3:$K$500,"=638")</f>
        <v>0</v>
      </c>
      <c r="L56" s="105">
        <f>SUMIFS('Plan prihoda za unos u SAP'!$H$3:$H$500,'Plan prihoda za unos u SAP'!$C$3:$C$500,"=552",'Plan prihoda za unos u SAP'!$K$3:$K$500,"=638")</f>
        <v>0</v>
      </c>
      <c r="M56" s="105">
        <f>SUMIFS('Plan prihoda za unos u SAP'!$H$3:$H$500,'Plan prihoda za unos u SAP'!$C$3:$C$500,"=559",'Plan prihoda za unos u SAP'!$K$3:$K$500,"=638")</f>
        <v>0</v>
      </c>
      <c r="N56" s="105">
        <f>SUMIFS('Plan prihoda za unos u SAP'!$H$3:$H$500,'Plan prihoda za unos u SAP'!$C$3:$C$500,"=561",'Plan prihoda za unos u SAP'!$K$3:$K$500,"=638")</f>
        <v>0</v>
      </c>
      <c r="O56" s="105">
        <f>SUMIFS('Plan prihoda za unos u SAP'!$H$3:$H$500,'Plan prihoda za unos u SAP'!$C$3:$C$500,"=563",'Plan prihoda za unos u SAP'!$K$3:$K$500,"=638")</f>
        <v>0</v>
      </c>
      <c r="P56" s="105">
        <f>SUMIFS('Plan prihoda za unos u SAP'!$H$3:$H$500,'Plan prihoda za unos u SAP'!$C$3:$C$500,"=573",'Plan prihoda za unos u SAP'!$K$3:$K$500,"=638")</f>
        <v>0</v>
      </c>
      <c r="Q56" s="105">
        <f>SUMIFS('Plan prihoda za unos u SAP'!$H$3:$H$500,'Plan prihoda za unos u SAP'!$C$3:$C$500,"=575",'Plan prihoda za unos u SAP'!$K$3:$K$500,"=638")</f>
        <v>0</v>
      </c>
      <c r="R56" s="105">
        <f>SUMIFS('Plan prihoda za unos u SAP'!$H$3:$H$500,'Plan prihoda za unos u SAP'!$C$3:$C$500,"=576",'Plan prihoda za unos u SAP'!$K$3:$K$500,"=638")</f>
        <v>0</v>
      </c>
      <c r="S56" s="105">
        <f>SUMIFS('Plan prihoda za unos u SAP'!$H$3:$H$500,'Plan prihoda za unos u SAP'!$C$3:$C$500,"=581",'Plan prihoda za unos u SAP'!$K$3:$K$500,"=638")</f>
        <v>0</v>
      </c>
      <c r="T56" s="105">
        <f>SUMIFS('Plan prihoda za unos u SAP'!$H$3:$H$500,'Plan prihoda za unos u SAP'!$C$3:$C$500,"=61",'Plan prihoda za unos u SAP'!$K$3:$K$500,"=638")</f>
        <v>0</v>
      </c>
      <c r="U56" s="105">
        <f>SUMIFS('Plan prihoda za unos u SAP'!$H$3:$H$500,'Plan prihoda za unos u SAP'!$C$3:$C$500,"=63",'Plan prihoda za unos u SAP'!$K$3:$K$500,"=638")</f>
        <v>0</v>
      </c>
      <c r="V56" s="105">
        <f>SUMIFS('Plan prihoda za unos u SAP'!$H$3:$H$500,'Plan prihoda za unos u SAP'!$C$3:$C$500,"=71",'Plan prihoda za unos u SAP'!$K$3:$K$500,"=638")</f>
        <v>0</v>
      </c>
      <c r="W56" s="105">
        <f>SUMIFS('Plan prihoda za unos u SAP'!$H$3:$H$500,'Plan prihoda za unos u SAP'!$C$3:$C$500,"=81",'Plan prihoda za unos u SAP'!$K$3:$K$500,"=638")</f>
        <v>0</v>
      </c>
      <c r="X56" s="80"/>
      <c r="Y56" s="80"/>
      <c r="Z56" s="80"/>
      <c r="AA56" s="80"/>
      <c r="AB56" s="80"/>
      <c r="AC56" s="80"/>
    </row>
    <row r="57" spans="1:29" ht="12.75" customHeight="1">
      <c r="A57" s="80">
        <v>2022</v>
      </c>
      <c r="B57" s="88" t="s">
        <v>3378</v>
      </c>
      <c r="C57" s="89" t="s">
        <v>3379</v>
      </c>
      <c r="D57" s="90">
        <f t="shared" si="8"/>
        <v>10645380</v>
      </c>
      <c r="E57" s="105">
        <f>SUMIFS('Plan prihoda za unos u SAP'!$H$3:$H$500,'Plan prihoda za unos u SAP'!$C$3:$C$500,"=11",'Plan prihoda za unos u SAP'!$K$3:$K$500,"=639")</f>
        <v>0</v>
      </c>
      <c r="F57" s="105">
        <f>SUMIFS('Plan prihoda za unos u SAP'!$H$3:$H$500,'Plan prihoda za unos u SAP'!$C$3:$C$500,"=12",'Plan prihoda za unos u SAP'!$K$3:$K$500,"=639")</f>
        <v>0</v>
      </c>
      <c r="G57" s="105">
        <f>SUMIFS('Plan prihoda za unos u SAP'!$H$3:$H$500,'Plan prihoda za unos u SAP'!$C$3:$C$500,"=31",'Plan prihoda za unos u SAP'!$K$3:$K$500,"=639")</f>
        <v>0</v>
      </c>
      <c r="H57" s="105">
        <f>SUMIFS('Plan prihoda za unos u SAP'!$H$3:$H$500,'Plan prihoda za unos u SAP'!$C$3:$C$500,"=41",'Plan prihoda za unos u SAP'!$K$3:$K$500,"=639")</f>
        <v>0</v>
      </c>
      <c r="I57" s="105">
        <f>SUMIFS('Plan prihoda za unos u SAP'!$H$3:$H$500,'Plan prihoda za unos u SAP'!$C$3:$C$500,"=43",'Plan prihoda za unos u SAP'!$K$3:$K$500,"=639")</f>
        <v>0</v>
      </c>
      <c r="J57" s="105">
        <f>SUMIFS('Plan prihoda za unos u SAP'!$H$3:$H$500,'Plan prihoda za unos u SAP'!$C$3:$C$500,"=51",'Plan prihoda za unos u SAP'!$K$3:$K$500,"=639")</f>
        <v>0</v>
      </c>
      <c r="K57" s="105">
        <f>SUMIFS('Plan prihoda za unos u SAP'!$H$3:$H$500,'Plan prihoda za unos u SAP'!$C$3:$C$500,"=52",'Plan prihoda za unos u SAP'!$K$3:$K$500,"=639")</f>
        <v>10645380</v>
      </c>
      <c r="L57" s="105">
        <f>SUMIFS('Plan prihoda za unos u SAP'!$H$3:$H$500,'Plan prihoda za unos u SAP'!$C$3:$C$500,"=552",'Plan prihoda za unos u SAP'!$K$3:$K$500,"=639")</f>
        <v>0</v>
      </c>
      <c r="M57" s="105">
        <f>SUMIFS('Plan prihoda za unos u SAP'!$H$3:$H$500,'Plan prihoda za unos u SAP'!$C$3:$C$500,"=559",'Plan prihoda za unos u SAP'!$K$3:$K$500,"=639")</f>
        <v>0</v>
      </c>
      <c r="N57" s="105">
        <f>SUMIFS('Plan prihoda za unos u SAP'!$H$3:$H$500,'Plan prihoda za unos u SAP'!$C$3:$C$500,"=561",'Plan prihoda za unos u SAP'!$K$3:$K$500,"=639")</f>
        <v>0</v>
      </c>
      <c r="O57" s="105">
        <f>SUMIFS('Plan prihoda za unos u SAP'!$H$3:$H$500,'Plan prihoda za unos u SAP'!$C$3:$C$500,"=563",'Plan prihoda za unos u SAP'!$K$3:$K$500,"=639")</f>
        <v>0</v>
      </c>
      <c r="P57" s="105">
        <f>SUMIFS('Plan prihoda za unos u SAP'!$H$3:$H$500,'Plan prihoda za unos u SAP'!$C$3:$C$500,"=573",'Plan prihoda za unos u SAP'!$K$3:$K$500,"=639")</f>
        <v>0</v>
      </c>
      <c r="Q57" s="105">
        <f>SUMIFS('Plan prihoda za unos u SAP'!$H$3:$H$500,'Plan prihoda za unos u SAP'!$C$3:$C$500,"=575",'Plan prihoda za unos u SAP'!$K$3:$K$500,"=639")</f>
        <v>0</v>
      </c>
      <c r="R57" s="105">
        <f>SUMIFS('Plan prihoda za unos u SAP'!$H$3:$H$500,'Plan prihoda za unos u SAP'!$C$3:$C$500,"=576",'Plan prihoda za unos u SAP'!$K$3:$K$500,"=639")</f>
        <v>0</v>
      </c>
      <c r="S57" s="105">
        <f>SUMIFS('Plan prihoda za unos u SAP'!$H$3:$H$500,'Plan prihoda za unos u SAP'!$C$3:$C$500,"=581",'Plan prihoda za unos u SAP'!$K$3:$K$500,"=639")</f>
        <v>0</v>
      </c>
      <c r="T57" s="105">
        <f>SUMIFS('Plan prihoda za unos u SAP'!$H$3:$H$500,'Plan prihoda za unos u SAP'!$C$3:$C$500,"=61",'Plan prihoda za unos u SAP'!$K$3:$K$500,"=639")</f>
        <v>0</v>
      </c>
      <c r="U57" s="105">
        <f>SUMIFS('Plan prihoda za unos u SAP'!$H$3:$H$500,'Plan prihoda za unos u SAP'!$C$3:$C$500,"=63",'Plan prihoda za unos u SAP'!$K$3:$K$500,"=639")</f>
        <v>0</v>
      </c>
      <c r="V57" s="105">
        <f>SUMIFS('Plan prihoda za unos u SAP'!$H$3:$H$500,'Plan prihoda za unos u SAP'!$C$3:$C$500,"=71",'Plan prihoda za unos u SAP'!$K$3:$K$500,"=639")</f>
        <v>0</v>
      </c>
      <c r="W57" s="105">
        <f>SUMIFS('Plan prihoda za unos u SAP'!$H$3:$H$500,'Plan prihoda za unos u SAP'!$C$3:$C$500,"=81",'Plan prihoda za unos u SAP'!$K$3:$K$500,"=639")</f>
        <v>0</v>
      </c>
      <c r="X57" s="80"/>
      <c r="Y57" s="80"/>
      <c r="Z57" s="80"/>
      <c r="AA57" s="80"/>
      <c r="AB57" s="80"/>
      <c r="AC57" s="80"/>
    </row>
    <row r="58" spans="1:29" ht="12.75" customHeight="1">
      <c r="A58" s="80">
        <v>2022</v>
      </c>
      <c r="B58" s="88" t="s">
        <v>3380</v>
      </c>
      <c r="C58" s="89" t="s">
        <v>3381</v>
      </c>
      <c r="D58" s="90">
        <f t="shared" si="8"/>
        <v>0</v>
      </c>
      <c r="E58" s="105">
        <f>SUMIFS('Plan prihoda za unos u SAP'!$H$3:$H$500,'Plan prihoda za unos u SAP'!$C$3:$C$500,"=11",'Plan prihoda za unos u SAP'!$K$3:$K$500,"=641")</f>
        <v>0</v>
      </c>
      <c r="F58" s="105">
        <f>SUMIFS('Plan prihoda za unos u SAP'!$H$3:$H$500,'Plan prihoda za unos u SAP'!$C$3:$C$500,"=12",'Plan prihoda za unos u SAP'!$K$3:$K$500,"=641")</f>
        <v>0</v>
      </c>
      <c r="G58" s="105">
        <f>SUMIFS('Plan prihoda za unos u SAP'!$H$3:$H$500,'Plan prihoda za unos u SAP'!$C$3:$C$500,"=31",'Plan prihoda za unos u SAP'!$K$3:$K$500,"=641")</f>
        <v>0</v>
      </c>
      <c r="H58" s="105">
        <f>SUMIFS('Plan prihoda za unos u SAP'!$H$3:$H$500,'Plan prihoda za unos u SAP'!$C$3:$C$500,"=41",'Plan prihoda za unos u SAP'!$K$3:$K$500,"=641")</f>
        <v>0</v>
      </c>
      <c r="I58" s="105">
        <f>SUMIFS('Plan prihoda za unos u SAP'!$H$3:$H$500,'Plan prihoda za unos u SAP'!$C$3:$C$500,"=43",'Plan prihoda za unos u SAP'!$K$3:$K$500,"=641")</f>
        <v>0</v>
      </c>
      <c r="J58" s="105">
        <f>SUMIFS('Plan prihoda za unos u SAP'!$H$3:$H$500,'Plan prihoda za unos u SAP'!$C$3:$C$500,"=51",'Plan prihoda za unos u SAP'!$K$3:$K$500,"=641")</f>
        <v>0</v>
      </c>
      <c r="K58" s="105">
        <f>SUMIFS('Plan prihoda za unos u SAP'!$H$3:$H$500,'Plan prihoda za unos u SAP'!$C$3:$C$500,"=52",'Plan prihoda za unos u SAP'!$K$3:$K$500,"=641")</f>
        <v>0</v>
      </c>
      <c r="L58" s="105">
        <f>SUMIFS('Plan prihoda za unos u SAP'!$H$3:$H$500,'Plan prihoda za unos u SAP'!$C$3:$C$500,"=552",'Plan prihoda za unos u SAP'!$K$3:$K$500,"=641")</f>
        <v>0</v>
      </c>
      <c r="M58" s="105">
        <f>SUMIFS('Plan prihoda za unos u SAP'!$H$3:$H$500,'Plan prihoda za unos u SAP'!$C$3:$C$500,"=559",'Plan prihoda za unos u SAP'!$K$3:$K$500,"=641")</f>
        <v>0</v>
      </c>
      <c r="N58" s="105">
        <f>SUMIFS('Plan prihoda za unos u SAP'!$H$3:$H$500,'Plan prihoda za unos u SAP'!$C$3:$C$500,"=561",'Plan prihoda za unos u SAP'!$K$3:$K$500,"=641")</f>
        <v>0</v>
      </c>
      <c r="O58" s="105">
        <f>SUMIFS('Plan prihoda za unos u SAP'!$H$3:$H$500,'Plan prihoda za unos u SAP'!$C$3:$C$500,"=563",'Plan prihoda za unos u SAP'!$K$3:$K$500,"=641")</f>
        <v>0</v>
      </c>
      <c r="P58" s="105">
        <f>SUMIFS('Plan prihoda za unos u SAP'!$H$3:$H$500,'Plan prihoda za unos u SAP'!$C$3:$C$500,"=573",'Plan prihoda za unos u SAP'!$K$3:$K$500,"=641")</f>
        <v>0</v>
      </c>
      <c r="Q58" s="105">
        <f>SUMIFS('Plan prihoda za unos u SAP'!$H$3:$H$500,'Plan prihoda za unos u SAP'!$C$3:$C$500,"=575",'Plan prihoda za unos u SAP'!$K$3:$K$500,"=641")</f>
        <v>0</v>
      </c>
      <c r="R58" s="105">
        <f>SUMIFS('Plan prihoda za unos u SAP'!$H$3:$H$500,'Plan prihoda za unos u SAP'!$C$3:$C$500,"=576",'Plan prihoda za unos u SAP'!$K$3:$K$500,"=641")</f>
        <v>0</v>
      </c>
      <c r="S58" s="105">
        <f>SUMIFS('Plan prihoda za unos u SAP'!$H$3:$H$500,'Plan prihoda za unos u SAP'!$C$3:$C$500,"=581",'Plan prihoda za unos u SAP'!$K$3:$K$500,"=641")</f>
        <v>0</v>
      </c>
      <c r="T58" s="105">
        <f>SUMIFS('Plan prihoda za unos u SAP'!$H$3:$H$500,'Plan prihoda za unos u SAP'!$C$3:$C$500,"=61",'Plan prihoda za unos u SAP'!$K$3:$K$500,"=641")</f>
        <v>0</v>
      </c>
      <c r="U58" s="105">
        <f>SUMIFS('Plan prihoda za unos u SAP'!$H$3:$H$500,'Plan prihoda za unos u SAP'!$C$3:$C$500,"=63",'Plan prihoda za unos u SAP'!$K$3:$K$500,"=641")</f>
        <v>0</v>
      </c>
      <c r="V58" s="105">
        <f>SUMIFS('Plan prihoda za unos u SAP'!$H$3:$H$500,'Plan prihoda za unos u SAP'!$C$3:$C$500,"=71",'Plan prihoda za unos u SAP'!$K$3:$K$500,"=641")</f>
        <v>0</v>
      </c>
      <c r="W58" s="105">
        <f>SUMIFS('Plan prihoda za unos u SAP'!$H$3:$H$500,'Plan prihoda za unos u SAP'!$C$3:$C$500,"=81",'Plan prihoda za unos u SAP'!$K$3:$K$500,"=641")</f>
        <v>0</v>
      </c>
      <c r="X58" s="80"/>
      <c r="Y58" s="80"/>
      <c r="Z58" s="80"/>
      <c r="AA58" s="80"/>
      <c r="AB58" s="80"/>
      <c r="AC58" s="80"/>
    </row>
    <row r="59" spans="1:29" ht="12.75" customHeight="1">
      <c r="A59" s="80">
        <v>2022</v>
      </c>
      <c r="B59" s="88" t="s">
        <v>3382</v>
      </c>
      <c r="C59" s="89" t="s">
        <v>3383</v>
      </c>
      <c r="D59" s="90">
        <f t="shared" si="8"/>
        <v>0</v>
      </c>
      <c r="E59" s="105">
        <f>SUMIFS('Plan prihoda za unos u SAP'!$H$3:$H$500,'Plan prihoda za unos u SAP'!$C$3:$C$500,"=11",'Plan prihoda za unos u SAP'!$K$3:$K$500,"=642")</f>
        <v>0</v>
      </c>
      <c r="F59" s="105">
        <f>SUMIFS('Plan prihoda za unos u SAP'!$H$3:$H$500,'Plan prihoda za unos u SAP'!$C$3:$C$500,"=12",'Plan prihoda za unos u SAP'!$K$3:$K$500,"=642")</f>
        <v>0</v>
      </c>
      <c r="G59" s="105">
        <f>SUMIFS('Plan prihoda za unos u SAP'!$H$3:$H$500,'Plan prihoda za unos u SAP'!$C$3:$C$500,"=31",'Plan prihoda za unos u SAP'!$K$3:$K$500,"=642")</f>
        <v>0</v>
      </c>
      <c r="H59" s="105">
        <f>SUMIFS('Plan prihoda za unos u SAP'!$H$3:$H$500,'Plan prihoda za unos u SAP'!$C$3:$C$500,"=41",'Plan prihoda za unos u SAP'!$K$3:$K$500,"=642")</f>
        <v>0</v>
      </c>
      <c r="I59" s="105">
        <f>SUMIFS('Plan prihoda za unos u SAP'!$H$3:$H$500,'Plan prihoda za unos u SAP'!$C$3:$C$500,"=43",'Plan prihoda za unos u SAP'!$K$3:$K$500,"=642")</f>
        <v>0</v>
      </c>
      <c r="J59" s="105">
        <f>SUMIFS('Plan prihoda za unos u SAP'!$H$3:$H$500,'Plan prihoda za unos u SAP'!$C$3:$C$500,"=51",'Plan prihoda za unos u SAP'!$K$3:$K$500,"=642")</f>
        <v>0</v>
      </c>
      <c r="K59" s="105">
        <f>SUMIFS('Plan prihoda za unos u SAP'!$H$3:$H$500,'Plan prihoda za unos u SAP'!$C$3:$C$500,"=52",'Plan prihoda za unos u SAP'!$K$3:$K$500,"=642")</f>
        <v>0</v>
      </c>
      <c r="L59" s="105">
        <f>SUMIFS('Plan prihoda za unos u SAP'!$H$3:$H$500,'Plan prihoda za unos u SAP'!$C$3:$C$500,"=552",'Plan prihoda za unos u SAP'!$K$3:$K$500,"=642")</f>
        <v>0</v>
      </c>
      <c r="M59" s="105">
        <f>SUMIFS('Plan prihoda za unos u SAP'!$H$3:$H$500,'Plan prihoda za unos u SAP'!$C$3:$C$500,"=559",'Plan prihoda za unos u SAP'!$K$3:$K$500,"=642")</f>
        <v>0</v>
      </c>
      <c r="N59" s="105">
        <f>SUMIFS('Plan prihoda za unos u SAP'!$H$3:$H$500,'Plan prihoda za unos u SAP'!$C$3:$C$500,"=561",'Plan prihoda za unos u SAP'!$K$3:$K$500,"=642")</f>
        <v>0</v>
      </c>
      <c r="O59" s="105">
        <f>SUMIFS('Plan prihoda za unos u SAP'!$H$3:$H$500,'Plan prihoda za unos u SAP'!$C$3:$C$500,"=563",'Plan prihoda za unos u SAP'!$K$3:$K$500,"=642")</f>
        <v>0</v>
      </c>
      <c r="P59" s="105">
        <f>SUMIFS('Plan prihoda za unos u SAP'!$H$3:$H$500,'Plan prihoda za unos u SAP'!$C$3:$C$500,"=573",'Plan prihoda za unos u SAP'!$K$3:$K$500,"=642")</f>
        <v>0</v>
      </c>
      <c r="Q59" s="105">
        <f>SUMIFS('Plan prihoda za unos u SAP'!$H$3:$H$500,'Plan prihoda za unos u SAP'!$C$3:$C$500,"=575",'Plan prihoda za unos u SAP'!$K$3:$K$500,"=642")</f>
        <v>0</v>
      </c>
      <c r="R59" s="105">
        <f>SUMIFS('Plan prihoda za unos u SAP'!$H$3:$H$500,'Plan prihoda za unos u SAP'!$C$3:$C$500,"=576",'Plan prihoda za unos u SAP'!$K$3:$K$500,"=642")</f>
        <v>0</v>
      </c>
      <c r="S59" s="105">
        <f>SUMIFS('Plan prihoda za unos u SAP'!$H$3:$H$500,'Plan prihoda za unos u SAP'!$C$3:$C$500,"=581",'Plan prihoda za unos u SAP'!$K$3:$K$500,"=642")</f>
        <v>0</v>
      </c>
      <c r="T59" s="105">
        <f>SUMIFS('Plan prihoda za unos u SAP'!$H$3:$H$500,'Plan prihoda za unos u SAP'!$C$3:$C$500,"=61",'Plan prihoda za unos u SAP'!$K$3:$K$500,"=642")</f>
        <v>0</v>
      </c>
      <c r="U59" s="105">
        <f>SUMIFS('Plan prihoda za unos u SAP'!$H$3:$H$500,'Plan prihoda za unos u SAP'!$C$3:$C$500,"=63",'Plan prihoda za unos u SAP'!$K$3:$K$500,"=642")</f>
        <v>0</v>
      </c>
      <c r="V59" s="105">
        <f>SUMIFS('Plan prihoda za unos u SAP'!$H$3:$H$500,'Plan prihoda za unos u SAP'!$C$3:$C$500,"=71",'Plan prihoda za unos u SAP'!$K$3:$K$500,"=642")</f>
        <v>0</v>
      </c>
      <c r="W59" s="105">
        <f>SUMIFS('Plan prihoda za unos u SAP'!$H$3:$H$500,'Plan prihoda za unos u SAP'!$C$3:$C$500,"=81",'Plan prihoda za unos u SAP'!$K$3:$K$500,"=642")</f>
        <v>0</v>
      </c>
      <c r="X59" s="80"/>
      <c r="Y59" s="80"/>
      <c r="Z59" s="80"/>
      <c r="AA59" s="80"/>
      <c r="AB59" s="80"/>
      <c r="AC59" s="80"/>
    </row>
    <row r="60" spans="1:29" ht="12.75" customHeight="1">
      <c r="A60" s="80">
        <v>2022</v>
      </c>
      <c r="B60" s="95" t="s">
        <v>3384</v>
      </c>
      <c r="C60" s="89" t="s">
        <v>3385</v>
      </c>
      <c r="D60" s="90">
        <f t="shared" si="8"/>
        <v>0</v>
      </c>
      <c r="E60" s="105">
        <f>SUMIFS('Plan prihoda za unos u SAP'!$H$3:$H$500,'Plan prihoda za unos u SAP'!$C$3:$C$500,"=11",'Plan prihoda za unos u SAP'!$K$3:$K$500,"=651")</f>
        <v>0</v>
      </c>
      <c r="F60" s="105">
        <f>SUMIFS('Plan prihoda za unos u SAP'!$H$3:$H$500,'Plan prihoda za unos u SAP'!$C$3:$C$500,"=12",'Plan prihoda za unos u SAP'!$K$3:$K$500,"=651")</f>
        <v>0</v>
      </c>
      <c r="G60" s="105">
        <f>SUMIFS('Plan prihoda za unos u SAP'!$H$3:$H$500,'Plan prihoda za unos u SAP'!$C$3:$C$500,"=31",'Plan prihoda za unos u SAP'!$K$3:$K$500,"=651")</f>
        <v>0</v>
      </c>
      <c r="H60" s="105">
        <f>SUMIFS('Plan prihoda za unos u SAP'!$H$3:$H$500,'Plan prihoda za unos u SAP'!$C$3:$C$500,"=41",'Plan prihoda za unos u SAP'!$K$3:$K$500,"=651")</f>
        <v>0</v>
      </c>
      <c r="I60" s="105">
        <f>SUMIFS('Plan prihoda za unos u SAP'!$H$3:$H$500,'Plan prihoda za unos u SAP'!$C$3:$C$500,"=43",'Plan prihoda za unos u SAP'!$K$3:$K$500,"=651")</f>
        <v>0</v>
      </c>
      <c r="J60" s="105">
        <f>SUMIFS('Plan prihoda za unos u SAP'!$H$3:$H$500,'Plan prihoda za unos u SAP'!$C$3:$C$500,"=51",'Plan prihoda za unos u SAP'!$K$3:$K$500,"=651")</f>
        <v>0</v>
      </c>
      <c r="K60" s="105">
        <f>SUMIFS('Plan prihoda za unos u SAP'!$H$3:$H$500,'Plan prihoda za unos u SAP'!$C$3:$C$500,"=52",'Plan prihoda za unos u SAP'!$K$3:$K$500,"=651")</f>
        <v>0</v>
      </c>
      <c r="L60" s="105">
        <f>SUMIFS('Plan prihoda za unos u SAP'!$H$3:$H$500,'Plan prihoda za unos u SAP'!$C$3:$C$500,"=552",'Plan prihoda za unos u SAP'!$K$3:$K$500,"=651")</f>
        <v>0</v>
      </c>
      <c r="M60" s="105">
        <f>SUMIFS('Plan prihoda za unos u SAP'!$H$3:$H$500,'Plan prihoda za unos u SAP'!$C$3:$C$500,"=559",'Plan prihoda za unos u SAP'!$K$3:$K$500,"=651")</f>
        <v>0</v>
      </c>
      <c r="N60" s="105">
        <f>SUMIFS('Plan prihoda za unos u SAP'!$H$3:$H$500,'Plan prihoda za unos u SAP'!$C$3:$C$500,"=561",'Plan prihoda za unos u SAP'!$K$3:$K$500,"=651")</f>
        <v>0</v>
      </c>
      <c r="O60" s="105">
        <f>SUMIFS('Plan prihoda za unos u SAP'!$H$3:$H$500,'Plan prihoda za unos u SAP'!$C$3:$C$500,"=563",'Plan prihoda za unos u SAP'!$K$3:$K$500,"=651")</f>
        <v>0</v>
      </c>
      <c r="P60" s="105">
        <f>SUMIFS('Plan prihoda za unos u SAP'!$H$3:$H$500,'Plan prihoda za unos u SAP'!$C$3:$C$500,"=573",'Plan prihoda za unos u SAP'!$K$3:$K$500,"=651")</f>
        <v>0</v>
      </c>
      <c r="Q60" s="105">
        <f>SUMIFS('Plan prihoda za unos u SAP'!$H$3:$H$500,'Plan prihoda za unos u SAP'!$C$3:$C$500,"=575",'Plan prihoda za unos u SAP'!$K$3:$K$500,"=651")</f>
        <v>0</v>
      </c>
      <c r="R60" s="105">
        <f>SUMIFS('Plan prihoda za unos u SAP'!$H$3:$H$500,'Plan prihoda za unos u SAP'!$C$3:$C$500,"=576",'Plan prihoda za unos u SAP'!$K$3:$K$500,"=651")</f>
        <v>0</v>
      </c>
      <c r="S60" s="105">
        <f>SUMIFS('Plan prihoda za unos u SAP'!$H$3:$H$500,'Plan prihoda za unos u SAP'!$C$3:$C$500,"=581",'Plan prihoda za unos u SAP'!$K$3:$K$500,"=651")</f>
        <v>0</v>
      </c>
      <c r="T60" s="105">
        <f>SUMIFS('Plan prihoda za unos u SAP'!$H$3:$H$500,'Plan prihoda za unos u SAP'!$C$3:$C$500,"=61",'Plan prihoda za unos u SAP'!$K$3:$K$500,"=651")</f>
        <v>0</v>
      </c>
      <c r="U60" s="105">
        <f>SUMIFS('Plan prihoda za unos u SAP'!$H$3:$H$500,'Plan prihoda za unos u SAP'!$C$3:$C$500,"=63",'Plan prihoda za unos u SAP'!$K$3:$K$500,"=651")</f>
        <v>0</v>
      </c>
      <c r="V60" s="105">
        <f>SUMIFS('Plan prihoda za unos u SAP'!$H$3:$H$500,'Plan prihoda za unos u SAP'!$C$3:$C$500,"=71",'Plan prihoda za unos u SAP'!$K$3:$K$500,"=651")</f>
        <v>0</v>
      </c>
      <c r="W60" s="105">
        <f>SUMIFS('Plan prihoda za unos u SAP'!$H$3:$H$500,'Plan prihoda za unos u SAP'!$C$3:$C$500,"=81",'Plan prihoda za unos u SAP'!$K$3:$K$500,"=651")</f>
        <v>0</v>
      </c>
      <c r="X60" s="80"/>
      <c r="Y60" s="80"/>
      <c r="Z60" s="80"/>
      <c r="AA60" s="80"/>
      <c r="AB60" s="80"/>
      <c r="AC60" s="80"/>
    </row>
    <row r="61" spans="1:29" ht="12.75" customHeight="1">
      <c r="A61" s="80">
        <v>2022</v>
      </c>
      <c r="B61" s="88" t="s">
        <v>3386</v>
      </c>
      <c r="C61" s="89" t="s">
        <v>3387</v>
      </c>
      <c r="D61" s="90">
        <f t="shared" si="8"/>
        <v>24500000</v>
      </c>
      <c r="E61" s="105">
        <f>SUMIFS('Plan prihoda za unos u SAP'!$H$3:$H$500,'Plan prihoda za unos u SAP'!$C$3:$C$500,"=11",'Plan prihoda za unos u SAP'!$K$3:$K$500,"=652")</f>
        <v>0</v>
      </c>
      <c r="F61" s="105">
        <f>SUMIFS('Plan prihoda za unos u SAP'!$H$3:$H$500,'Plan prihoda za unos u SAP'!$C$3:$C$500,"=12",'Plan prihoda za unos u SAP'!$K$3:$K$500,"=652")</f>
        <v>0</v>
      </c>
      <c r="G61" s="105">
        <f>SUMIFS('Plan prihoda za unos u SAP'!$H$3:$H$500,'Plan prihoda za unos u SAP'!$C$3:$C$500,"=31",'Plan prihoda za unos u SAP'!$K$3:$K$500,"=652")</f>
        <v>0</v>
      </c>
      <c r="H61" s="105">
        <f>SUMIFS('Plan prihoda za unos u SAP'!$H$3:$H$500,'Plan prihoda za unos u SAP'!$C$3:$C$500,"=41",'Plan prihoda za unos u SAP'!$K$3:$K$500,"=652")</f>
        <v>0</v>
      </c>
      <c r="I61" s="105">
        <f>SUMIFS('Plan prihoda za unos u SAP'!$H$3:$H$500,'Plan prihoda za unos u SAP'!$C$3:$C$500,"=43",'Plan prihoda za unos u SAP'!$K$3:$K$500,"=652")</f>
        <v>24500000</v>
      </c>
      <c r="J61" s="105">
        <f>SUMIFS('Plan prihoda za unos u SAP'!$H$3:$H$500,'Plan prihoda za unos u SAP'!$C$3:$C$500,"=51",'Plan prihoda za unos u SAP'!$K$3:$K$500,"=652")</f>
        <v>0</v>
      </c>
      <c r="K61" s="105">
        <f>SUMIFS('Plan prihoda za unos u SAP'!$H$3:$H$500,'Plan prihoda za unos u SAP'!$C$3:$C$500,"=52",'Plan prihoda za unos u SAP'!$K$3:$K$500,"=652")</f>
        <v>0</v>
      </c>
      <c r="L61" s="105">
        <f>SUMIFS('Plan prihoda za unos u SAP'!$H$3:$H$500,'Plan prihoda za unos u SAP'!$C$3:$C$500,"=552",'Plan prihoda za unos u SAP'!$K$3:$K$500,"=652")</f>
        <v>0</v>
      </c>
      <c r="M61" s="105">
        <f>SUMIFS('Plan prihoda za unos u SAP'!$H$3:$H$500,'Plan prihoda za unos u SAP'!$C$3:$C$500,"=559",'Plan prihoda za unos u SAP'!$K$3:$K$500,"=652")</f>
        <v>0</v>
      </c>
      <c r="N61" s="105">
        <f>SUMIFS('Plan prihoda za unos u SAP'!$H$3:$H$500,'Plan prihoda za unos u SAP'!$C$3:$C$500,"=561",'Plan prihoda za unos u SAP'!$K$3:$K$500,"=652")</f>
        <v>0</v>
      </c>
      <c r="O61" s="105">
        <f>SUMIFS('Plan prihoda za unos u SAP'!$H$3:$H$500,'Plan prihoda za unos u SAP'!$C$3:$C$500,"=563",'Plan prihoda za unos u SAP'!$K$3:$K$500,"=652")</f>
        <v>0</v>
      </c>
      <c r="P61" s="105">
        <f>SUMIFS('Plan prihoda za unos u SAP'!$H$3:$H$500,'Plan prihoda za unos u SAP'!$C$3:$C$500,"=573",'Plan prihoda za unos u SAP'!$K$3:$K$500,"=652")</f>
        <v>0</v>
      </c>
      <c r="Q61" s="105">
        <f>SUMIFS('Plan prihoda za unos u SAP'!$H$3:$H$500,'Plan prihoda za unos u SAP'!$C$3:$C$500,"=575",'Plan prihoda za unos u SAP'!$K$3:$K$500,"=652")</f>
        <v>0</v>
      </c>
      <c r="R61" s="105">
        <f>SUMIFS('Plan prihoda za unos u SAP'!$H$3:$H$500,'Plan prihoda za unos u SAP'!$C$3:$C$500,"=576",'Plan prihoda za unos u SAP'!$K$3:$K$500,"=652")</f>
        <v>0</v>
      </c>
      <c r="S61" s="105">
        <f>SUMIFS('Plan prihoda za unos u SAP'!$H$3:$H$500,'Plan prihoda za unos u SAP'!$C$3:$C$500,"=581",'Plan prihoda za unos u SAP'!$K$3:$K$500,"=652")</f>
        <v>0</v>
      </c>
      <c r="T61" s="105">
        <f>SUMIFS('Plan prihoda za unos u SAP'!$H$3:$H$500,'Plan prihoda za unos u SAP'!$C$3:$C$500,"=61",'Plan prihoda za unos u SAP'!$K$3:$K$500,"=652")</f>
        <v>0</v>
      </c>
      <c r="U61" s="105">
        <f>SUMIFS('Plan prihoda za unos u SAP'!$H$3:$H$500,'Plan prihoda za unos u SAP'!$C$3:$C$500,"=63",'Plan prihoda za unos u SAP'!$K$3:$K$500,"=652")</f>
        <v>0</v>
      </c>
      <c r="V61" s="105">
        <f>SUMIFS('Plan prihoda za unos u SAP'!$H$3:$H$500,'Plan prihoda za unos u SAP'!$C$3:$C$500,"=71",'Plan prihoda za unos u SAP'!$K$3:$K$500,"=652")</f>
        <v>0</v>
      </c>
      <c r="W61" s="105">
        <f>SUMIFS('Plan prihoda za unos u SAP'!$H$3:$H$500,'Plan prihoda za unos u SAP'!$C$3:$C$500,"=81",'Plan prihoda za unos u SAP'!$K$3:$K$500,"=652")</f>
        <v>0</v>
      </c>
      <c r="X61" s="80"/>
      <c r="Y61" s="80"/>
      <c r="Z61" s="80"/>
      <c r="AA61" s="80"/>
      <c r="AB61" s="80"/>
      <c r="AC61" s="80"/>
    </row>
    <row r="62" spans="1:29" ht="12.75" customHeight="1">
      <c r="A62" s="80">
        <v>2022</v>
      </c>
      <c r="B62" s="88" t="s">
        <v>3388</v>
      </c>
      <c r="C62" s="89" t="s">
        <v>3389</v>
      </c>
      <c r="D62" s="90">
        <f t="shared" si="8"/>
        <v>15497220</v>
      </c>
      <c r="E62" s="105">
        <f>SUMIFS('Plan prihoda za unos u SAP'!$H$3:$H$500,'Plan prihoda za unos u SAP'!$C$3:$C$500,"=11",'Plan prihoda za unos u SAP'!$K$3:$K$500,"=661")</f>
        <v>0</v>
      </c>
      <c r="F62" s="105">
        <f>SUMIFS('Plan prihoda za unos u SAP'!$H$3:$H$500,'Plan prihoda za unos u SAP'!$C$3:$C$500,"=12",'Plan prihoda za unos u SAP'!$K$3:$K$500,"=661")</f>
        <v>0</v>
      </c>
      <c r="G62" s="105">
        <f>SUMIFS('Plan prihoda za unos u SAP'!$H$3:$H$500,'Plan prihoda za unos u SAP'!$C$3:$C$500,"=31",'Plan prihoda za unos u SAP'!$K$3:$K$500,"=661")</f>
        <v>15497220</v>
      </c>
      <c r="H62" s="105">
        <f>SUMIFS('Plan prihoda za unos u SAP'!$H$3:$H$500,'Plan prihoda za unos u SAP'!$C$3:$C$500,"=41",'Plan prihoda za unos u SAP'!$K$3:$K$500,"=661")</f>
        <v>0</v>
      </c>
      <c r="I62" s="105">
        <f>SUMIFS('Plan prihoda za unos u SAP'!$H$3:$H$500,'Plan prihoda za unos u SAP'!$C$3:$C$500,"=43",'Plan prihoda za unos u SAP'!$K$3:$K$500,"=661")</f>
        <v>0</v>
      </c>
      <c r="J62" s="105">
        <f>SUMIFS('Plan prihoda za unos u SAP'!$H$3:$H$500,'Plan prihoda za unos u SAP'!$C$3:$C$500,"=51",'Plan prihoda za unos u SAP'!$K$3:$K$500,"=661")</f>
        <v>0</v>
      </c>
      <c r="K62" s="105">
        <f>SUMIFS('Plan prihoda za unos u SAP'!$H$3:$H$500,'Plan prihoda za unos u SAP'!$C$3:$C$500,"=52",'Plan prihoda za unos u SAP'!$K$3:$K$500,"=661")</f>
        <v>0</v>
      </c>
      <c r="L62" s="105">
        <f>SUMIFS('Plan prihoda za unos u SAP'!$H$3:$H$500,'Plan prihoda za unos u SAP'!$C$3:$C$500,"=552",'Plan prihoda za unos u SAP'!$K$3:$K$500,"=661")</f>
        <v>0</v>
      </c>
      <c r="M62" s="105">
        <f>SUMIFS('Plan prihoda za unos u SAP'!$H$3:$H$500,'Plan prihoda za unos u SAP'!$C$3:$C$500,"=559",'Plan prihoda za unos u SAP'!$K$3:$K$500,"=661")</f>
        <v>0</v>
      </c>
      <c r="N62" s="105">
        <f>SUMIFS('Plan prihoda za unos u SAP'!$H$3:$H$500,'Plan prihoda za unos u SAP'!$C$3:$C$500,"=561",'Plan prihoda za unos u SAP'!$K$3:$K$500,"=661")</f>
        <v>0</v>
      </c>
      <c r="O62" s="105">
        <f>SUMIFS('Plan prihoda za unos u SAP'!$H$3:$H$500,'Plan prihoda za unos u SAP'!$C$3:$C$500,"=563",'Plan prihoda za unos u SAP'!$K$3:$K$500,"=661")</f>
        <v>0</v>
      </c>
      <c r="P62" s="105">
        <f>SUMIFS('Plan prihoda za unos u SAP'!$H$3:$H$500,'Plan prihoda za unos u SAP'!$C$3:$C$500,"=573",'Plan prihoda za unos u SAP'!$K$3:$K$500,"=661")</f>
        <v>0</v>
      </c>
      <c r="Q62" s="105">
        <f>SUMIFS('Plan prihoda za unos u SAP'!$H$3:$H$500,'Plan prihoda za unos u SAP'!$C$3:$C$500,"=575",'Plan prihoda za unos u SAP'!$K$3:$K$500,"=661")</f>
        <v>0</v>
      </c>
      <c r="R62" s="105">
        <f>SUMIFS('Plan prihoda za unos u SAP'!$H$3:$H$500,'Plan prihoda za unos u SAP'!$C$3:$C$500,"=576",'Plan prihoda za unos u SAP'!$K$3:$K$500,"=661")</f>
        <v>0</v>
      </c>
      <c r="S62" s="105">
        <f>SUMIFS('Plan prihoda za unos u SAP'!$H$3:$H$500,'Plan prihoda za unos u SAP'!$C$3:$C$500,"=581",'Plan prihoda za unos u SAP'!$K$3:$K$500,"=661")</f>
        <v>0</v>
      </c>
      <c r="T62" s="105">
        <f>SUMIFS('Plan prihoda za unos u SAP'!$H$3:$H$500,'Plan prihoda za unos u SAP'!$C$3:$C$500,"=61",'Plan prihoda za unos u SAP'!$K$3:$K$500,"=661")</f>
        <v>0</v>
      </c>
      <c r="U62" s="105">
        <f>SUMIFS('Plan prihoda za unos u SAP'!$H$3:$H$500,'Plan prihoda za unos u SAP'!$C$3:$C$500,"=63",'Plan prihoda za unos u SAP'!$K$3:$K$500,"=661")</f>
        <v>0</v>
      </c>
      <c r="V62" s="105">
        <f>SUMIFS('Plan prihoda za unos u SAP'!$H$3:$H$500,'Plan prihoda za unos u SAP'!$C$3:$C$500,"=71",'Plan prihoda za unos u SAP'!$K$3:$K$500,"=661")</f>
        <v>0</v>
      </c>
      <c r="W62" s="105">
        <f>SUMIFS('Plan prihoda za unos u SAP'!$H$3:$H$500,'Plan prihoda za unos u SAP'!$C$3:$C$500,"=81",'Plan prihoda za unos u SAP'!$K$3:$K$500,"=661")</f>
        <v>0</v>
      </c>
      <c r="X62" s="80"/>
      <c r="Y62" s="80"/>
      <c r="Z62" s="80"/>
      <c r="AA62" s="80"/>
      <c r="AB62" s="80"/>
      <c r="AC62" s="80"/>
    </row>
    <row r="63" spans="1:29" ht="12.75" customHeight="1">
      <c r="A63" s="80">
        <v>2022</v>
      </c>
      <c r="B63" s="88" t="s">
        <v>3390</v>
      </c>
      <c r="C63" s="89" t="s">
        <v>3391</v>
      </c>
      <c r="D63" s="90">
        <f t="shared" si="8"/>
        <v>680000</v>
      </c>
      <c r="E63" s="105">
        <f>SUMIFS('Plan prihoda za unos u SAP'!$H$3:$H$500,'Plan prihoda za unos u SAP'!$C$3:$C$500,"=11",'Plan prihoda za unos u SAP'!$K$3:$K$500,"=663")</f>
        <v>0</v>
      </c>
      <c r="F63" s="105">
        <f>SUMIFS('Plan prihoda za unos u SAP'!$H$3:$H$500,'Plan prihoda za unos u SAP'!$C$3:$C$500,"=12",'Plan prihoda za unos u SAP'!$K$3:$K$500,"=663")</f>
        <v>0</v>
      </c>
      <c r="G63" s="105">
        <f>SUMIFS('Plan prihoda za unos u SAP'!$H$3:$H$500,'Plan prihoda za unos u SAP'!$C$3:$C$500,"=31",'Plan prihoda za unos u SAP'!$K$3:$K$500,"=663")</f>
        <v>0</v>
      </c>
      <c r="H63" s="105">
        <f>SUMIFS('Plan prihoda za unos u SAP'!$H$3:$H$500,'Plan prihoda za unos u SAP'!$C$3:$C$500,"=41",'Plan prihoda za unos u SAP'!$K$3:$K$500,"=663")</f>
        <v>0</v>
      </c>
      <c r="I63" s="105">
        <f>SUMIFS('Plan prihoda za unos u SAP'!$H$3:$H$500,'Plan prihoda za unos u SAP'!$C$3:$C$500,"=43",'Plan prihoda za unos u SAP'!$K$3:$K$500,"=663")</f>
        <v>0</v>
      </c>
      <c r="J63" s="105">
        <f>SUMIFS('Plan prihoda za unos u SAP'!$H$3:$H$500,'Plan prihoda za unos u SAP'!$C$3:$C$500,"=51",'Plan prihoda za unos u SAP'!$K$3:$K$500,"=663")</f>
        <v>0</v>
      </c>
      <c r="K63" s="105">
        <f>SUMIFS('Plan prihoda za unos u SAP'!$H$3:$H$500,'Plan prihoda za unos u SAP'!$C$3:$C$500,"=52",'Plan prihoda za unos u SAP'!$K$3:$K$500,"=663")</f>
        <v>0</v>
      </c>
      <c r="L63" s="105">
        <f>SUMIFS('Plan prihoda za unos u SAP'!$H$3:$H$500,'Plan prihoda za unos u SAP'!$C$3:$C$500,"=552",'Plan prihoda za unos u SAP'!$K$3:$K$500,"=663")</f>
        <v>0</v>
      </c>
      <c r="M63" s="105">
        <f>SUMIFS('Plan prihoda za unos u SAP'!$H$3:$H$500,'Plan prihoda za unos u SAP'!$C$3:$C$500,"=559",'Plan prihoda za unos u SAP'!$K$3:$K$500,"=663")</f>
        <v>0</v>
      </c>
      <c r="N63" s="105">
        <f>SUMIFS('Plan prihoda za unos u SAP'!$H$3:$H$500,'Plan prihoda za unos u SAP'!$C$3:$C$500,"=561",'Plan prihoda za unos u SAP'!$K$3:$K$500,"=663")</f>
        <v>0</v>
      </c>
      <c r="O63" s="105">
        <f>SUMIFS('Plan prihoda za unos u SAP'!$H$3:$H$500,'Plan prihoda za unos u SAP'!$C$3:$C$500,"=563",'Plan prihoda za unos u SAP'!$K$3:$K$500,"=663")</f>
        <v>0</v>
      </c>
      <c r="P63" s="105">
        <f>SUMIFS('Plan prihoda za unos u SAP'!$H$3:$H$500,'Plan prihoda za unos u SAP'!$C$3:$C$500,"=573",'Plan prihoda za unos u SAP'!$K$3:$K$500,"=663")</f>
        <v>0</v>
      </c>
      <c r="Q63" s="105">
        <f>SUMIFS('Plan prihoda za unos u SAP'!$H$3:$H$500,'Plan prihoda za unos u SAP'!$C$3:$C$500,"=575",'Plan prihoda za unos u SAP'!$K$3:$K$500,"=663")</f>
        <v>0</v>
      </c>
      <c r="R63" s="105">
        <f>SUMIFS('Plan prihoda za unos u SAP'!$H$3:$H$500,'Plan prihoda za unos u SAP'!$C$3:$C$500,"=576",'Plan prihoda za unos u SAP'!$K$3:$K$500,"=663")</f>
        <v>0</v>
      </c>
      <c r="S63" s="105">
        <f>SUMIFS('Plan prihoda za unos u SAP'!$H$3:$H$500,'Plan prihoda za unos u SAP'!$C$3:$C$500,"=581",'Plan prihoda za unos u SAP'!$K$3:$K$500,"=663")</f>
        <v>0</v>
      </c>
      <c r="T63" s="105">
        <f>SUMIFS('Plan prihoda za unos u SAP'!$H$3:$H$500,'Plan prihoda za unos u SAP'!$C$3:$C$500,"=61",'Plan prihoda za unos u SAP'!$K$3:$K$500,"=663")</f>
        <v>680000</v>
      </c>
      <c r="U63" s="105">
        <f>SUMIFS('Plan prihoda za unos u SAP'!$H$3:$H$500,'Plan prihoda za unos u SAP'!$C$3:$C$500,"=63",'Plan prihoda za unos u SAP'!$K$3:$K$500,"=663")</f>
        <v>0</v>
      </c>
      <c r="V63" s="105">
        <f>SUMIFS('Plan prihoda za unos u SAP'!$H$3:$H$500,'Plan prihoda za unos u SAP'!$C$3:$C$500,"=71",'Plan prihoda za unos u SAP'!$K$3:$K$500,"=663")</f>
        <v>0</v>
      </c>
      <c r="W63" s="105">
        <f>SUMIFS('Plan prihoda za unos u SAP'!$H$3:$H$500,'Plan prihoda za unos u SAP'!$C$3:$C$500,"=81",'Plan prihoda za unos u SAP'!$K$3:$K$500,"=663")</f>
        <v>0</v>
      </c>
      <c r="X63" s="80"/>
      <c r="Y63" s="80"/>
      <c r="Z63" s="80"/>
      <c r="AA63" s="80"/>
      <c r="AB63" s="80"/>
      <c r="AC63" s="80"/>
    </row>
    <row r="64" spans="1:29" ht="12.75" customHeight="1">
      <c r="A64" s="80">
        <v>2022</v>
      </c>
      <c r="B64" s="88" t="s">
        <v>3392</v>
      </c>
      <c r="C64" s="89" t="s">
        <v>483</v>
      </c>
      <c r="D64" s="90">
        <f t="shared" si="8"/>
        <v>139302798</v>
      </c>
      <c r="E64" s="105">
        <f>SUMIFS('Plan prihoda za unos u SAP'!$H$3:$H$500,'Plan prihoda za unos u SAP'!$C$3:$C$500,"=11",'Plan prihoda za unos u SAP'!$K$3:$K$500,"=671")</f>
        <v>139302798</v>
      </c>
      <c r="F64" s="105">
        <f>SUMIFS('Plan prihoda za unos u SAP'!$H$3:$H$500,'Plan prihoda za unos u SAP'!$C$3:$C$500,"=12",'Plan prihoda za unos u SAP'!$K$3:$K$500,"=671")</f>
        <v>0</v>
      </c>
      <c r="G64" s="105">
        <f>SUMIFS('Plan prihoda za unos u SAP'!$H$3:$H$500,'Plan prihoda za unos u SAP'!$C$3:$C$500,"=31",'Plan prihoda za unos u SAP'!$K$3:$K$500,"=671")</f>
        <v>0</v>
      </c>
      <c r="H64" s="105">
        <f>SUMIFS('Plan prihoda za unos u SAP'!$H$3:$H$500,'Plan prihoda za unos u SAP'!$C$3:$C$500,"=41",'Plan prihoda za unos u SAP'!$K$3:$K$500,"=671")</f>
        <v>0</v>
      </c>
      <c r="I64" s="105">
        <f>SUMIFS('Plan prihoda za unos u SAP'!$H$3:$H$500,'Plan prihoda za unos u SAP'!$C$3:$C$500,"=43",'Plan prihoda za unos u SAP'!$K$3:$K$500,"=671")</f>
        <v>0</v>
      </c>
      <c r="J64" s="105">
        <f>SUMIFS('Plan prihoda za unos u SAP'!$H$3:$H$500,'Plan prihoda za unos u SAP'!$C$3:$C$500,"=51",'Plan prihoda za unos u SAP'!$K$3:$K$500,"=671")</f>
        <v>0</v>
      </c>
      <c r="K64" s="105">
        <f>SUMIFS('Plan prihoda za unos u SAP'!$H$3:$H$500,'Plan prihoda za unos u SAP'!$C$3:$C$500,"=52",'Plan prihoda za unos u SAP'!$K$3:$K$500,"=671")</f>
        <v>0</v>
      </c>
      <c r="L64" s="105">
        <f>SUMIFS('Plan prihoda za unos u SAP'!$H$3:$H$500,'Plan prihoda za unos u SAP'!$C$3:$C$500,"=552",'Plan prihoda za unos u SAP'!$K$3:$K$500,"=671")</f>
        <v>0</v>
      </c>
      <c r="M64" s="105">
        <f>SUMIFS('Plan prihoda za unos u SAP'!$H$3:$H$500,'Plan prihoda za unos u SAP'!$C$3:$C$500,"=559",'Plan prihoda za unos u SAP'!$K$3:$K$500,"=671")</f>
        <v>0</v>
      </c>
      <c r="N64" s="105">
        <f>SUMIFS('Plan prihoda za unos u SAP'!$H$3:$H$500,'Plan prihoda za unos u SAP'!$C$3:$C$500,"=561",'Plan prihoda za unos u SAP'!$K$3:$K$500,"=671")</f>
        <v>0</v>
      </c>
      <c r="O64" s="105">
        <f>SUMIFS('Plan prihoda za unos u SAP'!$H$3:$H$500,'Plan prihoda za unos u SAP'!$C$3:$C$500,"=563",'Plan prihoda za unos u SAP'!$K$3:$K$500,"=671")</f>
        <v>0</v>
      </c>
      <c r="P64" s="105">
        <f>SUMIFS('Plan prihoda za unos u SAP'!$H$3:$H$500,'Plan prihoda za unos u SAP'!$C$3:$C$500,"=573",'Plan prihoda za unos u SAP'!$K$3:$K$500,"=671")</f>
        <v>0</v>
      </c>
      <c r="Q64" s="105">
        <f>SUMIFS('Plan prihoda za unos u SAP'!$H$3:$H$500,'Plan prihoda za unos u SAP'!$C$3:$C$500,"=575",'Plan prihoda za unos u SAP'!$K$3:$K$500,"=671")</f>
        <v>0</v>
      </c>
      <c r="R64" s="105">
        <f>SUMIFS('Plan prihoda za unos u SAP'!$H$3:$H$500,'Plan prihoda za unos u SAP'!$C$3:$C$500,"=576",'Plan prihoda za unos u SAP'!$K$3:$K$500,"=671")</f>
        <v>0</v>
      </c>
      <c r="S64" s="105">
        <f>SUMIFS('Plan prihoda za unos u SAP'!$H$3:$H$500,'Plan prihoda za unos u SAP'!$C$3:$C$500,"=581",'Plan prihoda za unos u SAP'!$K$3:$K$500,"=671")</f>
        <v>0</v>
      </c>
      <c r="T64" s="105">
        <f>SUMIFS('Plan prihoda za unos u SAP'!$H$3:$H$500,'Plan prihoda za unos u SAP'!$C$3:$C$500,"=61",'Plan prihoda za unos u SAP'!$K$3:$K$500,"=671")</f>
        <v>0</v>
      </c>
      <c r="U64" s="105">
        <f>SUMIFS('Plan prihoda za unos u SAP'!$H$3:$H$500,'Plan prihoda za unos u SAP'!$C$3:$C$500,"=63",'Plan prihoda za unos u SAP'!$K$3:$K$500,"=671")</f>
        <v>0</v>
      </c>
      <c r="V64" s="105">
        <f>SUMIFS('Plan prihoda za unos u SAP'!$H$3:$H$500,'Plan prihoda za unos u SAP'!$C$3:$C$500,"=71",'Plan prihoda za unos u SAP'!$K$3:$K$500,"=671")</f>
        <v>0</v>
      </c>
      <c r="W64" s="105">
        <f>SUMIFS('Plan prihoda za unos u SAP'!$H$3:$H$500,'Plan prihoda za unos u SAP'!$C$3:$C$500,"=81",'Plan prihoda za unos u SAP'!$K$3:$K$500,"=671")</f>
        <v>0</v>
      </c>
      <c r="X64" s="80"/>
      <c r="Y64" s="80"/>
      <c r="Z64" s="80"/>
      <c r="AA64" s="80"/>
      <c r="AB64" s="80"/>
      <c r="AC64" s="80"/>
    </row>
    <row r="65" spans="1:29" ht="12.75" customHeight="1">
      <c r="A65" s="80">
        <v>2022</v>
      </c>
      <c r="B65" s="88" t="s">
        <v>3393</v>
      </c>
      <c r="C65" s="89" t="s">
        <v>3394</v>
      </c>
      <c r="D65" s="90">
        <f t="shared" si="8"/>
        <v>0</v>
      </c>
      <c r="E65" s="105">
        <f>SUMIFS('Plan prihoda za unos u SAP'!$H$3:$H$500,'Plan prihoda za unos u SAP'!$C$3:$C$500,"=11",'Plan prihoda za unos u SAP'!$K$3:$K$500,"=681")</f>
        <v>0</v>
      </c>
      <c r="F65" s="105">
        <f>SUMIFS('Plan prihoda za unos u SAP'!$H$3:$H$500,'Plan prihoda za unos u SAP'!$C$3:$C$500,"=12",'Plan prihoda za unos u SAP'!$K$3:$K$500,"=681")</f>
        <v>0</v>
      </c>
      <c r="G65" s="105">
        <f>SUMIFS('Plan prihoda za unos u SAP'!$H$3:$H$500,'Plan prihoda za unos u SAP'!$C$3:$C$500,"=31",'Plan prihoda za unos u SAP'!$K$3:$K$500,"=681")</f>
        <v>0</v>
      </c>
      <c r="H65" s="105">
        <f>SUMIFS('Plan prihoda za unos u SAP'!$H$3:$H$500,'Plan prihoda za unos u SAP'!$C$3:$C$500,"=41",'Plan prihoda za unos u SAP'!$K$3:$K$500,"=681")</f>
        <v>0</v>
      </c>
      <c r="I65" s="105">
        <f>SUMIFS('Plan prihoda za unos u SAP'!$H$3:$H$500,'Plan prihoda za unos u SAP'!$C$3:$C$500,"=43",'Plan prihoda za unos u SAP'!$K$3:$K$500,"=681")</f>
        <v>0</v>
      </c>
      <c r="J65" s="105">
        <f>SUMIFS('Plan prihoda za unos u SAP'!$H$3:$H$500,'Plan prihoda za unos u SAP'!$C$3:$C$500,"=51",'Plan prihoda za unos u SAP'!$K$3:$K$500,"=681")</f>
        <v>0</v>
      </c>
      <c r="K65" s="105">
        <f>SUMIFS('Plan prihoda za unos u SAP'!$H$3:$H$500,'Plan prihoda za unos u SAP'!$C$3:$C$500,"=52",'Plan prihoda za unos u SAP'!$K$3:$K$500,"=681")</f>
        <v>0</v>
      </c>
      <c r="L65" s="105">
        <f>SUMIFS('Plan prihoda za unos u SAP'!$H$3:$H$500,'Plan prihoda za unos u SAP'!$C$3:$C$500,"=552",'Plan prihoda za unos u SAP'!$K$3:$K$500,"=681")</f>
        <v>0</v>
      </c>
      <c r="M65" s="105">
        <f>SUMIFS('Plan prihoda za unos u SAP'!$H$3:$H$500,'Plan prihoda za unos u SAP'!$C$3:$C$500,"=559",'Plan prihoda za unos u SAP'!$K$3:$K$500,"=681")</f>
        <v>0</v>
      </c>
      <c r="N65" s="105">
        <f>SUMIFS('Plan prihoda za unos u SAP'!$H$3:$H$500,'Plan prihoda za unos u SAP'!$C$3:$C$500,"=561",'Plan prihoda za unos u SAP'!$K$3:$K$500,"=681")</f>
        <v>0</v>
      </c>
      <c r="O65" s="105">
        <f>SUMIFS('Plan prihoda za unos u SAP'!$H$3:$H$500,'Plan prihoda za unos u SAP'!$C$3:$C$500,"=563",'Plan prihoda za unos u SAP'!$K$3:$K$500,"=681")</f>
        <v>0</v>
      </c>
      <c r="P65" s="105">
        <f>SUMIFS('Plan prihoda za unos u SAP'!$H$3:$H$500,'Plan prihoda za unos u SAP'!$C$3:$C$500,"=573",'Plan prihoda za unos u SAP'!$K$3:$K$500,"=681")</f>
        <v>0</v>
      </c>
      <c r="Q65" s="105">
        <f>SUMIFS('Plan prihoda za unos u SAP'!$H$3:$H$500,'Plan prihoda za unos u SAP'!$C$3:$C$500,"=575",'Plan prihoda za unos u SAP'!$K$3:$K$500,"=681")</f>
        <v>0</v>
      </c>
      <c r="R65" s="105">
        <f>SUMIFS('Plan prihoda za unos u SAP'!$H$3:$H$500,'Plan prihoda za unos u SAP'!$C$3:$C$500,"=576",'Plan prihoda za unos u SAP'!$K$3:$K$500,"=681")</f>
        <v>0</v>
      </c>
      <c r="S65" s="105">
        <f>SUMIFS('Plan prihoda za unos u SAP'!$H$3:$H$500,'Plan prihoda za unos u SAP'!$C$3:$C$500,"=581",'Plan prihoda za unos u SAP'!$K$3:$K$500,"=681")</f>
        <v>0</v>
      </c>
      <c r="T65" s="105">
        <f>SUMIFS('Plan prihoda za unos u SAP'!$H$3:$H$500,'Plan prihoda za unos u SAP'!$C$3:$C$500,"=61",'Plan prihoda za unos u SAP'!$K$3:$K$500,"=681")</f>
        <v>0</v>
      </c>
      <c r="U65" s="105">
        <f>SUMIFS('Plan prihoda za unos u SAP'!$H$3:$H$500,'Plan prihoda za unos u SAP'!$C$3:$C$500,"=63",'Plan prihoda za unos u SAP'!$K$3:$K$500,"=681")</f>
        <v>0</v>
      </c>
      <c r="V65" s="105">
        <f>SUMIFS('Plan prihoda za unos u SAP'!$H$3:$H$500,'Plan prihoda za unos u SAP'!$C$3:$C$500,"=71",'Plan prihoda za unos u SAP'!$K$3:$K$500,"=681")</f>
        <v>0</v>
      </c>
      <c r="W65" s="105">
        <f>SUMIFS('Plan prihoda za unos u SAP'!$H$3:$H$500,'Plan prihoda za unos u SAP'!$C$3:$C$500,"=81",'Plan prihoda za unos u SAP'!$K$3:$K$500,"=681")</f>
        <v>0</v>
      </c>
      <c r="X65" s="80"/>
      <c r="Y65" s="80"/>
      <c r="Z65" s="80"/>
      <c r="AA65" s="80"/>
      <c r="AB65" s="80"/>
      <c r="AC65" s="80"/>
    </row>
    <row r="66" spans="1:29" ht="12.75" customHeight="1">
      <c r="A66" s="80">
        <v>2022</v>
      </c>
      <c r="B66" s="88" t="s">
        <v>3395</v>
      </c>
      <c r="C66" s="89" t="s">
        <v>3396</v>
      </c>
      <c r="D66" s="90">
        <f t="shared" si="8"/>
        <v>0</v>
      </c>
      <c r="E66" s="105">
        <f>SUMIFS('Plan prihoda za unos u SAP'!$H$3:$H$500,'Plan prihoda za unos u SAP'!$C$3:$C$500,"=11",'Plan prihoda za unos u SAP'!$K$3:$K$500,"=683")</f>
        <v>0</v>
      </c>
      <c r="F66" s="105">
        <f>SUMIFS('Plan prihoda za unos u SAP'!$H$3:$H$500,'Plan prihoda za unos u SAP'!$C$3:$C$500,"=12",'Plan prihoda za unos u SAP'!$K$3:$K$500,"=683")</f>
        <v>0</v>
      </c>
      <c r="G66" s="105">
        <f>SUMIFS('Plan prihoda za unos u SAP'!$H$3:$H$500,'Plan prihoda za unos u SAP'!$C$3:$C$500,"=31",'Plan prihoda za unos u SAP'!$K$3:$K$500,"=683")</f>
        <v>0</v>
      </c>
      <c r="H66" s="105">
        <f>SUMIFS('Plan prihoda za unos u SAP'!$H$3:$H$500,'Plan prihoda za unos u SAP'!$C$3:$C$500,"=41",'Plan prihoda za unos u SAP'!$K$3:$K$500,"=683")</f>
        <v>0</v>
      </c>
      <c r="I66" s="105">
        <f>SUMIFS('Plan prihoda za unos u SAP'!$H$3:$H$500,'Plan prihoda za unos u SAP'!$C$3:$C$500,"=43",'Plan prihoda za unos u SAP'!$K$3:$K$500,"=683")</f>
        <v>0</v>
      </c>
      <c r="J66" s="105">
        <f>SUMIFS('Plan prihoda za unos u SAP'!$H$3:$H$500,'Plan prihoda za unos u SAP'!$C$3:$C$500,"=51",'Plan prihoda za unos u SAP'!$K$3:$K$500,"=683")</f>
        <v>0</v>
      </c>
      <c r="K66" s="105">
        <f>SUMIFS('Plan prihoda za unos u SAP'!$H$3:$H$500,'Plan prihoda za unos u SAP'!$C$3:$C$500,"=52",'Plan prihoda za unos u SAP'!$K$3:$K$500,"=683")</f>
        <v>0</v>
      </c>
      <c r="L66" s="105">
        <f>SUMIFS('Plan prihoda za unos u SAP'!$H$3:$H$500,'Plan prihoda za unos u SAP'!$C$3:$C$500,"=552",'Plan prihoda za unos u SAP'!$K$3:$K$500,"=683")</f>
        <v>0</v>
      </c>
      <c r="M66" s="105">
        <f>SUMIFS('Plan prihoda za unos u SAP'!$H$3:$H$500,'Plan prihoda za unos u SAP'!$C$3:$C$500,"=559",'Plan prihoda za unos u SAP'!$K$3:$K$500,"=683")</f>
        <v>0</v>
      </c>
      <c r="N66" s="105">
        <f>SUMIFS('Plan prihoda za unos u SAP'!$H$3:$H$500,'Plan prihoda za unos u SAP'!$C$3:$C$500,"=561",'Plan prihoda za unos u SAP'!$K$3:$K$500,"=683")</f>
        <v>0</v>
      </c>
      <c r="O66" s="105">
        <f>SUMIFS('Plan prihoda za unos u SAP'!$H$3:$H$500,'Plan prihoda za unos u SAP'!$C$3:$C$500,"=563",'Plan prihoda za unos u SAP'!$K$3:$K$500,"=683")</f>
        <v>0</v>
      </c>
      <c r="P66" s="105">
        <f>SUMIFS('Plan prihoda za unos u SAP'!$H$3:$H$500,'Plan prihoda za unos u SAP'!$C$3:$C$500,"=573",'Plan prihoda za unos u SAP'!$K$3:$K$500,"=683")</f>
        <v>0</v>
      </c>
      <c r="Q66" s="105">
        <f>SUMIFS('Plan prihoda za unos u SAP'!$H$3:$H$500,'Plan prihoda za unos u SAP'!$C$3:$C$500,"=575",'Plan prihoda za unos u SAP'!$K$3:$K$500,"=683")</f>
        <v>0</v>
      </c>
      <c r="R66" s="105">
        <f>SUMIFS('Plan prihoda za unos u SAP'!$H$3:$H$500,'Plan prihoda za unos u SAP'!$C$3:$C$500,"=576",'Plan prihoda za unos u SAP'!$K$3:$K$500,"=683")</f>
        <v>0</v>
      </c>
      <c r="S66" s="105">
        <f>SUMIFS('Plan prihoda za unos u SAP'!$H$3:$H$500,'Plan prihoda za unos u SAP'!$C$3:$C$500,"=581",'Plan prihoda za unos u SAP'!$K$3:$K$500,"=683")</f>
        <v>0</v>
      </c>
      <c r="T66" s="105">
        <f>SUMIFS('Plan prihoda za unos u SAP'!$H$3:$H$500,'Plan prihoda za unos u SAP'!$C$3:$C$500,"=61",'Plan prihoda za unos u SAP'!$K$3:$K$500,"=683")</f>
        <v>0</v>
      </c>
      <c r="U66" s="105">
        <f>SUMIFS('Plan prihoda za unos u SAP'!$H$3:$H$500,'Plan prihoda za unos u SAP'!$C$3:$C$500,"=63",'Plan prihoda za unos u SAP'!$K$3:$K$500,"=683")</f>
        <v>0</v>
      </c>
      <c r="V66" s="105">
        <f>SUMIFS('Plan prihoda za unos u SAP'!$H$3:$H$500,'Plan prihoda za unos u SAP'!$C$3:$C$500,"=71",'Plan prihoda za unos u SAP'!$K$3:$K$500,"=683")</f>
        <v>0</v>
      </c>
      <c r="W66" s="105">
        <f>SUMIFS('Plan prihoda za unos u SAP'!$H$3:$H$500,'Plan prihoda za unos u SAP'!$C$3:$C$500,"=81",'Plan prihoda za unos u SAP'!$K$3:$K$500,"=683")</f>
        <v>0</v>
      </c>
      <c r="X66" s="80"/>
      <c r="Y66" s="80"/>
      <c r="Z66" s="80"/>
      <c r="AA66" s="80"/>
      <c r="AB66" s="80"/>
      <c r="AC66" s="80"/>
    </row>
    <row r="67" spans="1:29" ht="12.75" customHeight="1">
      <c r="A67" s="80">
        <v>2022</v>
      </c>
      <c r="B67" s="106" t="s">
        <v>3397</v>
      </c>
      <c r="C67" s="107" t="s">
        <v>3398</v>
      </c>
      <c r="D67" s="90">
        <f t="shared" si="8"/>
        <v>192295040</v>
      </c>
      <c r="E67" s="108">
        <f t="shared" ref="E67:W67" si="13">SUM(E51:E66)</f>
        <v>139302798</v>
      </c>
      <c r="F67" s="108">
        <f t="shared" si="13"/>
        <v>0</v>
      </c>
      <c r="G67" s="108">
        <f t="shared" si="13"/>
        <v>15497220</v>
      </c>
      <c r="H67" s="108">
        <f t="shared" si="13"/>
        <v>0</v>
      </c>
      <c r="I67" s="108">
        <f t="shared" si="13"/>
        <v>24500000</v>
      </c>
      <c r="J67" s="108">
        <f t="shared" si="13"/>
        <v>636469</v>
      </c>
      <c r="K67" s="108">
        <f t="shared" si="13"/>
        <v>10645380</v>
      </c>
      <c r="L67" s="108">
        <f t="shared" si="13"/>
        <v>0</v>
      </c>
      <c r="M67" s="108">
        <f t="shared" si="13"/>
        <v>0</v>
      </c>
      <c r="N67" s="108">
        <f t="shared" si="13"/>
        <v>0</v>
      </c>
      <c r="O67" s="108">
        <f t="shared" si="13"/>
        <v>1033173</v>
      </c>
      <c r="P67" s="108">
        <f t="shared" si="13"/>
        <v>0</v>
      </c>
      <c r="Q67" s="108">
        <f t="shared" si="13"/>
        <v>0</v>
      </c>
      <c r="R67" s="108">
        <f t="shared" si="13"/>
        <v>0</v>
      </c>
      <c r="S67" s="108">
        <f t="shared" si="13"/>
        <v>0</v>
      </c>
      <c r="T67" s="108">
        <f t="shared" si="13"/>
        <v>680000</v>
      </c>
      <c r="U67" s="108">
        <f t="shared" si="13"/>
        <v>0</v>
      </c>
      <c r="V67" s="108">
        <f t="shared" si="13"/>
        <v>0</v>
      </c>
      <c r="W67" s="108">
        <f t="shared" si="13"/>
        <v>0</v>
      </c>
      <c r="X67" s="80"/>
      <c r="Y67" s="80"/>
      <c r="Z67" s="80"/>
      <c r="AA67" s="80"/>
      <c r="AB67" s="80"/>
      <c r="AC67" s="80"/>
    </row>
    <row r="68" spans="1:29" ht="12.75" customHeight="1">
      <c r="A68" s="80">
        <v>2022</v>
      </c>
      <c r="B68" s="88" t="s">
        <v>3399</v>
      </c>
      <c r="C68" s="109" t="s">
        <v>3400</v>
      </c>
      <c r="D68" s="90">
        <f t="shared" si="8"/>
        <v>0</v>
      </c>
      <c r="E68" s="105">
        <f>SUMIFS('Plan prihoda za unos u SAP'!$H$3:$H$500,'Plan prihoda za unos u SAP'!$C$3:$C$500,"=11",'Plan prihoda za unos u SAP'!$K$3:$K$500,"=711")</f>
        <v>0</v>
      </c>
      <c r="F68" s="105">
        <f>SUMIFS('Plan prihoda za unos u SAP'!$H$3:$H$500,'Plan prihoda za unos u SAP'!$C$3:$C$500,"=12",'Plan prihoda za unos u SAP'!$K$3:$K$500,"=711")</f>
        <v>0</v>
      </c>
      <c r="G68" s="105">
        <f>SUMIFS('Plan prihoda za unos u SAP'!$H$3:$H$500,'Plan prihoda za unos u SAP'!$C$3:$C$500,"=31",'Plan prihoda za unos u SAP'!$K$3:$K$500,"=711")</f>
        <v>0</v>
      </c>
      <c r="H68" s="105">
        <f>SUMIFS('Plan prihoda za unos u SAP'!$H$3:$H$500,'Plan prihoda za unos u SAP'!$C$3:$C$500,"=41",'Plan prihoda za unos u SAP'!$K$3:$K$500,"=711")</f>
        <v>0</v>
      </c>
      <c r="I68" s="105">
        <f>SUMIFS('Plan prihoda za unos u SAP'!$H$3:$H$500,'Plan prihoda za unos u SAP'!$C$3:$C$500,"=43",'Plan prihoda za unos u SAP'!$K$3:$K$500,"=711")</f>
        <v>0</v>
      </c>
      <c r="J68" s="105">
        <f>SUMIFS('Plan prihoda za unos u SAP'!$H$3:$H$500,'Plan prihoda za unos u SAP'!$C$3:$C$500,"=51",'Plan prihoda za unos u SAP'!$K$3:$K$500,"=711")</f>
        <v>0</v>
      </c>
      <c r="K68" s="105">
        <f>SUMIFS('Plan prihoda za unos u SAP'!$H$3:$H$500,'Plan prihoda za unos u SAP'!$C$3:$C$500,"=52",'Plan prihoda za unos u SAP'!$K$3:$K$500,"=711")</f>
        <v>0</v>
      </c>
      <c r="L68" s="105">
        <f>SUMIFS('Plan prihoda za unos u SAP'!$H$3:$H$500,'Plan prihoda za unos u SAP'!$C$3:$C$500,"=552",'Plan prihoda za unos u SAP'!$K$3:$K$500,"=711")</f>
        <v>0</v>
      </c>
      <c r="M68" s="105">
        <f>SUMIFS('Plan prihoda za unos u SAP'!$H$3:$H$500,'Plan prihoda za unos u SAP'!$C$3:$C$500,"=559",'Plan prihoda za unos u SAP'!$K$3:$K$500,"=711")</f>
        <v>0</v>
      </c>
      <c r="N68" s="105">
        <f>SUMIFS('Plan prihoda za unos u SAP'!$H$3:$H$500,'Plan prihoda za unos u SAP'!$C$3:$C$500,"=561",'Plan prihoda za unos u SAP'!$K$3:$K$500,"=711")</f>
        <v>0</v>
      </c>
      <c r="O68" s="105">
        <f>SUMIFS('Plan prihoda za unos u SAP'!$H$3:$H$500,'Plan prihoda za unos u SAP'!$C$3:$C$500,"=563",'Plan prihoda za unos u SAP'!$K$3:$K$500,"=711")</f>
        <v>0</v>
      </c>
      <c r="P68" s="105">
        <f>SUMIFS('Plan prihoda za unos u SAP'!$H$3:$H$500,'Plan prihoda za unos u SAP'!$C$3:$C$500,"=573",'Plan prihoda za unos u SAP'!$K$3:$K$500,"=711")</f>
        <v>0</v>
      </c>
      <c r="Q68" s="105">
        <f>SUMIFS('Plan prihoda za unos u SAP'!$H$3:$H$500,'Plan prihoda za unos u SAP'!$C$3:$C$500,"=575",'Plan prihoda za unos u SAP'!$K$3:$K$500,"=711")</f>
        <v>0</v>
      </c>
      <c r="R68" s="105">
        <f>SUMIFS('Plan prihoda za unos u SAP'!$H$3:$H$500,'Plan prihoda za unos u SAP'!$C$3:$C$500,"=576",'Plan prihoda za unos u SAP'!$K$3:$K$500,"=711")</f>
        <v>0</v>
      </c>
      <c r="S68" s="105">
        <f>SUMIFS('Plan prihoda za unos u SAP'!$H$3:$H$500,'Plan prihoda za unos u SAP'!$C$3:$C$500,"=581",'Plan prihoda za unos u SAP'!$K$3:$K$500,"=711")</f>
        <v>0</v>
      </c>
      <c r="T68" s="105">
        <f>SUMIFS('Plan prihoda za unos u SAP'!$H$3:$H$500,'Plan prihoda za unos u SAP'!$C$3:$C$500,"=61",'Plan prihoda za unos u SAP'!$K$3:$K$500,"=711")</f>
        <v>0</v>
      </c>
      <c r="U68" s="105">
        <f>SUMIFS('Plan prihoda za unos u SAP'!$H$3:$H$500,'Plan prihoda za unos u SAP'!$C$3:$C$500,"=63",'Plan prihoda za unos u SAP'!$K$3:$K$500,"=711")</f>
        <v>0</v>
      </c>
      <c r="V68" s="105">
        <f>SUMIFS('Plan prihoda za unos u SAP'!$H$3:$H$500,'Plan prihoda za unos u SAP'!$C$3:$C$500,"=71",'Plan prihoda za unos u SAP'!$K$3:$K$500,"=711")</f>
        <v>0</v>
      </c>
      <c r="W68" s="105">
        <f>SUMIFS('Plan prihoda za unos u SAP'!$H$3:$H$500,'Plan prihoda za unos u SAP'!$C$3:$C$500,"=81",'Plan prihoda za unos u SAP'!$K$3:$K$500,"=711")</f>
        <v>0</v>
      </c>
      <c r="X68" s="80"/>
      <c r="Y68" s="80"/>
      <c r="Z68" s="80"/>
      <c r="AA68" s="80"/>
      <c r="AB68" s="80"/>
      <c r="AC68" s="80"/>
    </row>
    <row r="69" spans="1:29" ht="12.75" customHeight="1">
      <c r="A69" s="80">
        <v>2022</v>
      </c>
      <c r="B69" s="88" t="s">
        <v>3401</v>
      </c>
      <c r="C69" s="109" t="s">
        <v>3402</v>
      </c>
      <c r="D69" s="90">
        <f t="shared" si="8"/>
        <v>0</v>
      </c>
      <c r="E69" s="105">
        <f>SUMIFS('Plan prihoda za unos u SAP'!$H$3:$H$500,'Plan prihoda za unos u SAP'!$C$3:$C$500,"=11",'Plan prihoda za unos u SAP'!$K$3:$K$500,"=712")</f>
        <v>0</v>
      </c>
      <c r="F69" s="105">
        <f>SUMIFS('Plan prihoda za unos u SAP'!$H$3:$H$500,'Plan prihoda za unos u SAP'!$C$3:$C$500,"=12",'Plan prihoda za unos u SAP'!$K$3:$K$500,"=712")</f>
        <v>0</v>
      </c>
      <c r="G69" s="105">
        <f>SUMIFS('Plan prihoda za unos u SAP'!$H$3:$H$500,'Plan prihoda za unos u SAP'!$C$3:$C$500,"=31",'Plan prihoda za unos u SAP'!$K$3:$K$500,"=712")</f>
        <v>0</v>
      </c>
      <c r="H69" s="105">
        <f>SUMIFS('Plan prihoda za unos u SAP'!$H$3:$H$500,'Plan prihoda za unos u SAP'!$C$3:$C$500,"=41",'Plan prihoda za unos u SAP'!$K$3:$K$500,"=712")</f>
        <v>0</v>
      </c>
      <c r="I69" s="105">
        <f>SUMIFS('Plan prihoda za unos u SAP'!$H$3:$H$500,'Plan prihoda za unos u SAP'!$C$3:$C$500,"=43",'Plan prihoda za unos u SAP'!$K$3:$K$500,"=712")</f>
        <v>0</v>
      </c>
      <c r="J69" s="105">
        <f>SUMIFS('Plan prihoda za unos u SAP'!$H$3:$H$500,'Plan prihoda za unos u SAP'!$C$3:$C$500,"=51",'Plan prihoda za unos u SAP'!$K$3:$K$500,"=712")</f>
        <v>0</v>
      </c>
      <c r="K69" s="105">
        <f>SUMIFS('Plan prihoda za unos u SAP'!$H$3:$H$500,'Plan prihoda za unos u SAP'!$C$3:$C$500,"=52",'Plan prihoda za unos u SAP'!$K$3:$K$500,"=712")</f>
        <v>0</v>
      </c>
      <c r="L69" s="105">
        <f>SUMIFS('Plan prihoda za unos u SAP'!$H$3:$H$500,'Plan prihoda za unos u SAP'!$C$3:$C$500,"=552",'Plan prihoda za unos u SAP'!$K$3:$K$500,"=712")</f>
        <v>0</v>
      </c>
      <c r="M69" s="105">
        <f>SUMIFS('Plan prihoda za unos u SAP'!$H$3:$H$500,'Plan prihoda za unos u SAP'!$C$3:$C$500,"=559",'Plan prihoda za unos u SAP'!$K$3:$K$500,"=712")</f>
        <v>0</v>
      </c>
      <c r="N69" s="105">
        <f>SUMIFS('Plan prihoda za unos u SAP'!$H$3:$H$500,'Plan prihoda za unos u SAP'!$C$3:$C$500,"=561",'Plan prihoda za unos u SAP'!$K$3:$K$500,"=712")</f>
        <v>0</v>
      </c>
      <c r="O69" s="105">
        <f>SUMIFS('Plan prihoda za unos u SAP'!$H$3:$H$500,'Plan prihoda za unos u SAP'!$C$3:$C$500,"=563",'Plan prihoda za unos u SAP'!$K$3:$K$500,"=712")</f>
        <v>0</v>
      </c>
      <c r="P69" s="105">
        <f>SUMIFS('Plan prihoda za unos u SAP'!$H$3:$H$500,'Plan prihoda za unos u SAP'!$C$3:$C$500,"=573",'Plan prihoda za unos u SAP'!$K$3:$K$500,"=712")</f>
        <v>0</v>
      </c>
      <c r="Q69" s="105">
        <f>SUMIFS('Plan prihoda za unos u SAP'!$H$3:$H$500,'Plan prihoda za unos u SAP'!$C$3:$C$500,"=575",'Plan prihoda za unos u SAP'!$K$3:$K$500,"=712")</f>
        <v>0</v>
      </c>
      <c r="R69" s="105">
        <f>SUMIFS('Plan prihoda za unos u SAP'!$H$3:$H$500,'Plan prihoda za unos u SAP'!$C$3:$C$500,"=576",'Plan prihoda za unos u SAP'!$K$3:$K$500,"=712")</f>
        <v>0</v>
      </c>
      <c r="S69" s="105">
        <f>SUMIFS('Plan prihoda za unos u SAP'!$H$3:$H$500,'Plan prihoda za unos u SAP'!$C$3:$C$500,"=581",'Plan prihoda za unos u SAP'!$K$3:$K$500,"=712")</f>
        <v>0</v>
      </c>
      <c r="T69" s="105">
        <f>SUMIFS('Plan prihoda za unos u SAP'!$H$3:$H$500,'Plan prihoda za unos u SAP'!$C$3:$C$500,"=61",'Plan prihoda za unos u SAP'!$K$3:$K$500,"=712")</f>
        <v>0</v>
      </c>
      <c r="U69" s="105">
        <f>SUMIFS('Plan prihoda za unos u SAP'!$H$3:$H$500,'Plan prihoda za unos u SAP'!$C$3:$C$500,"=63",'Plan prihoda za unos u SAP'!$K$3:$K$500,"=712")</f>
        <v>0</v>
      </c>
      <c r="V69" s="105">
        <f>SUMIFS('Plan prihoda za unos u SAP'!$H$3:$H$500,'Plan prihoda za unos u SAP'!$C$3:$C$500,"=71",'Plan prihoda za unos u SAP'!$K$3:$K$500,"=712")</f>
        <v>0</v>
      </c>
      <c r="W69" s="105">
        <f>SUMIFS('Plan prihoda za unos u SAP'!$H$3:$H$500,'Plan prihoda za unos u SAP'!$C$3:$C$500,"=81",'Plan prihoda za unos u SAP'!$K$3:$K$500,"=712")</f>
        <v>0</v>
      </c>
      <c r="X69" s="80"/>
      <c r="Y69" s="80"/>
      <c r="Z69" s="80"/>
      <c r="AA69" s="80"/>
      <c r="AB69" s="80"/>
      <c r="AC69" s="80"/>
    </row>
    <row r="70" spans="1:29" ht="12.75" customHeight="1">
      <c r="A70" s="80">
        <v>2022</v>
      </c>
      <c r="B70" s="88" t="s">
        <v>3403</v>
      </c>
      <c r="C70" s="109" t="s">
        <v>3404</v>
      </c>
      <c r="D70" s="90">
        <f t="shared" si="8"/>
        <v>0</v>
      </c>
      <c r="E70" s="105">
        <f>SUMIFS('Plan prihoda za unos u SAP'!$H$3:$H$500,'Plan prihoda za unos u SAP'!$C$3:$C$500,"=11",'Plan prihoda za unos u SAP'!$K$3:$K$500,"=721")</f>
        <v>0</v>
      </c>
      <c r="F70" s="105">
        <f>SUMIFS('Plan prihoda za unos u SAP'!$H$3:$H$500,'Plan prihoda za unos u SAP'!$C$3:$C$500,"=12",'Plan prihoda za unos u SAP'!$K$3:$K$500,"=721")</f>
        <v>0</v>
      </c>
      <c r="G70" s="105">
        <f>SUMIFS('Plan prihoda za unos u SAP'!$H$3:$H$500,'Plan prihoda za unos u SAP'!$C$3:$C$500,"=31",'Plan prihoda za unos u SAP'!$K$3:$K$500,"=721")</f>
        <v>0</v>
      </c>
      <c r="H70" s="105">
        <f>SUMIFS('Plan prihoda za unos u SAP'!$H$3:$H$500,'Plan prihoda za unos u SAP'!$C$3:$C$500,"=41",'Plan prihoda za unos u SAP'!$K$3:$K$500,"=721")</f>
        <v>0</v>
      </c>
      <c r="I70" s="105">
        <f>SUMIFS('Plan prihoda za unos u SAP'!$H$3:$H$500,'Plan prihoda za unos u SAP'!$C$3:$C$500,"=43",'Plan prihoda za unos u SAP'!$K$3:$K$500,"=721")</f>
        <v>0</v>
      </c>
      <c r="J70" s="105">
        <f>SUMIFS('Plan prihoda za unos u SAP'!$H$3:$H$500,'Plan prihoda za unos u SAP'!$C$3:$C$500,"=51",'Plan prihoda za unos u SAP'!$K$3:$K$500,"=721")</f>
        <v>0</v>
      </c>
      <c r="K70" s="105">
        <f>SUMIFS('Plan prihoda za unos u SAP'!$H$3:$H$500,'Plan prihoda za unos u SAP'!$C$3:$C$500,"=52",'Plan prihoda za unos u SAP'!$K$3:$K$500,"=721")</f>
        <v>0</v>
      </c>
      <c r="L70" s="105">
        <f>SUMIFS('Plan prihoda za unos u SAP'!$H$3:$H$500,'Plan prihoda za unos u SAP'!$C$3:$C$500,"=552",'Plan prihoda za unos u SAP'!$K$3:$K$500,"=721")</f>
        <v>0</v>
      </c>
      <c r="M70" s="105">
        <f>SUMIFS('Plan prihoda za unos u SAP'!$H$3:$H$500,'Plan prihoda za unos u SAP'!$C$3:$C$500,"=559",'Plan prihoda za unos u SAP'!$K$3:$K$500,"=721")</f>
        <v>0</v>
      </c>
      <c r="N70" s="105">
        <f>SUMIFS('Plan prihoda za unos u SAP'!$H$3:$H$500,'Plan prihoda za unos u SAP'!$C$3:$C$500,"=561",'Plan prihoda za unos u SAP'!$K$3:$K$500,"=721")</f>
        <v>0</v>
      </c>
      <c r="O70" s="105">
        <f>SUMIFS('Plan prihoda za unos u SAP'!$H$3:$H$500,'Plan prihoda za unos u SAP'!$C$3:$C$500,"=563",'Plan prihoda za unos u SAP'!$K$3:$K$500,"=721")</f>
        <v>0</v>
      </c>
      <c r="P70" s="105">
        <f>SUMIFS('Plan prihoda za unos u SAP'!$H$3:$H$500,'Plan prihoda za unos u SAP'!$C$3:$C$500,"=573",'Plan prihoda za unos u SAP'!$K$3:$K$500,"=721")</f>
        <v>0</v>
      </c>
      <c r="Q70" s="105">
        <f>SUMIFS('Plan prihoda za unos u SAP'!$H$3:$H$500,'Plan prihoda za unos u SAP'!$C$3:$C$500,"=575",'Plan prihoda za unos u SAP'!$K$3:$K$500,"=721")</f>
        <v>0</v>
      </c>
      <c r="R70" s="105">
        <f>SUMIFS('Plan prihoda za unos u SAP'!$H$3:$H$500,'Plan prihoda za unos u SAP'!$C$3:$C$500,"=576",'Plan prihoda za unos u SAP'!$K$3:$K$500,"=721")</f>
        <v>0</v>
      </c>
      <c r="S70" s="105">
        <f>SUMIFS('Plan prihoda za unos u SAP'!$H$3:$H$500,'Plan prihoda za unos u SAP'!$C$3:$C$500,"=581",'Plan prihoda za unos u SAP'!$K$3:$K$500,"=721")</f>
        <v>0</v>
      </c>
      <c r="T70" s="105">
        <f>SUMIFS('Plan prihoda za unos u SAP'!$H$3:$H$500,'Plan prihoda za unos u SAP'!$C$3:$C$500,"=61",'Plan prihoda za unos u SAP'!$K$3:$K$500,"=721")</f>
        <v>0</v>
      </c>
      <c r="U70" s="105">
        <f>SUMIFS('Plan prihoda za unos u SAP'!$H$3:$H$500,'Plan prihoda za unos u SAP'!$C$3:$C$500,"=63",'Plan prihoda za unos u SAP'!$K$3:$K$500,"=721")</f>
        <v>0</v>
      </c>
      <c r="V70" s="105">
        <f>SUMIFS('Plan prihoda za unos u SAP'!$H$3:$H$500,'Plan prihoda za unos u SAP'!$C$3:$C$500,"=71",'Plan prihoda za unos u SAP'!$K$3:$K$500,"=721")</f>
        <v>0</v>
      </c>
      <c r="W70" s="105">
        <f>SUMIFS('Plan prihoda za unos u SAP'!$H$3:$H$500,'Plan prihoda za unos u SAP'!$C$3:$C$500,"=81",'Plan prihoda za unos u SAP'!$K$3:$K$500,"=721")</f>
        <v>0</v>
      </c>
      <c r="X70" s="80"/>
      <c r="Y70" s="80"/>
      <c r="Z70" s="80"/>
      <c r="AA70" s="80"/>
      <c r="AB70" s="80"/>
      <c r="AC70" s="80"/>
    </row>
    <row r="71" spans="1:29" ht="12.75" customHeight="1">
      <c r="A71" s="80">
        <v>2022</v>
      </c>
      <c r="B71" s="88" t="s">
        <v>3405</v>
      </c>
      <c r="C71" s="109" t="s">
        <v>3406</v>
      </c>
      <c r="D71" s="90">
        <f t="shared" si="8"/>
        <v>0</v>
      </c>
      <c r="E71" s="105">
        <f>SUMIFS('Plan prihoda za unos u SAP'!$H$3:$H$500,'Plan prihoda za unos u SAP'!$C$3:$C$500,"=11",'Plan prihoda za unos u SAP'!$K$3:$K$500,"=722")</f>
        <v>0</v>
      </c>
      <c r="F71" s="105">
        <f>SUMIFS('Plan prihoda za unos u SAP'!$H$3:$H$500,'Plan prihoda za unos u SAP'!$C$3:$C$500,"=12",'Plan prihoda za unos u SAP'!$K$3:$K$500,"=722")</f>
        <v>0</v>
      </c>
      <c r="G71" s="105">
        <f>SUMIFS('Plan prihoda za unos u SAP'!$H$3:$H$500,'Plan prihoda za unos u SAP'!$C$3:$C$500,"=31",'Plan prihoda za unos u SAP'!$K$3:$K$500,"=722")</f>
        <v>0</v>
      </c>
      <c r="H71" s="105">
        <f>SUMIFS('Plan prihoda za unos u SAP'!$H$3:$H$500,'Plan prihoda za unos u SAP'!$C$3:$C$500,"=41",'Plan prihoda za unos u SAP'!$K$3:$K$500,"=722")</f>
        <v>0</v>
      </c>
      <c r="I71" s="105">
        <f>SUMIFS('Plan prihoda za unos u SAP'!$H$3:$H$500,'Plan prihoda za unos u SAP'!$C$3:$C$500,"=43",'Plan prihoda za unos u SAP'!$K$3:$K$500,"=722")</f>
        <v>0</v>
      </c>
      <c r="J71" s="105">
        <f>SUMIFS('Plan prihoda za unos u SAP'!$H$3:$H$500,'Plan prihoda za unos u SAP'!$C$3:$C$500,"=51",'Plan prihoda za unos u SAP'!$K$3:$K$500,"=722")</f>
        <v>0</v>
      </c>
      <c r="K71" s="105">
        <f>SUMIFS('Plan prihoda za unos u SAP'!$H$3:$H$500,'Plan prihoda za unos u SAP'!$C$3:$C$500,"=52",'Plan prihoda za unos u SAP'!$K$3:$K$500,"=722")</f>
        <v>0</v>
      </c>
      <c r="L71" s="105">
        <f>SUMIFS('Plan prihoda za unos u SAP'!$H$3:$H$500,'Plan prihoda za unos u SAP'!$C$3:$C$500,"=552",'Plan prihoda za unos u SAP'!$K$3:$K$500,"=722")</f>
        <v>0</v>
      </c>
      <c r="M71" s="105">
        <f>SUMIFS('Plan prihoda za unos u SAP'!$H$3:$H$500,'Plan prihoda za unos u SAP'!$C$3:$C$500,"=559",'Plan prihoda za unos u SAP'!$K$3:$K$500,"=722")</f>
        <v>0</v>
      </c>
      <c r="N71" s="105">
        <f>SUMIFS('Plan prihoda za unos u SAP'!$H$3:$H$500,'Plan prihoda za unos u SAP'!$C$3:$C$500,"=561",'Plan prihoda za unos u SAP'!$K$3:$K$500,"=722")</f>
        <v>0</v>
      </c>
      <c r="O71" s="105">
        <f>SUMIFS('Plan prihoda za unos u SAP'!$H$3:$H$500,'Plan prihoda za unos u SAP'!$C$3:$C$500,"=563",'Plan prihoda za unos u SAP'!$K$3:$K$500,"=722")</f>
        <v>0</v>
      </c>
      <c r="P71" s="105">
        <f>SUMIFS('Plan prihoda za unos u SAP'!$H$3:$H$500,'Plan prihoda za unos u SAP'!$C$3:$C$500,"=573",'Plan prihoda za unos u SAP'!$K$3:$K$500,"=722")</f>
        <v>0</v>
      </c>
      <c r="Q71" s="105">
        <f>SUMIFS('Plan prihoda za unos u SAP'!$H$3:$H$500,'Plan prihoda za unos u SAP'!$C$3:$C$500,"=575",'Plan prihoda za unos u SAP'!$K$3:$K$500,"=722")</f>
        <v>0</v>
      </c>
      <c r="R71" s="105">
        <f>SUMIFS('Plan prihoda za unos u SAP'!$H$3:$H$500,'Plan prihoda za unos u SAP'!$C$3:$C$500,"=576",'Plan prihoda za unos u SAP'!$K$3:$K$500,"=722")</f>
        <v>0</v>
      </c>
      <c r="S71" s="105">
        <f>SUMIFS('Plan prihoda za unos u SAP'!$H$3:$H$500,'Plan prihoda za unos u SAP'!$C$3:$C$500,"=581",'Plan prihoda za unos u SAP'!$K$3:$K$500,"=722")</f>
        <v>0</v>
      </c>
      <c r="T71" s="105">
        <f>SUMIFS('Plan prihoda za unos u SAP'!$H$3:$H$500,'Plan prihoda za unos u SAP'!$C$3:$C$500,"=61",'Plan prihoda za unos u SAP'!$K$3:$K$500,"=722")</f>
        <v>0</v>
      </c>
      <c r="U71" s="105">
        <f>SUMIFS('Plan prihoda za unos u SAP'!$H$3:$H$500,'Plan prihoda za unos u SAP'!$C$3:$C$500,"=63",'Plan prihoda za unos u SAP'!$K$3:$K$500,"=722")</f>
        <v>0</v>
      </c>
      <c r="V71" s="105">
        <f>SUMIFS('Plan prihoda za unos u SAP'!$H$3:$H$500,'Plan prihoda za unos u SAP'!$C$3:$C$500,"=71",'Plan prihoda za unos u SAP'!$K$3:$K$500,"=722")</f>
        <v>0</v>
      </c>
      <c r="W71" s="105">
        <f>SUMIFS('Plan prihoda za unos u SAP'!$H$3:$H$500,'Plan prihoda za unos u SAP'!$C$3:$C$500,"=81",'Plan prihoda za unos u SAP'!$K$3:$K$500,"=722")</f>
        <v>0</v>
      </c>
      <c r="X71" s="80"/>
      <c r="Y71" s="80"/>
      <c r="Z71" s="80"/>
      <c r="AA71" s="80"/>
      <c r="AB71" s="80"/>
      <c r="AC71" s="80"/>
    </row>
    <row r="72" spans="1:29" ht="12.75" customHeight="1">
      <c r="A72" s="80">
        <v>2022</v>
      </c>
      <c r="B72" s="88" t="s">
        <v>3407</v>
      </c>
      <c r="C72" s="109" t="s">
        <v>3408</v>
      </c>
      <c r="D72" s="90">
        <f t="shared" si="8"/>
        <v>0</v>
      </c>
      <c r="E72" s="105">
        <f>SUMIFS('Plan prihoda za unos u SAP'!$H$3:$H$500,'Plan prihoda za unos u SAP'!$C$3:$C$500,"=11",'Plan prihoda za unos u SAP'!$K$3:$K$500,"=723")</f>
        <v>0</v>
      </c>
      <c r="F72" s="105">
        <f>SUMIFS('Plan prihoda za unos u SAP'!$H$3:$H$500,'Plan prihoda za unos u SAP'!$C$3:$C$500,"=12",'Plan prihoda za unos u SAP'!$K$3:$K$500,"=723")</f>
        <v>0</v>
      </c>
      <c r="G72" s="105">
        <f>SUMIFS('Plan prihoda za unos u SAP'!$H$3:$H$500,'Plan prihoda za unos u SAP'!$C$3:$C$500,"=31",'Plan prihoda za unos u SAP'!$K$3:$K$500,"=723")</f>
        <v>0</v>
      </c>
      <c r="H72" s="105">
        <f>SUMIFS('Plan prihoda za unos u SAP'!$H$3:$H$500,'Plan prihoda za unos u SAP'!$C$3:$C$500,"=41",'Plan prihoda za unos u SAP'!$K$3:$K$500,"=723")</f>
        <v>0</v>
      </c>
      <c r="I72" s="105">
        <f>SUMIFS('Plan prihoda za unos u SAP'!$H$3:$H$500,'Plan prihoda za unos u SAP'!$C$3:$C$500,"=43",'Plan prihoda za unos u SAP'!$K$3:$K$500,"=723")</f>
        <v>0</v>
      </c>
      <c r="J72" s="105">
        <f>SUMIFS('Plan prihoda za unos u SAP'!$H$3:$H$500,'Plan prihoda za unos u SAP'!$C$3:$C$500,"=51",'Plan prihoda za unos u SAP'!$K$3:$K$500,"=723")</f>
        <v>0</v>
      </c>
      <c r="K72" s="105">
        <f>SUMIFS('Plan prihoda za unos u SAP'!$H$3:$H$500,'Plan prihoda za unos u SAP'!$C$3:$C$500,"=52",'Plan prihoda za unos u SAP'!$K$3:$K$500,"=723")</f>
        <v>0</v>
      </c>
      <c r="L72" s="105">
        <f>SUMIFS('Plan prihoda za unos u SAP'!$H$3:$H$500,'Plan prihoda za unos u SAP'!$C$3:$C$500,"=552",'Plan prihoda za unos u SAP'!$K$3:$K$500,"=723")</f>
        <v>0</v>
      </c>
      <c r="M72" s="105">
        <f>SUMIFS('Plan prihoda za unos u SAP'!$H$3:$H$500,'Plan prihoda za unos u SAP'!$C$3:$C$500,"=559",'Plan prihoda za unos u SAP'!$K$3:$K$500,"=723")</f>
        <v>0</v>
      </c>
      <c r="N72" s="105">
        <f>SUMIFS('Plan prihoda za unos u SAP'!$H$3:$H$500,'Plan prihoda za unos u SAP'!$C$3:$C$500,"=561",'Plan prihoda za unos u SAP'!$K$3:$K$500,"=723")</f>
        <v>0</v>
      </c>
      <c r="O72" s="105">
        <f>SUMIFS('Plan prihoda za unos u SAP'!$H$3:$H$500,'Plan prihoda za unos u SAP'!$C$3:$C$500,"=563",'Plan prihoda za unos u SAP'!$K$3:$K$500,"=723")</f>
        <v>0</v>
      </c>
      <c r="P72" s="105">
        <f>SUMIFS('Plan prihoda za unos u SAP'!$H$3:$H$500,'Plan prihoda za unos u SAP'!$C$3:$C$500,"=573",'Plan prihoda za unos u SAP'!$K$3:$K$500,"=723")</f>
        <v>0</v>
      </c>
      <c r="Q72" s="105">
        <f>SUMIFS('Plan prihoda za unos u SAP'!$H$3:$H$500,'Plan prihoda za unos u SAP'!$C$3:$C$500,"=575",'Plan prihoda za unos u SAP'!$K$3:$K$500,"=723")</f>
        <v>0</v>
      </c>
      <c r="R72" s="105">
        <f>SUMIFS('Plan prihoda za unos u SAP'!$H$3:$H$500,'Plan prihoda za unos u SAP'!$C$3:$C$500,"=576",'Plan prihoda za unos u SAP'!$K$3:$K$500,"=723")</f>
        <v>0</v>
      </c>
      <c r="S72" s="105">
        <f>SUMIFS('Plan prihoda za unos u SAP'!$H$3:$H$500,'Plan prihoda za unos u SAP'!$C$3:$C$500,"=581",'Plan prihoda za unos u SAP'!$K$3:$K$500,"=723")</f>
        <v>0</v>
      </c>
      <c r="T72" s="105">
        <f>SUMIFS('Plan prihoda za unos u SAP'!$H$3:$H$500,'Plan prihoda za unos u SAP'!$C$3:$C$500,"=61",'Plan prihoda za unos u SAP'!$K$3:$K$500,"=723")</f>
        <v>0</v>
      </c>
      <c r="U72" s="105">
        <f>SUMIFS('Plan prihoda za unos u SAP'!$H$3:$H$500,'Plan prihoda za unos u SAP'!$C$3:$C$500,"=63",'Plan prihoda za unos u SAP'!$K$3:$K$500,"=723")</f>
        <v>0</v>
      </c>
      <c r="V72" s="105">
        <f>SUMIFS('Plan prihoda za unos u SAP'!$H$3:$H$500,'Plan prihoda za unos u SAP'!$C$3:$C$500,"=71",'Plan prihoda za unos u SAP'!$K$3:$K$500,"=723")</f>
        <v>0</v>
      </c>
      <c r="W72" s="105">
        <f>SUMIFS('Plan prihoda za unos u SAP'!$H$3:$H$500,'Plan prihoda za unos u SAP'!$C$3:$C$500,"=81",'Plan prihoda za unos u SAP'!$K$3:$K$500,"=723")</f>
        <v>0</v>
      </c>
      <c r="X72" s="80"/>
      <c r="Y72" s="80"/>
      <c r="Z72" s="80"/>
      <c r="AA72" s="80"/>
      <c r="AB72" s="80"/>
      <c r="AC72" s="80"/>
    </row>
    <row r="73" spans="1:29" ht="12.75" customHeight="1">
      <c r="A73" s="80">
        <v>2022</v>
      </c>
      <c r="B73" s="88" t="s">
        <v>3409</v>
      </c>
      <c r="C73" s="109" t="s">
        <v>3410</v>
      </c>
      <c r="D73" s="90">
        <f t="shared" si="8"/>
        <v>0</v>
      </c>
      <c r="E73" s="105">
        <f>SUMIFS('Plan prihoda za unos u SAP'!$H$3:$H$500,'Plan prihoda za unos u SAP'!$C$3:$C$500,"=11",'Plan prihoda za unos u SAP'!$K$3:$K$500,"=725")</f>
        <v>0</v>
      </c>
      <c r="F73" s="105">
        <f>SUMIFS('Plan prihoda za unos u SAP'!$H$3:$H$500,'Plan prihoda za unos u SAP'!$C$3:$C$500,"=12",'Plan prihoda za unos u SAP'!$K$3:$K$500,"=725")</f>
        <v>0</v>
      </c>
      <c r="G73" s="105">
        <f>SUMIFS('Plan prihoda za unos u SAP'!$H$3:$H$500,'Plan prihoda za unos u SAP'!$C$3:$C$500,"=31",'Plan prihoda za unos u SAP'!$K$3:$K$500,"=725")</f>
        <v>0</v>
      </c>
      <c r="H73" s="105">
        <f>SUMIFS('Plan prihoda za unos u SAP'!$H$3:$H$500,'Plan prihoda za unos u SAP'!$C$3:$C$500,"=41",'Plan prihoda za unos u SAP'!$K$3:$K$500,"=725")</f>
        <v>0</v>
      </c>
      <c r="I73" s="105">
        <f>SUMIFS('Plan prihoda za unos u SAP'!$H$3:$H$500,'Plan prihoda za unos u SAP'!$C$3:$C$500,"=43",'Plan prihoda za unos u SAP'!$K$3:$K$500,"=725")</f>
        <v>0</v>
      </c>
      <c r="J73" s="105">
        <f>SUMIFS('Plan prihoda za unos u SAP'!$H$3:$H$500,'Plan prihoda za unos u SAP'!$C$3:$C$500,"=51",'Plan prihoda za unos u SAP'!$K$3:$K$500,"=725")</f>
        <v>0</v>
      </c>
      <c r="K73" s="105">
        <f>SUMIFS('Plan prihoda za unos u SAP'!$H$3:$H$500,'Plan prihoda za unos u SAP'!$C$3:$C$500,"=52",'Plan prihoda za unos u SAP'!$K$3:$K$500,"=725")</f>
        <v>0</v>
      </c>
      <c r="L73" s="105">
        <f>SUMIFS('Plan prihoda za unos u SAP'!$H$3:$H$500,'Plan prihoda za unos u SAP'!$C$3:$C$500,"=552",'Plan prihoda za unos u SAP'!$K$3:$K$500,"=725")</f>
        <v>0</v>
      </c>
      <c r="M73" s="105">
        <f>SUMIFS('Plan prihoda za unos u SAP'!$H$3:$H$500,'Plan prihoda za unos u SAP'!$C$3:$C$500,"=559",'Plan prihoda za unos u SAP'!$K$3:$K$500,"=725")</f>
        <v>0</v>
      </c>
      <c r="N73" s="105">
        <f>SUMIFS('Plan prihoda za unos u SAP'!$H$3:$H$500,'Plan prihoda za unos u SAP'!$C$3:$C$500,"=561",'Plan prihoda za unos u SAP'!$K$3:$K$500,"=725")</f>
        <v>0</v>
      </c>
      <c r="O73" s="105">
        <f>SUMIFS('Plan prihoda za unos u SAP'!$H$3:$H$500,'Plan prihoda za unos u SAP'!$C$3:$C$500,"=563",'Plan prihoda za unos u SAP'!$K$3:$K$500,"=725")</f>
        <v>0</v>
      </c>
      <c r="P73" s="105">
        <f>SUMIFS('Plan prihoda za unos u SAP'!$H$3:$H$500,'Plan prihoda za unos u SAP'!$C$3:$C$500,"=573",'Plan prihoda za unos u SAP'!$K$3:$K$500,"=725")</f>
        <v>0</v>
      </c>
      <c r="Q73" s="105">
        <f>SUMIFS('Plan prihoda za unos u SAP'!$H$3:$H$500,'Plan prihoda za unos u SAP'!$C$3:$C$500,"=575",'Plan prihoda za unos u SAP'!$K$3:$K$500,"=725")</f>
        <v>0</v>
      </c>
      <c r="R73" s="105">
        <f>SUMIFS('Plan prihoda za unos u SAP'!$H$3:$H$500,'Plan prihoda za unos u SAP'!$C$3:$C$500,"=576",'Plan prihoda za unos u SAP'!$K$3:$K$500,"=725")</f>
        <v>0</v>
      </c>
      <c r="S73" s="105">
        <f>SUMIFS('Plan prihoda za unos u SAP'!$H$3:$H$500,'Plan prihoda za unos u SAP'!$C$3:$C$500,"=581",'Plan prihoda za unos u SAP'!$K$3:$K$500,"=725")</f>
        <v>0</v>
      </c>
      <c r="T73" s="105">
        <f>SUMIFS('Plan prihoda za unos u SAP'!$H$3:$H$500,'Plan prihoda za unos u SAP'!$C$3:$C$500,"=61",'Plan prihoda za unos u SAP'!$K$3:$K$500,"=725")</f>
        <v>0</v>
      </c>
      <c r="U73" s="105">
        <f>SUMIFS('Plan prihoda za unos u SAP'!$H$3:$H$500,'Plan prihoda za unos u SAP'!$C$3:$C$500,"=63",'Plan prihoda za unos u SAP'!$K$3:$K$500,"=725")</f>
        <v>0</v>
      </c>
      <c r="V73" s="105">
        <f>SUMIFS('Plan prihoda za unos u SAP'!$H$3:$H$500,'Plan prihoda za unos u SAP'!$C$3:$C$500,"=71",'Plan prihoda za unos u SAP'!$K$3:$K$500,"=725")</f>
        <v>0</v>
      </c>
      <c r="W73" s="105">
        <f>SUMIFS('Plan prihoda za unos u SAP'!$H$3:$H$500,'Plan prihoda za unos u SAP'!$C$3:$C$500,"=81",'Plan prihoda za unos u SAP'!$K$3:$K$500,"=725")</f>
        <v>0</v>
      </c>
      <c r="X73" s="80"/>
      <c r="Y73" s="80"/>
      <c r="Z73" s="80"/>
      <c r="AA73" s="80"/>
      <c r="AB73" s="80"/>
      <c r="AC73" s="80"/>
    </row>
    <row r="74" spans="1:29" ht="12.75" customHeight="1">
      <c r="A74" s="80">
        <v>2022</v>
      </c>
      <c r="B74" s="106" t="s">
        <v>3411</v>
      </c>
      <c r="C74" s="107" t="s">
        <v>3398</v>
      </c>
      <c r="D74" s="90">
        <f t="shared" si="8"/>
        <v>0</v>
      </c>
      <c r="E74" s="108">
        <f t="shared" ref="E74:W74" si="14">SUM(E68:E73)</f>
        <v>0</v>
      </c>
      <c r="F74" s="108">
        <f t="shared" si="14"/>
        <v>0</v>
      </c>
      <c r="G74" s="108">
        <f t="shared" si="14"/>
        <v>0</v>
      </c>
      <c r="H74" s="108">
        <f t="shared" si="14"/>
        <v>0</v>
      </c>
      <c r="I74" s="108">
        <f t="shared" si="14"/>
        <v>0</v>
      </c>
      <c r="J74" s="108">
        <f t="shared" si="14"/>
        <v>0</v>
      </c>
      <c r="K74" s="108">
        <f t="shared" si="14"/>
        <v>0</v>
      </c>
      <c r="L74" s="108">
        <f t="shared" si="14"/>
        <v>0</v>
      </c>
      <c r="M74" s="108">
        <f t="shared" si="14"/>
        <v>0</v>
      </c>
      <c r="N74" s="108">
        <f t="shared" si="14"/>
        <v>0</v>
      </c>
      <c r="O74" s="108">
        <f t="shared" si="14"/>
        <v>0</v>
      </c>
      <c r="P74" s="108">
        <f t="shared" si="14"/>
        <v>0</v>
      </c>
      <c r="Q74" s="108">
        <f t="shared" si="14"/>
        <v>0</v>
      </c>
      <c r="R74" s="108">
        <f t="shared" si="14"/>
        <v>0</v>
      </c>
      <c r="S74" s="108">
        <f t="shared" si="14"/>
        <v>0</v>
      </c>
      <c r="T74" s="108">
        <f t="shared" si="14"/>
        <v>0</v>
      </c>
      <c r="U74" s="108">
        <f t="shared" si="14"/>
        <v>0</v>
      </c>
      <c r="V74" s="108">
        <f t="shared" si="14"/>
        <v>0</v>
      </c>
      <c r="W74" s="108">
        <f t="shared" si="14"/>
        <v>0</v>
      </c>
      <c r="X74" s="80"/>
      <c r="Y74" s="80"/>
      <c r="Z74" s="80"/>
      <c r="AA74" s="80"/>
      <c r="AB74" s="80"/>
      <c r="AC74" s="80"/>
    </row>
    <row r="75" spans="1:29" ht="12.75" customHeight="1">
      <c r="A75" s="80">
        <v>2022</v>
      </c>
      <c r="B75" s="110">
        <v>818</v>
      </c>
      <c r="C75" s="89" t="s">
        <v>3412</v>
      </c>
      <c r="D75" s="90">
        <f t="shared" si="8"/>
        <v>0</v>
      </c>
      <c r="E75" s="105">
        <f>SUMIFS('Plan prihoda za unos u SAP'!$H$3:$H$500,'Plan prihoda za unos u SAP'!$C$3:$C$500,"=11",'Plan prihoda za unos u SAP'!$K$3:$K$500,"=818")</f>
        <v>0</v>
      </c>
      <c r="F75" s="105">
        <f>SUMIFS('Plan prihoda za unos u SAP'!$H$3:$H$500,'Plan prihoda za unos u SAP'!$C$3:$C$500,"=12",'Plan prihoda za unos u SAP'!$K$3:$K$500,"=818")</f>
        <v>0</v>
      </c>
      <c r="G75" s="105">
        <f>SUMIFS('Plan prihoda za unos u SAP'!$H$3:$H$500,'Plan prihoda za unos u SAP'!$C$3:$C$500,"=31",'Plan prihoda za unos u SAP'!$K$3:$K$500,"=818")</f>
        <v>0</v>
      </c>
      <c r="H75" s="105">
        <f>SUMIFS('Plan prihoda za unos u SAP'!$H$3:$H$500,'Plan prihoda za unos u SAP'!$C$3:$C$500,"=41",'Plan prihoda za unos u SAP'!$K$3:$K$500,"=818")</f>
        <v>0</v>
      </c>
      <c r="I75" s="105">
        <f>SUMIFS('Plan prihoda za unos u SAP'!$H$3:$H$500,'Plan prihoda za unos u SAP'!$C$3:$C$500,"=43",'Plan prihoda za unos u SAP'!$K$3:$K$500,"=818")</f>
        <v>0</v>
      </c>
      <c r="J75" s="105">
        <f>SUMIFS('Plan prihoda za unos u SAP'!$H$3:$H$500,'Plan prihoda za unos u SAP'!$C$3:$C$500,"=51",'Plan prihoda za unos u SAP'!$K$3:$K$500,"=818")</f>
        <v>0</v>
      </c>
      <c r="K75" s="105">
        <f>SUMIFS('Plan prihoda za unos u SAP'!$H$3:$H$500,'Plan prihoda za unos u SAP'!$C$3:$C$500,"=52",'Plan prihoda za unos u SAP'!$K$3:$K$500,"=818")</f>
        <v>0</v>
      </c>
      <c r="L75" s="105">
        <f>SUMIFS('Plan prihoda za unos u SAP'!$H$3:$H$500,'Plan prihoda za unos u SAP'!$C$3:$C$500,"=552",'Plan prihoda za unos u SAP'!$K$3:$K$500,"=818")</f>
        <v>0</v>
      </c>
      <c r="M75" s="105">
        <f>SUMIFS('Plan prihoda za unos u SAP'!$H$3:$H$500,'Plan prihoda za unos u SAP'!$C$3:$C$500,"=559",'Plan prihoda za unos u SAP'!$K$3:$K$500,"=818")</f>
        <v>0</v>
      </c>
      <c r="N75" s="105">
        <f>SUMIFS('Plan prihoda za unos u SAP'!$H$3:$H$500,'Plan prihoda za unos u SAP'!$C$3:$C$500,"=561",'Plan prihoda za unos u SAP'!$K$3:$K$500,"=818")</f>
        <v>0</v>
      </c>
      <c r="O75" s="105">
        <f>SUMIFS('Plan prihoda za unos u SAP'!$H$3:$H$500,'Plan prihoda za unos u SAP'!$C$3:$C$500,"=563",'Plan prihoda za unos u SAP'!$K$3:$K$500,"=818")</f>
        <v>0</v>
      </c>
      <c r="P75" s="105">
        <f>SUMIFS('Plan prihoda za unos u SAP'!$H$3:$H$500,'Plan prihoda za unos u SAP'!$C$3:$C$500,"=573",'Plan prihoda za unos u SAP'!$K$3:$K$500,"=818")</f>
        <v>0</v>
      </c>
      <c r="Q75" s="105">
        <f>SUMIFS('Plan prihoda za unos u SAP'!$H$3:$H$500,'Plan prihoda za unos u SAP'!$C$3:$C$500,"=575",'Plan prihoda za unos u SAP'!$K$3:$K$500,"=818")</f>
        <v>0</v>
      </c>
      <c r="R75" s="105">
        <f>SUMIFS('Plan prihoda za unos u SAP'!$H$3:$H$500,'Plan prihoda za unos u SAP'!$C$3:$C$500,"=576",'Plan prihoda za unos u SAP'!$K$3:$K$500,"=818")</f>
        <v>0</v>
      </c>
      <c r="S75" s="105">
        <f>SUMIFS('Plan prihoda za unos u SAP'!$H$3:$H$500,'Plan prihoda za unos u SAP'!$C$3:$C$500,"=581",'Plan prihoda za unos u SAP'!$K$3:$K$500,"=818")</f>
        <v>0</v>
      </c>
      <c r="T75" s="105">
        <f>SUMIFS('Plan prihoda za unos u SAP'!$H$3:$H$500,'Plan prihoda za unos u SAP'!$C$3:$C$500,"=61",'Plan prihoda za unos u SAP'!$K$3:$K$500,"=818")</f>
        <v>0</v>
      </c>
      <c r="U75" s="105">
        <f>SUMIFS('Plan prihoda za unos u SAP'!$H$3:$H$500,'Plan prihoda za unos u SAP'!$C$3:$C$500,"=63",'Plan prihoda za unos u SAP'!$K$3:$K$500,"=818")</f>
        <v>0</v>
      </c>
      <c r="V75" s="105">
        <f>SUMIFS('Plan prihoda za unos u SAP'!$H$3:$H$500,'Plan prihoda za unos u SAP'!$C$3:$C$500,"=71",'Plan prihoda za unos u SAP'!$K$3:$K$500,"=818")</f>
        <v>0</v>
      </c>
      <c r="W75" s="105">
        <f>SUMIFS('Plan prihoda za unos u SAP'!$H$3:$H$500,'Plan prihoda za unos u SAP'!$C$3:$C$500,"=81",'Plan prihoda za unos u SAP'!$K$3:$K$500,"=818")</f>
        <v>0</v>
      </c>
      <c r="X75" s="80"/>
      <c r="Y75" s="80"/>
      <c r="Z75" s="80"/>
      <c r="AA75" s="80"/>
      <c r="AB75" s="80"/>
      <c r="AC75" s="80"/>
    </row>
    <row r="76" spans="1:29" ht="12.75" customHeight="1">
      <c r="A76" s="80">
        <v>2022</v>
      </c>
      <c r="B76" s="110">
        <v>832</v>
      </c>
      <c r="C76" s="89" t="s">
        <v>3413</v>
      </c>
      <c r="D76" s="90">
        <f t="shared" si="8"/>
        <v>0</v>
      </c>
      <c r="E76" s="105">
        <f>SUMIFS('Plan prihoda za unos u SAP'!$H$3:$H$500,'Plan prihoda za unos u SAP'!$C$3:$C$500,"=11",'Plan prihoda za unos u SAP'!$K$3:$K$500,"=832")</f>
        <v>0</v>
      </c>
      <c r="F76" s="105">
        <f>SUMIFS('Plan prihoda za unos u SAP'!$H$3:$H$500,'Plan prihoda za unos u SAP'!$C$3:$C$500,"=12",'Plan prihoda za unos u SAP'!$K$3:$K$500,"=832")</f>
        <v>0</v>
      </c>
      <c r="G76" s="105">
        <f>SUMIFS('Plan prihoda za unos u SAP'!$H$3:$H$500,'Plan prihoda za unos u SAP'!$C$3:$C$500,"=31",'Plan prihoda za unos u SAP'!$K$3:$K$500,"=832")</f>
        <v>0</v>
      </c>
      <c r="H76" s="105">
        <f>SUMIFS('Plan prihoda za unos u SAP'!$H$3:$H$500,'Plan prihoda za unos u SAP'!$C$3:$C$500,"=41",'Plan prihoda za unos u SAP'!$K$3:$K$500,"=832")</f>
        <v>0</v>
      </c>
      <c r="I76" s="105">
        <f>SUMIFS('Plan prihoda za unos u SAP'!$H$3:$H$500,'Plan prihoda za unos u SAP'!$C$3:$C$500,"=43",'Plan prihoda za unos u SAP'!$K$3:$K$500,"=832")</f>
        <v>0</v>
      </c>
      <c r="J76" s="105">
        <f>SUMIFS('Plan prihoda za unos u SAP'!$H$3:$H$500,'Plan prihoda za unos u SAP'!$C$3:$C$500,"=51",'Plan prihoda za unos u SAP'!$K$3:$K$500,"=832")</f>
        <v>0</v>
      </c>
      <c r="K76" s="105">
        <f>SUMIFS('Plan prihoda za unos u SAP'!$H$3:$H$500,'Plan prihoda za unos u SAP'!$C$3:$C$500,"=52",'Plan prihoda za unos u SAP'!$K$3:$K$500,"=832")</f>
        <v>0</v>
      </c>
      <c r="L76" s="105">
        <f>SUMIFS('Plan prihoda za unos u SAP'!$H$3:$H$500,'Plan prihoda za unos u SAP'!$C$3:$C$500,"=552",'Plan prihoda za unos u SAP'!$K$3:$K$500,"=832")</f>
        <v>0</v>
      </c>
      <c r="M76" s="105">
        <f>SUMIFS('Plan prihoda za unos u SAP'!$H$3:$H$500,'Plan prihoda za unos u SAP'!$C$3:$C$500,"=559",'Plan prihoda za unos u SAP'!$K$3:$K$500,"=832")</f>
        <v>0</v>
      </c>
      <c r="N76" s="105">
        <f>SUMIFS('Plan prihoda za unos u SAP'!$H$3:$H$500,'Plan prihoda za unos u SAP'!$C$3:$C$500,"=561",'Plan prihoda za unos u SAP'!$K$3:$K$500,"=832")</f>
        <v>0</v>
      </c>
      <c r="O76" s="105">
        <f>SUMIFS('Plan prihoda za unos u SAP'!$H$3:$H$500,'Plan prihoda za unos u SAP'!$C$3:$C$500,"=563",'Plan prihoda za unos u SAP'!$K$3:$K$500,"=832")</f>
        <v>0</v>
      </c>
      <c r="P76" s="105">
        <f>SUMIFS('Plan prihoda za unos u SAP'!$H$3:$H$500,'Plan prihoda za unos u SAP'!$C$3:$C$500,"=573",'Plan prihoda za unos u SAP'!$K$3:$K$500,"=832")</f>
        <v>0</v>
      </c>
      <c r="Q76" s="105">
        <f>SUMIFS('Plan prihoda za unos u SAP'!$H$3:$H$500,'Plan prihoda za unos u SAP'!$C$3:$C$500,"=575",'Plan prihoda za unos u SAP'!$K$3:$K$500,"=832")</f>
        <v>0</v>
      </c>
      <c r="R76" s="105">
        <f>SUMIFS('Plan prihoda za unos u SAP'!$H$3:$H$500,'Plan prihoda za unos u SAP'!$C$3:$C$500,"=576",'Plan prihoda za unos u SAP'!$K$3:$K$500,"=832")</f>
        <v>0</v>
      </c>
      <c r="S76" s="105">
        <f>SUMIFS('Plan prihoda za unos u SAP'!$H$3:$H$500,'Plan prihoda za unos u SAP'!$C$3:$C$500,"=581",'Plan prihoda za unos u SAP'!$K$3:$K$500,"=832")</f>
        <v>0</v>
      </c>
      <c r="T76" s="105">
        <f>SUMIFS('Plan prihoda za unos u SAP'!$H$3:$H$500,'Plan prihoda za unos u SAP'!$C$3:$C$500,"=61",'Plan prihoda za unos u SAP'!$K$3:$K$500,"=832")</f>
        <v>0</v>
      </c>
      <c r="U76" s="105">
        <f>SUMIFS('Plan prihoda za unos u SAP'!$H$3:$H$500,'Plan prihoda za unos u SAP'!$C$3:$C$500,"=63",'Plan prihoda za unos u SAP'!$K$3:$K$500,"=832")</f>
        <v>0</v>
      </c>
      <c r="V76" s="105">
        <f>SUMIFS('Plan prihoda za unos u SAP'!$H$3:$H$500,'Plan prihoda za unos u SAP'!$C$3:$C$500,"=71",'Plan prihoda za unos u SAP'!$K$3:$K$500,"=832")</f>
        <v>0</v>
      </c>
      <c r="W76" s="105">
        <f>SUMIFS('Plan prihoda za unos u SAP'!$H$3:$H$500,'Plan prihoda za unos u SAP'!$C$3:$C$500,"=81",'Plan prihoda za unos u SAP'!$K$3:$K$500,"=832")</f>
        <v>0</v>
      </c>
      <c r="X76" s="80"/>
      <c r="Y76" s="80"/>
      <c r="Z76" s="80"/>
      <c r="AA76" s="80"/>
      <c r="AB76" s="80"/>
      <c r="AC76" s="80"/>
    </row>
    <row r="77" spans="1:29" ht="12.75" customHeight="1">
      <c r="A77" s="80">
        <v>2022</v>
      </c>
      <c r="B77" s="110">
        <v>833</v>
      </c>
      <c r="C77" s="89" t="s">
        <v>3414</v>
      </c>
      <c r="D77" s="90">
        <f t="shared" si="8"/>
        <v>0</v>
      </c>
      <c r="E77" s="105">
        <f>SUMIFS('Plan prihoda za unos u SAP'!$H$3:$H$500,'Plan prihoda za unos u SAP'!$C$3:$C$500,"=11",'Plan prihoda za unos u SAP'!$K$3:$K$500,"=833")</f>
        <v>0</v>
      </c>
      <c r="F77" s="105">
        <f>SUMIFS('Plan prihoda za unos u SAP'!$H$3:$H$500,'Plan prihoda za unos u SAP'!$C$3:$C$500,"=12",'Plan prihoda za unos u SAP'!$K$3:$K$500,"=833")</f>
        <v>0</v>
      </c>
      <c r="G77" s="105">
        <f>SUMIFS('Plan prihoda za unos u SAP'!$H$3:$H$500,'Plan prihoda za unos u SAP'!$C$3:$C$500,"=31",'Plan prihoda za unos u SAP'!$K$3:$K$500,"=833")</f>
        <v>0</v>
      </c>
      <c r="H77" s="105">
        <f>SUMIFS('Plan prihoda za unos u SAP'!$H$3:$H$500,'Plan prihoda za unos u SAP'!$C$3:$C$500,"=41",'Plan prihoda za unos u SAP'!$K$3:$K$500,"=833")</f>
        <v>0</v>
      </c>
      <c r="I77" s="105">
        <f>SUMIFS('Plan prihoda za unos u SAP'!$H$3:$H$500,'Plan prihoda za unos u SAP'!$C$3:$C$500,"=43",'Plan prihoda za unos u SAP'!$K$3:$K$500,"=833")</f>
        <v>0</v>
      </c>
      <c r="J77" s="105">
        <f>SUMIFS('Plan prihoda za unos u SAP'!$H$3:$H$500,'Plan prihoda za unos u SAP'!$C$3:$C$500,"=51",'Plan prihoda za unos u SAP'!$K$3:$K$500,"=833")</f>
        <v>0</v>
      </c>
      <c r="K77" s="105">
        <f>SUMIFS('Plan prihoda za unos u SAP'!$H$3:$H$500,'Plan prihoda za unos u SAP'!$C$3:$C$500,"=52",'Plan prihoda za unos u SAP'!$K$3:$K$500,"=833")</f>
        <v>0</v>
      </c>
      <c r="L77" s="105">
        <f>SUMIFS('Plan prihoda za unos u SAP'!$H$3:$H$500,'Plan prihoda za unos u SAP'!$C$3:$C$500,"=552",'Plan prihoda za unos u SAP'!$K$3:$K$500,"=833")</f>
        <v>0</v>
      </c>
      <c r="M77" s="105">
        <f>SUMIFS('Plan prihoda za unos u SAP'!$H$3:$H$500,'Plan prihoda za unos u SAP'!$C$3:$C$500,"=559",'Plan prihoda za unos u SAP'!$K$3:$K$500,"=833")</f>
        <v>0</v>
      </c>
      <c r="N77" s="105">
        <f>SUMIFS('Plan prihoda za unos u SAP'!$H$3:$H$500,'Plan prihoda za unos u SAP'!$C$3:$C$500,"=561",'Plan prihoda za unos u SAP'!$K$3:$K$500,"=833")</f>
        <v>0</v>
      </c>
      <c r="O77" s="105">
        <f>SUMIFS('Plan prihoda za unos u SAP'!$H$3:$H$500,'Plan prihoda za unos u SAP'!$C$3:$C$500,"=563",'Plan prihoda za unos u SAP'!$K$3:$K$500,"=833")</f>
        <v>0</v>
      </c>
      <c r="P77" s="105">
        <f>SUMIFS('Plan prihoda za unos u SAP'!$H$3:$H$500,'Plan prihoda za unos u SAP'!$C$3:$C$500,"=573",'Plan prihoda za unos u SAP'!$K$3:$K$500,"=833")</f>
        <v>0</v>
      </c>
      <c r="Q77" s="105">
        <f>SUMIFS('Plan prihoda za unos u SAP'!$H$3:$H$500,'Plan prihoda za unos u SAP'!$C$3:$C$500,"=575",'Plan prihoda za unos u SAP'!$K$3:$K$500,"=833")</f>
        <v>0</v>
      </c>
      <c r="R77" s="105">
        <f>SUMIFS('Plan prihoda za unos u SAP'!$H$3:$H$500,'Plan prihoda za unos u SAP'!$C$3:$C$500,"=576",'Plan prihoda za unos u SAP'!$K$3:$K$500,"=833")</f>
        <v>0</v>
      </c>
      <c r="S77" s="105">
        <f>SUMIFS('Plan prihoda za unos u SAP'!$H$3:$H$500,'Plan prihoda za unos u SAP'!$C$3:$C$500,"=581",'Plan prihoda za unos u SAP'!$K$3:$K$500,"=833")</f>
        <v>0</v>
      </c>
      <c r="T77" s="105">
        <f>SUMIFS('Plan prihoda za unos u SAP'!$H$3:$H$500,'Plan prihoda za unos u SAP'!$C$3:$C$500,"=61",'Plan prihoda za unos u SAP'!$K$3:$K$500,"=833")</f>
        <v>0</v>
      </c>
      <c r="U77" s="105">
        <f>SUMIFS('Plan prihoda za unos u SAP'!$H$3:$H$500,'Plan prihoda za unos u SAP'!$C$3:$C$500,"=63",'Plan prihoda za unos u SAP'!$K$3:$K$500,"=833")</f>
        <v>0</v>
      </c>
      <c r="V77" s="105">
        <f>SUMIFS('Plan prihoda za unos u SAP'!$H$3:$H$500,'Plan prihoda za unos u SAP'!$C$3:$C$500,"=71",'Plan prihoda za unos u SAP'!$K$3:$K$500,"=833")</f>
        <v>0</v>
      </c>
      <c r="W77" s="105">
        <f>SUMIFS('Plan prihoda za unos u SAP'!$H$3:$H$500,'Plan prihoda za unos u SAP'!$C$3:$C$500,"=81",'Plan prihoda za unos u SAP'!$K$3:$K$500,"=833")</f>
        <v>0</v>
      </c>
      <c r="X77" s="80"/>
      <c r="Y77" s="80"/>
      <c r="Z77" s="80"/>
      <c r="AA77" s="80"/>
      <c r="AB77" s="80"/>
      <c r="AC77" s="80"/>
    </row>
    <row r="78" spans="1:29" ht="12.75" customHeight="1">
      <c r="A78" s="80">
        <v>2022</v>
      </c>
      <c r="B78" s="110">
        <v>841</v>
      </c>
      <c r="C78" s="89" t="s">
        <v>3415</v>
      </c>
      <c r="D78" s="90">
        <f t="shared" si="8"/>
        <v>0</v>
      </c>
      <c r="E78" s="105">
        <f>SUMIFS('Plan prihoda za unos u SAP'!$H$3:$H$500,'Plan prihoda za unos u SAP'!$C$3:$C$500,"=11",'Plan prihoda za unos u SAP'!$K$3:$K$500,"=841")</f>
        <v>0</v>
      </c>
      <c r="F78" s="105">
        <f>SUMIFS('Plan prihoda za unos u SAP'!$H$3:$H$500,'Plan prihoda za unos u SAP'!$C$3:$C$500,"=12",'Plan prihoda za unos u SAP'!$K$3:$K$500,"=841")</f>
        <v>0</v>
      </c>
      <c r="G78" s="105">
        <f>SUMIFS('Plan prihoda za unos u SAP'!$H$3:$H$500,'Plan prihoda za unos u SAP'!$C$3:$C$500,"=31",'Plan prihoda za unos u SAP'!$K$3:$K$500,"=841")</f>
        <v>0</v>
      </c>
      <c r="H78" s="105">
        <f>SUMIFS('Plan prihoda za unos u SAP'!$H$3:$H$500,'Plan prihoda za unos u SAP'!$C$3:$C$500,"=41",'Plan prihoda za unos u SAP'!$K$3:$K$500,"=841")</f>
        <v>0</v>
      </c>
      <c r="I78" s="105">
        <f>SUMIFS('Plan prihoda za unos u SAP'!$H$3:$H$500,'Plan prihoda za unos u SAP'!$C$3:$C$500,"=43",'Plan prihoda za unos u SAP'!$K$3:$K$500,"=841")</f>
        <v>0</v>
      </c>
      <c r="J78" s="105">
        <f>SUMIFS('Plan prihoda za unos u SAP'!$H$3:$H$500,'Plan prihoda za unos u SAP'!$C$3:$C$500,"=51",'Plan prihoda za unos u SAP'!$K$3:$K$500,"=841")</f>
        <v>0</v>
      </c>
      <c r="K78" s="105">
        <f>SUMIFS('Plan prihoda za unos u SAP'!$H$3:$H$500,'Plan prihoda za unos u SAP'!$C$3:$C$500,"=52",'Plan prihoda za unos u SAP'!$K$3:$K$500,"=841")</f>
        <v>0</v>
      </c>
      <c r="L78" s="105">
        <f>SUMIFS('Plan prihoda za unos u SAP'!$H$3:$H$500,'Plan prihoda za unos u SAP'!$C$3:$C$500,"=552",'Plan prihoda za unos u SAP'!$K$3:$K$500,"=841")</f>
        <v>0</v>
      </c>
      <c r="M78" s="105">
        <f>SUMIFS('Plan prihoda za unos u SAP'!$H$3:$H$500,'Plan prihoda za unos u SAP'!$C$3:$C$500,"=559",'Plan prihoda za unos u SAP'!$K$3:$K$500,"=841")</f>
        <v>0</v>
      </c>
      <c r="N78" s="105">
        <f>SUMIFS('Plan prihoda za unos u SAP'!$H$3:$H$500,'Plan prihoda za unos u SAP'!$C$3:$C$500,"=561",'Plan prihoda za unos u SAP'!$K$3:$K$500,"=841")</f>
        <v>0</v>
      </c>
      <c r="O78" s="105">
        <f>SUMIFS('Plan prihoda za unos u SAP'!$H$3:$H$500,'Plan prihoda za unos u SAP'!$C$3:$C$500,"=563",'Plan prihoda za unos u SAP'!$K$3:$K$500,"=841")</f>
        <v>0</v>
      </c>
      <c r="P78" s="105">
        <f>SUMIFS('Plan prihoda za unos u SAP'!$H$3:$H$500,'Plan prihoda za unos u SAP'!$C$3:$C$500,"=573",'Plan prihoda za unos u SAP'!$K$3:$K$500,"=841")</f>
        <v>0</v>
      </c>
      <c r="Q78" s="105">
        <f>SUMIFS('Plan prihoda za unos u SAP'!$H$3:$H$500,'Plan prihoda za unos u SAP'!$C$3:$C$500,"=575",'Plan prihoda za unos u SAP'!$K$3:$K$500,"=841")</f>
        <v>0</v>
      </c>
      <c r="R78" s="105">
        <f>SUMIFS('Plan prihoda za unos u SAP'!$H$3:$H$500,'Plan prihoda za unos u SAP'!$C$3:$C$500,"=576",'Plan prihoda za unos u SAP'!$K$3:$K$500,"=841")</f>
        <v>0</v>
      </c>
      <c r="S78" s="105">
        <f>SUMIFS('Plan prihoda za unos u SAP'!$H$3:$H$500,'Plan prihoda za unos u SAP'!$C$3:$C$500,"=581",'Plan prihoda za unos u SAP'!$K$3:$K$500,"=841")</f>
        <v>0</v>
      </c>
      <c r="T78" s="105">
        <f>SUMIFS('Plan prihoda za unos u SAP'!$H$3:$H$500,'Plan prihoda za unos u SAP'!$C$3:$C$500,"=61",'Plan prihoda za unos u SAP'!$K$3:$K$500,"=841")</f>
        <v>0</v>
      </c>
      <c r="U78" s="105">
        <f>SUMIFS('Plan prihoda za unos u SAP'!$H$3:$H$500,'Plan prihoda za unos u SAP'!$C$3:$C$500,"=63",'Plan prihoda za unos u SAP'!$K$3:$K$500,"=841")</f>
        <v>0</v>
      </c>
      <c r="V78" s="105">
        <f>SUMIFS('Plan prihoda za unos u SAP'!$H$3:$H$500,'Plan prihoda za unos u SAP'!$C$3:$C$500,"=71",'Plan prihoda za unos u SAP'!$K$3:$K$500,"=841")</f>
        <v>0</v>
      </c>
      <c r="W78" s="105">
        <f>SUMIFS('Plan prihoda za unos u SAP'!$H$3:$H$500,'Plan prihoda za unos u SAP'!$C$3:$C$500,"=81",'Plan prihoda za unos u SAP'!$K$3:$K$500,"=841")</f>
        <v>0</v>
      </c>
      <c r="X78" s="80"/>
      <c r="Y78" s="80"/>
      <c r="Z78" s="80"/>
      <c r="AA78" s="80"/>
      <c r="AB78" s="80"/>
      <c r="AC78" s="80"/>
    </row>
    <row r="79" spans="1:29" ht="12.75" customHeight="1">
      <c r="A79" s="80">
        <v>2022</v>
      </c>
      <c r="B79" s="110">
        <v>842</v>
      </c>
      <c r="C79" s="89" t="s">
        <v>3416</v>
      </c>
      <c r="D79" s="90">
        <f t="shared" si="8"/>
        <v>0</v>
      </c>
      <c r="E79" s="91">
        <f>SUMIFS('Plan prihoda za unos u SAP'!$H$3:$H$500,'Plan prihoda za unos u SAP'!$C$3:$C$500,"=11",'Plan prihoda za unos u SAP'!$K$3:$K$500,"=842")</f>
        <v>0</v>
      </c>
      <c r="F79" s="91">
        <f>SUMIFS('Plan prihoda za unos u SAP'!$H$3:$H$500,'Plan prihoda za unos u SAP'!$C$3:$C$500,"=12",'Plan prihoda za unos u SAP'!$K$3:$K$500,"=842")</f>
        <v>0</v>
      </c>
      <c r="G79" s="91">
        <f>SUMIFS('Plan prihoda za unos u SAP'!$H$3:$H$500,'Plan prihoda za unos u SAP'!$C$3:$C$500,"=31",'Plan prihoda za unos u SAP'!$K$3:$K$500,"=842")</f>
        <v>0</v>
      </c>
      <c r="H79" s="91">
        <f>SUMIFS('Plan prihoda za unos u SAP'!$H$3:$H$500,'Plan prihoda za unos u SAP'!$C$3:$C$500,"=41",'Plan prihoda za unos u SAP'!$K$3:$K$500,"=842")</f>
        <v>0</v>
      </c>
      <c r="I79" s="91">
        <f>SUMIFS('Plan prihoda za unos u SAP'!$H$3:$H$500,'Plan prihoda za unos u SAP'!$C$3:$C$500,"=43",'Plan prihoda za unos u SAP'!$K$3:$K$500,"=842")</f>
        <v>0</v>
      </c>
      <c r="J79" s="91">
        <f>SUMIFS('Plan prihoda za unos u SAP'!$H$3:$H$500,'Plan prihoda za unos u SAP'!$C$3:$C$500,"=51",'Plan prihoda za unos u SAP'!$K$3:$K$500,"=842")</f>
        <v>0</v>
      </c>
      <c r="K79" s="91">
        <f>SUMIFS('Plan prihoda za unos u SAP'!$H$3:$H$500,'Plan prihoda za unos u SAP'!$C$3:$C$500,"=52",'Plan prihoda za unos u SAP'!$K$3:$K$500,"=842")</f>
        <v>0</v>
      </c>
      <c r="L79" s="91">
        <f>SUMIFS('Plan prihoda za unos u SAP'!$H$3:$H$500,'Plan prihoda za unos u SAP'!$C$3:$C$500,"=552",'Plan prihoda za unos u SAP'!$K$3:$K$500,"=842")</f>
        <v>0</v>
      </c>
      <c r="M79" s="91">
        <f>SUMIFS('Plan prihoda za unos u SAP'!$H$3:$H$500,'Plan prihoda za unos u SAP'!$C$3:$C$500,"=559",'Plan prihoda za unos u SAP'!$K$3:$K$500,"=842")</f>
        <v>0</v>
      </c>
      <c r="N79" s="91">
        <f>SUMIFS('Plan prihoda za unos u SAP'!$H$3:$H$500,'Plan prihoda za unos u SAP'!$C$3:$C$500,"=561",'Plan prihoda za unos u SAP'!$K$3:$K$500,"=842")</f>
        <v>0</v>
      </c>
      <c r="O79" s="91">
        <f>SUMIFS('Plan prihoda za unos u SAP'!$H$3:$H$500,'Plan prihoda za unos u SAP'!$C$3:$C$500,"=563",'Plan prihoda za unos u SAP'!$K$3:$K$500,"=842")</f>
        <v>0</v>
      </c>
      <c r="P79" s="91">
        <f>SUMIFS('Plan prihoda za unos u SAP'!$H$3:$H$500,'Plan prihoda za unos u SAP'!$C$3:$C$500,"=573",'Plan prihoda za unos u SAP'!$K$3:$K$500,"=842")</f>
        <v>0</v>
      </c>
      <c r="Q79" s="91">
        <f>SUMIFS('Plan prihoda za unos u SAP'!$H$3:$H$500,'Plan prihoda za unos u SAP'!$C$3:$C$500,"=575",'Plan prihoda za unos u SAP'!$K$3:$K$500,"=842")</f>
        <v>0</v>
      </c>
      <c r="R79" s="91">
        <f>SUMIFS('Plan prihoda za unos u SAP'!$H$3:$H$500,'Plan prihoda za unos u SAP'!$C$3:$C$500,"=576",'Plan prihoda za unos u SAP'!$K$3:$K$500,"=842")</f>
        <v>0</v>
      </c>
      <c r="S79" s="91">
        <f>SUMIFS('Plan prihoda za unos u SAP'!$H$3:$H$500,'Plan prihoda za unos u SAP'!$C$3:$C$500,"=581",'Plan prihoda za unos u SAP'!$K$3:$K$500,"=842")</f>
        <v>0</v>
      </c>
      <c r="T79" s="91">
        <f>SUMIFS('Plan prihoda za unos u SAP'!$H$3:$H$500,'Plan prihoda za unos u SAP'!$C$3:$C$500,"=61",'Plan prihoda za unos u SAP'!$K$3:$K$500,"=842")</f>
        <v>0</v>
      </c>
      <c r="U79" s="91">
        <f>SUMIFS('Plan prihoda za unos u SAP'!$H$3:$H$500,'Plan prihoda za unos u SAP'!$C$3:$C$500,"=63",'Plan prihoda za unos u SAP'!$K$3:$K$500,"=842")</f>
        <v>0</v>
      </c>
      <c r="V79" s="91">
        <f>SUMIFS('Plan prihoda za unos u SAP'!$H$3:$H$500,'Plan prihoda za unos u SAP'!$C$3:$C$500,"=71",'Plan prihoda za unos u SAP'!$K$3:$K$500,"=842")</f>
        <v>0</v>
      </c>
      <c r="W79" s="91">
        <f>SUMIFS('Plan prihoda za unos u SAP'!$H$3:$H$500,'Plan prihoda za unos u SAP'!$C$3:$C$500,"=81",'Plan prihoda za unos u SAP'!$K$3:$K$500,"=842")</f>
        <v>0</v>
      </c>
      <c r="X79" s="80"/>
      <c r="Y79" s="80"/>
      <c r="Z79" s="80"/>
      <c r="AA79" s="80"/>
      <c r="AB79" s="80"/>
      <c r="AC79" s="80"/>
    </row>
    <row r="80" spans="1:29" ht="12.75" customHeight="1">
      <c r="A80" s="80">
        <v>2022</v>
      </c>
      <c r="B80" s="106" t="s">
        <v>3417</v>
      </c>
      <c r="C80" s="107" t="s">
        <v>3398</v>
      </c>
      <c r="D80" s="90">
        <f t="shared" si="8"/>
        <v>0</v>
      </c>
      <c r="E80" s="108">
        <f t="shared" ref="E80:W80" si="15">SUM(E75:E79)</f>
        <v>0</v>
      </c>
      <c r="F80" s="108">
        <f t="shared" si="15"/>
        <v>0</v>
      </c>
      <c r="G80" s="108">
        <f t="shared" si="15"/>
        <v>0</v>
      </c>
      <c r="H80" s="108">
        <f t="shared" si="15"/>
        <v>0</v>
      </c>
      <c r="I80" s="108">
        <f t="shared" si="15"/>
        <v>0</v>
      </c>
      <c r="J80" s="108">
        <f t="shared" si="15"/>
        <v>0</v>
      </c>
      <c r="K80" s="108">
        <f t="shared" si="15"/>
        <v>0</v>
      </c>
      <c r="L80" s="108">
        <f t="shared" si="15"/>
        <v>0</v>
      </c>
      <c r="M80" s="108">
        <f t="shared" si="15"/>
        <v>0</v>
      </c>
      <c r="N80" s="108">
        <f t="shared" si="15"/>
        <v>0</v>
      </c>
      <c r="O80" s="108">
        <f t="shared" si="15"/>
        <v>0</v>
      </c>
      <c r="P80" s="108">
        <f t="shared" si="15"/>
        <v>0</v>
      </c>
      <c r="Q80" s="108">
        <f t="shared" si="15"/>
        <v>0</v>
      </c>
      <c r="R80" s="108">
        <f t="shared" si="15"/>
        <v>0</v>
      </c>
      <c r="S80" s="108">
        <f t="shared" si="15"/>
        <v>0</v>
      </c>
      <c r="T80" s="108">
        <f t="shared" si="15"/>
        <v>0</v>
      </c>
      <c r="U80" s="108">
        <f t="shared" si="15"/>
        <v>0</v>
      </c>
      <c r="V80" s="108">
        <f t="shared" si="15"/>
        <v>0</v>
      </c>
      <c r="W80" s="108">
        <f t="shared" si="15"/>
        <v>0</v>
      </c>
      <c r="X80" s="80"/>
      <c r="Y80" s="80"/>
      <c r="Z80" s="80"/>
      <c r="AA80" s="80"/>
      <c r="AB80" s="80"/>
      <c r="AC80" s="80"/>
    </row>
    <row r="81" spans="1:29" ht="12.75" customHeight="1">
      <c r="A81" s="80">
        <v>2022</v>
      </c>
      <c r="B81" s="85" t="s">
        <v>3418</v>
      </c>
      <c r="C81" s="85"/>
      <c r="D81" s="111">
        <f t="shared" si="8"/>
        <v>192295040</v>
      </c>
      <c r="E81" s="111">
        <f t="shared" ref="E81:W81" si="16">+E80+E74+E67</f>
        <v>139302798</v>
      </c>
      <c r="F81" s="111">
        <f t="shared" si="16"/>
        <v>0</v>
      </c>
      <c r="G81" s="111">
        <f t="shared" si="16"/>
        <v>15497220</v>
      </c>
      <c r="H81" s="111">
        <f t="shared" si="16"/>
        <v>0</v>
      </c>
      <c r="I81" s="111">
        <f t="shared" si="16"/>
        <v>24500000</v>
      </c>
      <c r="J81" s="111">
        <f t="shared" si="16"/>
        <v>636469</v>
      </c>
      <c r="K81" s="111">
        <f t="shared" si="16"/>
        <v>10645380</v>
      </c>
      <c r="L81" s="111">
        <f t="shared" si="16"/>
        <v>0</v>
      </c>
      <c r="M81" s="111">
        <f t="shared" si="16"/>
        <v>0</v>
      </c>
      <c r="N81" s="111">
        <f t="shared" si="16"/>
        <v>0</v>
      </c>
      <c r="O81" s="111">
        <f t="shared" si="16"/>
        <v>1033173</v>
      </c>
      <c r="P81" s="111">
        <f t="shared" si="16"/>
        <v>0</v>
      </c>
      <c r="Q81" s="111">
        <f t="shared" si="16"/>
        <v>0</v>
      </c>
      <c r="R81" s="111">
        <f t="shared" si="16"/>
        <v>0</v>
      </c>
      <c r="S81" s="111">
        <f t="shared" si="16"/>
        <v>0</v>
      </c>
      <c r="T81" s="111">
        <f t="shared" si="16"/>
        <v>680000</v>
      </c>
      <c r="U81" s="111">
        <f t="shared" si="16"/>
        <v>0</v>
      </c>
      <c r="V81" s="111">
        <f t="shared" si="16"/>
        <v>0</v>
      </c>
      <c r="W81" s="111">
        <f t="shared" si="16"/>
        <v>0</v>
      </c>
      <c r="X81" s="80"/>
      <c r="Y81" s="80"/>
      <c r="Z81" s="80"/>
      <c r="AA81" s="80"/>
      <c r="AB81" s="80"/>
      <c r="AC81" s="80"/>
    </row>
    <row r="82" spans="1:29" ht="12.75" customHeight="1">
      <c r="A82" s="79"/>
      <c r="B82" s="112"/>
      <c r="C82" s="112"/>
      <c r="D82" s="112"/>
      <c r="E82" s="112"/>
      <c r="F82" s="112"/>
      <c r="G82" s="112"/>
      <c r="H82" s="112"/>
      <c r="I82" s="113"/>
      <c r="J82" s="114"/>
      <c r="K82" s="114"/>
      <c r="L82" s="114"/>
      <c r="M82" s="114"/>
      <c r="N82" s="114"/>
      <c r="O82" s="114"/>
      <c r="P82" s="114"/>
      <c r="Q82" s="114"/>
      <c r="R82" s="114"/>
      <c r="S82" s="82"/>
      <c r="T82" s="79"/>
      <c r="U82" s="79"/>
      <c r="V82" s="79"/>
      <c r="W82" s="82"/>
      <c r="X82" s="79"/>
      <c r="Y82" s="79"/>
      <c r="Z82" s="79"/>
      <c r="AA82" s="79"/>
      <c r="AB82" s="79"/>
      <c r="AC82" s="79"/>
    </row>
    <row r="83" spans="1:29" ht="12.75" customHeight="1">
      <c r="A83" s="80"/>
      <c r="B83" s="247" t="s">
        <v>3336</v>
      </c>
      <c r="C83" s="248"/>
      <c r="D83" s="249" t="s">
        <v>3421</v>
      </c>
      <c r="E83" s="250"/>
      <c r="F83" s="250"/>
      <c r="G83" s="250"/>
      <c r="H83" s="250"/>
      <c r="I83" s="250"/>
      <c r="J83" s="250"/>
      <c r="K83" s="250"/>
      <c r="L83" s="250"/>
      <c r="M83" s="250"/>
      <c r="N83" s="250"/>
      <c r="O83" s="250"/>
      <c r="P83" s="250"/>
      <c r="Q83" s="250"/>
      <c r="R83" s="250"/>
      <c r="S83" s="250"/>
      <c r="T83" s="250"/>
      <c r="U83" s="248"/>
      <c r="V83" s="83"/>
      <c r="W83" s="80"/>
      <c r="X83" s="80"/>
      <c r="Y83" s="80"/>
      <c r="Z83" s="80"/>
      <c r="AA83" s="80"/>
      <c r="AB83" s="80"/>
      <c r="AC83" s="80"/>
    </row>
    <row r="84" spans="1:29" ht="12.75" customHeight="1">
      <c r="A84" s="84" t="s">
        <v>3338</v>
      </c>
      <c r="B84" s="84" t="s">
        <v>3339</v>
      </c>
      <c r="C84" s="84" t="s">
        <v>3340</v>
      </c>
      <c r="D84" s="85" t="s">
        <v>3341</v>
      </c>
      <c r="E84" s="117" t="s">
        <v>3342</v>
      </c>
      <c r="F84" s="117" t="s">
        <v>3343</v>
      </c>
      <c r="G84" s="117" t="s">
        <v>3344</v>
      </c>
      <c r="H84" s="117" t="s">
        <v>3345</v>
      </c>
      <c r="I84" s="117" t="s">
        <v>3346</v>
      </c>
      <c r="J84" s="117" t="s">
        <v>3347</v>
      </c>
      <c r="K84" s="117" t="s">
        <v>3348</v>
      </c>
      <c r="L84" s="117" t="s">
        <v>3349</v>
      </c>
      <c r="M84" s="117" t="s">
        <v>3350</v>
      </c>
      <c r="N84" s="117" t="s">
        <v>3351</v>
      </c>
      <c r="O84" s="117" t="s">
        <v>3352</v>
      </c>
      <c r="P84" s="117" t="s">
        <v>3353</v>
      </c>
      <c r="Q84" s="117" t="s">
        <v>3354</v>
      </c>
      <c r="R84" s="117" t="s">
        <v>3355</v>
      </c>
      <c r="S84" s="87" t="s">
        <v>3356</v>
      </c>
      <c r="T84" s="87" t="s">
        <v>3357</v>
      </c>
      <c r="U84" s="87" t="s">
        <v>3358</v>
      </c>
      <c r="V84" s="87" t="s">
        <v>3359</v>
      </c>
      <c r="W84" s="87" t="s">
        <v>3360</v>
      </c>
      <c r="X84" s="80"/>
      <c r="Y84" s="80"/>
      <c r="Z84" s="80"/>
      <c r="AA84" s="80"/>
      <c r="AB84" s="80"/>
      <c r="AC84" s="80"/>
    </row>
    <row r="85" spans="1:29" ht="12.75" customHeight="1">
      <c r="A85" s="80">
        <v>2023</v>
      </c>
      <c r="B85" s="88"/>
      <c r="C85" s="89" t="s">
        <v>94</v>
      </c>
      <c r="D85" s="90">
        <f t="shared" ref="D85:D121" si="17">SUM(E85:W85)</f>
        <v>10904914</v>
      </c>
      <c r="E85" s="91">
        <f t="shared" ref="E85:W85" si="18">-E47</f>
        <v>0</v>
      </c>
      <c r="F85" s="91">
        <f t="shared" si="18"/>
        <v>0</v>
      </c>
      <c r="G85" s="91">
        <f t="shared" si="18"/>
        <v>3390494</v>
      </c>
      <c r="H85" s="91">
        <f t="shared" si="18"/>
        <v>0</v>
      </c>
      <c r="I85" s="91">
        <f t="shared" si="18"/>
        <v>6628711</v>
      </c>
      <c r="J85" s="91">
        <f t="shared" si="18"/>
        <v>522296</v>
      </c>
      <c r="K85" s="91">
        <f t="shared" si="18"/>
        <v>116390</v>
      </c>
      <c r="L85" s="91">
        <f t="shared" si="18"/>
        <v>0</v>
      </c>
      <c r="M85" s="91">
        <f t="shared" si="18"/>
        <v>0</v>
      </c>
      <c r="N85" s="91">
        <f t="shared" si="18"/>
        <v>0</v>
      </c>
      <c r="O85" s="91">
        <f t="shared" si="18"/>
        <v>0</v>
      </c>
      <c r="P85" s="91">
        <f t="shared" si="18"/>
        <v>0</v>
      </c>
      <c r="Q85" s="91">
        <f t="shared" si="18"/>
        <v>0</v>
      </c>
      <c r="R85" s="91">
        <f t="shared" si="18"/>
        <v>0</v>
      </c>
      <c r="S85" s="91">
        <f t="shared" si="18"/>
        <v>0</v>
      </c>
      <c r="T85" s="91">
        <f t="shared" si="18"/>
        <v>247023</v>
      </c>
      <c r="U85" s="91">
        <f t="shared" si="18"/>
        <v>0</v>
      </c>
      <c r="V85" s="91">
        <f t="shared" si="18"/>
        <v>0</v>
      </c>
      <c r="W85" s="91">
        <f t="shared" si="18"/>
        <v>0</v>
      </c>
      <c r="X85" s="80"/>
      <c r="Y85" s="80"/>
      <c r="Z85" s="80"/>
      <c r="AA85" s="80"/>
      <c r="AB85" s="80"/>
      <c r="AC85" s="80"/>
    </row>
    <row r="86" spans="1:29" ht="12.75" customHeight="1">
      <c r="A86" s="80">
        <v>2023</v>
      </c>
      <c r="B86" s="92"/>
      <c r="C86" s="93" t="s">
        <v>3361</v>
      </c>
      <c r="D86" s="90">
        <f t="shared" si="17"/>
        <v>190929459</v>
      </c>
      <c r="E86" s="94">
        <f t="shared" ref="E86:W86" si="19">+E107+E114</f>
        <v>139302798</v>
      </c>
      <c r="F86" s="94">
        <f t="shared" si="19"/>
        <v>0</v>
      </c>
      <c r="G86" s="94">
        <f t="shared" si="19"/>
        <v>15652192</v>
      </c>
      <c r="H86" s="94">
        <f t="shared" si="19"/>
        <v>0</v>
      </c>
      <c r="I86" s="94">
        <f t="shared" si="19"/>
        <v>25500000</v>
      </c>
      <c r="J86" s="94">
        <f t="shared" si="19"/>
        <v>524469</v>
      </c>
      <c r="K86" s="94">
        <f t="shared" si="19"/>
        <v>9850000</v>
      </c>
      <c r="L86" s="94">
        <f t="shared" si="19"/>
        <v>0</v>
      </c>
      <c r="M86" s="94">
        <f t="shared" si="19"/>
        <v>0</v>
      </c>
      <c r="N86" s="94">
        <f t="shared" si="19"/>
        <v>0</v>
      </c>
      <c r="O86" s="94">
        <f t="shared" si="19"/>
        <v>0</v>
      </c>
      <c r="P86" s="94">
        <f t="shared" si="19"/>
        <v>0</v>
      </c>
      <c r="Q86" s="94">
        <f t="shared" si="19"/>
        <v>0</v>
      </c>
      <c r="R86" s="94">
        <f t="shared" si="19"/>
        <v>0</v>
      </c>
      <c r="S86" s="94">
        <f t="shared" si="19"/>
        <v>0</v>
      </c>
      <c r="T86" s="94">
        <f t="shared" si="19"/>
        <v>100000</v>
      </c>
      <c r="U86" s="94">
        <f t="shared" si="19"/>
        <v>0</v>
      </c>
      <c r="V86" s="94">
        <f t="shared" si="19"/>
        <v>0</v>
      </c>
      <c r="W86" s="94">
        <f t="shared" si="19"/>
        <v>0</v>
      </c>
      <c r="X86" s="80"/>
      <c r="Y86" s="80"/>
      <c r="Z86" s="80"/>
      <c r="AA86" s="80"/>
      <c r="AB86" s="80"/>
      <c r="AC86" s="80"/>
    </row>
    <row r="87" spans="1:29" ht="12.75" customHeight="1">
      <c r="A87" s="80">
        <v>2023</v>
      </c>
      <c r="B87" s="88"/>
      <c r="C87" s="89" t="s">
        <v>3422</v>
      </c>
      <c r="D87" s="90">
        <f t="shared" si="17"/>
        <v>-12117234</v>
      </c>
      <c r="E87" s="115"/>
      <c r="F87" s="115"/>
      <c r="G87" s="115">
        <v>-5290112</v>
      </c>
      <c r="H87" s="115"/>
      <c r="I87" s="115">
        <v>-6116138</v>
      </c>
      <c r="J87" s="115">
        <v>-500013</v>
      </c>
      <c r="K87" s="115">
        <v>-116390</v>
      </c>
      <c r="L87" s="115"/>
      <c r="M87" s="91"/>
      <c r="N87" s="115"/>
      <c r="O87" s="115"/>
      <c r="P87" s="115"/>
      <c r="Q87" s="115"/>
      <c r="R87" s="115"/>
      <c r="S87" s="115"/>
      <c r="T87" s="115">
        <v>-94581</v>
      </c>
      <c r="U87" s="115"/>
      <c r="V87" s="115"/>
      <c r="W87" s="115"/>
      <c r="X87" s="80"/>
      <c r="Y87" s="80"/>
      <c r="Z87" s="80"/>
      <c r="AA87" s="80"/>
      <c r="AB87" s="80"/>
      <c r="AC87" s="80"/>
    </row>
    <row r="88" spans="1:29" ht="12.75" customHeight="1">
      <c r="A88" s="80">
        <v>2023</v>
      </c>
      <c r="B88" s="92"/>
      <c r="C88" s="93" t="s">
        <v>3363</v>
      </c>
      <c r="D88" s="90">
        <f t="shared" si="17"/>
        <v>189717139</v>
      </c>
      <c r="E88" s="94">
        <f t="shared" ref="E88:W88" si="20">+E85+E86+E87</f>
        <v>139302798</v>
      </c>
      <c r="F88" s="94">
        <f t="shared" si="20"/>
        <v>0</v>
      </c>
      <c r="G88" s="94">
        <f t="shared" si="20"/>
        <v>13752574</v>
      </c>
      <c r="H88" s="94">
        <f t="shared" si="20"/>
        <v>0</v>
      </c>
      <c r="I88" s="94">
        <f t="shared" si="20"/>
        <v>26012573</v>
      </c>
      <c r="J88" s="94">
        <f t="shared" si="20"/>
        <v>546752</v>
      </c>
      <c r="K88" s="94">
        <f t="shared" si="20"/>
        <v>9850000</v>
      </c>
      <c r="L88" s="94">
        <f t="shared" si="20"/>
        <v>0</v>
      </c>
      <c r="M88" s="94">
        <f t="shared" si="20"/>
        <v>0</v>
      </c>
      <c r="N88" s="94">
        <f t="shared" si="20"/>
        <v>0</v>
      </c>
      <c r="O88" s="94">
        <f t="shared" si="20"/>
        <v>0</v>
      </c>
      <c r="P88" s="94">
        <f t="shared" si="20"/>
        <v>0</v>
      </c>
      <c r="Q88" s="94">
        <f t="shared" si="20"/>
        <v>0</v>
      </c>
      <c r="R88" s="94">
        <f t="shared" si="20"/>
        <v>0</v>
      </c>
      <c r="S88" s="94">
        <f t="shared" si="20"/>
        <v>0</v>
      </c>
      <c r="T88" s="94">
        <f t="shared" si="20"/>
        <v>252442</v>
      </c>
      <c r="U88" s="94">
        <f t="shared" si="20"/>
        <v>0</v>
      </c>
      <c r="V88" s="94">
        <f t="shared" si="20"/>
        <v>0</v>
      </c>
      <c r="W88" s="94">
        <f t="shared" si="20"/>
        <v>0</v>
      </c>
      <c r="X88" s="80"/>
      <c r="Y88" s="80"/>
      <c r="Z88" s="80"/>
      <c r="AA88" s="80"/>
      <c r="AB88" s="80"/>
      <c r="AC88" s="80"/>
    </row>
    <row r="89" spans="1:29" ht="12.75" customHeight="1">
      <c r="A89" s="80">
        <v>2023</v>
      </c>
      <c r="B89" s="97"/>
      <c r="C89" s="98" t="s">
        <v>3364</v>
      </c>
      <c r="D89" s="90">
        <f t="shared" si="17"/>
        <v>189717139.17089999</v>
      </c>
      <c r="E89" s="99">
        <f>+'PLAN RASHODA I IZDATAKA'!E91</f>
        <v>139302798</v>
      </c>
      <c r="F89" s="99">
        <f>+'PLAN RASHODA I IZDATAKA'!F91</f>
        <v>0</v>
      </c>
      <c r="G89" s="99">
        <f>+'PLAN RASHODA I IZDATAKA'!G91</f>
        <v>13752573.797000002</v>
      </c>
      <c r="H89" s="99">
        <f>+'PLAN RASHODA I IZDATAKA'!H91</f>
        <v>0</v>
      </c>
      <c r="I89" s="99">
        <f>+'PLAN RASHODA I IZDATAKA'!I91</f>
        <v>26012573.261656485</v>
      </c>
      <c r="J89" s="99">
        <f>+'PLAN RASHODA I IZDATAKA'!J91</f>
        <v>546752</v>
      </c>
      <c r="K89" s="99">
        <f>+'PLAN RASHODA I IZDATAKA'!K91</f>
        <v>9850000.1122435182</v>
      </c>
      <c r="L89" s="99">
        <f>+'PLAN RASHODA I IZDATAKA'!L91</f>
        <v>0</v>
      </c>
      <c r="M89" s="99">
        <f>+'PLAN RASHODA I IZDATAKA'!M91</f>
        <v>0</v>
      </c>
      <c r="N89" s="99">
        <f>+'PLAN RASHODA I IZDATAKA'!N91</f>
        <v>0</v>
      </c>
      <c r="O89" s="99">
        <f>+'PLAN RASHODA I IZDATAKA'!O91</f>
        <v>0</v>
      </c>
      <c r="P89" s="99">
        <f>+'PLAN RASHODA I IZDATAKA'!P91</f>
        <v>0</v>
      </c>
      <c r="Q89" s="99">
        <f>+'PLAN RASHODA I IZDATAKA'!Q91</f>
        <v>0</v>
      </c>
      <c r="R89" s="99">
        <f>+'PLAN RASHODA I IZDATAKA'!R91</f>
        <v>0</v>
      </c>
      <c r="S89" s="99">
        <f>+'PLAN RASHODA I IZDATAKA'!S91</f>
        <v>0</v>
      </c>
      <c r="T89" s="99">
        <f>+'PLAN RASHODA I IZDATAKA'!T91</f>
        <v>252442</v>
      </c>
      <c r="U89" s="99">
        <f>+'PLAN RASHODA I IZDATAKA'!U91</f>
        <v>0</v>
      </c>
      <c r="V89" s="99">
        <f>+'PLAN RASHODA I IZDATAKA'!V91</f>
        <v>0</v>
      </c>
      <c r="W89" s="99">
        <f>+'PLAN RASHODA I IZDATAKA'!W91</f>
        <v>0</v>
      </c>
      <c r="X89" s="80"/>
      <c r="Y89" s="80"/>
      <c r="Z89" s="80"/>
      <c r="AA89" s="80"/>
      <c r="AB89" s="80"/>
      <c r="AC89" s="80"/>
    </row>
    <row r="90" spans="1:29" ht="12.75" customHeight="1">
      <c r="A90" s="80">
        <v>2023</v>
      </c>
      <c r="B90" s="100"/>
      <c r="C90" s="101" t="s">
        <v>3365</v>
      </c>
      <c r="D90" s="116">
        <f t="shared" si="17"/>
        <v>-0.17090000584721565</v>
      </c>
      <c r="E90" s="102">
        <f t="shared" ref="E90:W90" si="21">+E88-E89</f>
        <v>0</v>
      </c>
      <c r="F90" s="102">
        <f t="shared" si="21"/>
        <v>0</v>
      </c>
      <c r="G90" s="102">
        <f t="shared" si="21"/>
        <v>0.20299999788403511</v>
      </c>
      <c r="H90" s="102">
        <f t="shared" si="21"/>
        <v>0</v>
      </c>
      <c r="I90" s="102">
        <f t="shared" si="21"/>
        <v>-0.26165648549795151</v>
      </c>
      <c r="J90" s="102">
        <f t="shared" si="21"/>
        <v>0</v>
      </c>
      <c r="K90" s="102">
        <f t="shared" si="21"/>
        <v>-0.11224351823329926</v>
      </c>
      <c r="L90" s="102">
        <f t="shared" si="21"/>
        <v>0</v>
      </c>
      <c r="M90" s="102">
        <f t="shared" si="21"/>
        <v>0</v>
      </c>
      <c r="N90" s="102">
        <f t="shared" si="21"/>
        <v>0</v>
      </c>
      <c r="O90" s="102">
        <f t="shared" si="21"/>
        <v>0</v>
      </c>
      <c r="P90" s="102">
        <f t="shared" si="21"/>
        <v>0</v>
      </c>
      <c r="Q90" s="102">
        <f t="shared" si="21"/>
        <v>0</v>
      </c>
      <c r="R90" s="102">
        <f t="shared" si="21"/>
        <v>0</v>
      </c>
      <c r="S90" s="102">
        <f t="shared" si="21"/>
        <v>0</v>
      </c>
      <c r="T90" s="102">
        <f t="shared" si="21"/>
        <v>0</v>
      </c>
      <c r="U90" s="102">
        <f t="shared" si="21"/>
        <v>0</v>
      </c>
      <c r="V90" s="102">
        <f t="shared" si="21"/>
        <v>0</v>
      </c>
      <c r="W90" s="102">
        <f t="shared" si="21"/>
        <v>0</v>
      </c>
      <c r="X90" s="80"/>
      <c r="Y90" s="80"/>
      <c r="Z90" s="80"/>
      <c r="AA90" s="80"/>
      <c r="AB90" s="80"/>
      <c r="AC90" s="80"/>
    </row>
    <row r="91" spans="1:29" ht="12.75" customHeight="1">
      <c r="A91" s="80">
        <v>2023</v>
      </c>
      <c r="B91" s="103" t="s">
        <v>3366</v>
      </c>
      <c r="C91" s="104" t="s">
        <v>3367</v>
      </c>
      <c r="D91" s="90">
        <f t="shared" si="17"/>
        <v>0</v>
      </c>
      <c r="E91" s="105">
        <f>SUMIFS('Plan prihoda za unos u SAP'!$I$3:$I$500,'Plan prihoda za unos u SAP'!$C$3:$C$500,"=11",'Plan prihoda za unos u SAP'!$K$3:$K$500,"=614")</f>
        <v>0</v>
      </c>
      <c r="F91" s="105">
        <f>SUMIFS('Plan prihoda za unos u SAP'!$I$3:$I$500,'Plan prihoda za unos u SAP'!$C$3:$C$500,"=12",'Plan prihoda za unos u SAP'!$K$3:$K$500,"=614")</f>
        <v>0</v>
      </c>
      <c r="G91" s="105">
        <f>SUMIFS('Plan prihoda za unos u SAP'!$I$3:$I$500,'Plan prihoda za unos u SAP'!$C$3:$C$500,"=31",'Plan prihoda za unos u SAP'!$K$3:$K$500,"=614")</f>
        <v>0</v>
      </c>
      <c r="H91" s="105">
        <f>SUMIFS('Plan prihoda za unos u SAP'!$I$3:$I$500,'Plan prihoda za unos u SAP'!$C$3:$C$500,"=41",'Plan prihoda za unos u SAP'!$K$3:$K$500,"=614")</f>
        <v>0</v>
      </c>
      <c r="I91" s="105">
        <f>SUMIFS('Plan prihoda za unos u SAP'!$I$3:$I$500,'Plan prihoda za unos u SAP'!$C$3:$C$500,"=43",'Plan prihoda za unos u SAP'!$K$3:$K$500,"=614")</f>
        <v>0</v>
      </c>
      <c r="J91" s="105">
        <f>SUMIFS('Plan prihoda za unos u SAP'!$I$3:$I$500,'Plan prihoda za unos u SAP'!$C$3:$C$500,"=51",'Plan prihoda za unos u SAP'!$K$3:$K$500,"=614")</f>
        <v>0</v>
      </c>
      <c r="K91" s="105">
        <f>SUMIFS('Plan prihoda za unos u SAP'!$I$3:$I$500,'Plan prihoda za unos u SAP'!$C$3:$C$500,"=52",'Plan prihoda za unos u SAP'!$K$3:$K$500,"=614")</f>
        <v>0</v>
      </c>
      <c r="L91" s="105">
        <f>SUMIFS('Plan prihoda za unos u SAP'!$I$3:$I$500,'Plan prihoda za unos u SAP'!$C$3:$C$500,"=552",'Plan prihoda za unos u SAP'!$K$3:$K$500,"=614")</f>
        <v>0</v>
      </c>
      <c r="M91" s="105">
        <f>SUMIFS('Plan prihoda za unos u SAP'!$I$3:$I$500,'Plan prihoda za unos u SAP'!$C$3:$C$500,"=559",'Plan prihoda za unos u SAP'!$K$3:$K$500,"=614")</f>
        <v>0</v>
      </c>
      <c r="N91" s="105">
        <f>SUMIFS('Plan prihoda za unos u SAP'!$I$3:$I$500,'Plan prihoda za unos u SAP'!$C$3:$C$500,"=561",'Plan prihoda za unos u SAP'!$K$3:$K$500,"=614")</f>
        <v>0</v>
      </c>
      <c r="O91" s="105">
        <f>SUMIFS('Plan prihoda za unos u SAP'!$I$3:$I$500,'Plan prihoda za unos u SAP'!$C$3:$C$500,"=563",'Plan prihoda za unos u SAP'!$K$3:$K$500,"=614")</f>
        <v>0</v>
      </c>
      <c r="P91" s="105">
        <f>SUMIFS('Plan prihoda za unos u SAP'!$I$3:$I$500,'Plan prihoda za unos u SAP'!$C$3:$C$500,"=573",'Plan prihoda za unos u SAP'!$K$3:$K$500,"=614")</f>
        <v>0</v>
      </c>
      <c r="Q91" s="105">
        <f>SUMIFS('Plan prihoda za unos u SAP'!$I$3:$I$500,'Plan prihoda za unos u SAP'!$C$3:$C$500,"=575",'Plan prihoda za unos u SAP'!$K$3:$K$500,"=614")</f>
        <v>0</v>
      </c>
      <c r="R91" s="105">
        <f>SUMIFS('Plan prihoda za unos u SAP'!$I$3:$I$500,'Plan prihoda za unos u SAP'!$C$3:$C$500,"=576",'Plan prihoda za unos u SAP'!$K$3:$K$500,"=614")</f>
        <v>0</v>
      </c>
      <c r="S91" s="105">
        <f>SUMIFS('Plan prihoda za unos u SAP'!$I$3:$I$500,'Plan prihoda za unos u SAP'!$C$3:$C$500,"=581",'Plan prihoda za unos u SAP'!$K$3:$K$500,"=614")</f>
        <v>0</v>
      </c>
      <c r="T91" s="105">
        <f>SUMIFS('Plan prihoda za unos u SAP'!$I$3:$I$500,'Plan prihoda za unos u SAP'!$C$3:$C$500,"=61",'Plan prihoda za unos u SAP'!$K$3:$K$500,"=614")</f>
        <v>0</v>
      </c>
      <c r="U91" s="105">
        <f>SUMIFS('Plan prihoda za unos u SAP'!$I$3:$I$500,'Plan prihoda za unos u SAP'!$C$3:$C$500,"=63",'Plan prihoda za unos u SAP'!$K$3:$K$500,"=614")</f>
        <v>0</v>
      </c>
      <c r="V91" s="105">
        <f>SUMIFS('Plan prihoda za unos u SAP'!$I$3:$I$500,'Plan prihoda za unos u SAP'!$C$3:$C$500,"=71",'Plan prihoda za unos u SAP'!$K$3:$K$500,"=614")</f>
        <v>0</v>
      </c>
      <c r="W91" s="105">
        <f>SUMIFS('Plan prihoda za unos u SAP'!$I$3:$I$500,'Plan prihoda za unos u SAP'!$C$3:$C$500,"=81",'Plan prihoda za unos u SAP'!$K$3:$K$500,"=614")</f>
        <v>0</v>
      </c>
      <c r="X91" s="80"/>
      <c r="Y91" s="80"/>
      <c r="Z91" s="80"/>
      <c r="AA91" s="80"/>
      <c r="AB91" s="80"/>
      <c r="AC91" s="80"/>
    </row>
    <row r="92" spans="1:29" ht="12.75" customHeight="1">
      <c r="A92" s="80">
        <v>2023</v>
      </c>
      <c r="B92" s="103" t="s">
        <v>3368</v>
      </c>
      <c r="C92" s="89" t="s">
        <v>3369</v>
      </c>
      <c r="D92" s="90">
        <f t="shared" si="17"/>
        <v>0</v>
      </c>
      <c r="E92" s="105">
        <f>SUMIFS('Plan prihoda za unos u SAP'!$I$3:$I$500,'Plan prihoda za unos u SAP'!$C$3:$C$500,"=11",'Plan prihoda za unos u SAP'!$K$3:$K$500,"=631")</f>
        <v>0</v>
      </c>
      <c r="F92" s="105">
        <f>SUMIFS('Plan prihoda za unos u SAP'!$I$3:$I$500,'Plan prihoda za unos u SAP'!$C$3:$C$500,"=12",'Plan prihoda za unos u SAP'!$K$3:$K$500,"=631")</f>
        <v>0</v>
      </c>
      <c r="G92" s="105">
        <f>SUMIFS('Plan prihoda za unos u SAP'!$I$3:$I$500,'Plan prihoda za unos u SAP'!$C$3:$C$500,"=31",'Plan prihoda za unos u SAP'!$K$3:$K$500,"=631")</f>
        <v>0</v>
      </c>
      <c r="H92" s="105">
        <f>SUMIFS('Plan prihoda za unos u SAP'!$I$3:$I$500,'Plan prihoda za unos u SAP'!$C$3:$C$500,"=41",'Plan prihoda za unos u SAP'!$K$3:$K$500,"=631")</f>
        <v>0</v>
      </c>
      <c r="I92" s="105">
        <f>SUMIFS('Plan prihoda za unos u SAP'!$I$3:$I$500,'Plan prihoda za unos u SAP'!$C$3:$C$500,"=43",'Plan prihoda za unos u SAP'!$K$3:$K$500,"=631")</f>
        <v>0</v>
      </c>
      <c r="J92" s="105">
        <f>SUMIFS('Plan prihoda za unos u SAP'!$I$3:$I$500,'Plan prihoda za unos u SAP'!$C$3:$C$500,"=51",'Plan prihoda za unos u SAP'!$K$3:$K$500,"=631")</f>
        <v>0</v>
      </c>
      <c r="K92" s="105">
        <f>SUMIFS('Plan prihoda za unos u SAP'!$I$3:$I$500,'Plan prihoda za unos u SAP'!$C$3:$C$500,"=52",'Plan prihoda za unos u SAP'!$K$3:$K$500,"=631")</f>
        <v>0</v>
      </c>
      <c r="L92" s="105">
        <f>SUMIFS('Plan prihoda za unos u SAP'!$I$3:$I$500,'Plan prihoda za unos u SAP'!$C$3:$C$500,"=552",'Plan prihoda za unos u SAP'!$K$3:$K$500,"=631")</f>
        <v>0</v>
      </c>
      <c r="M92" s="105">
        <f>SUMIFS('Plan prihoda za unos u SAP'!$I$3:$I$500,'Plan prihoda za unos u SAP'!$C$3:$C$500,"=559",'Plan prihoda za unos u SAP'!$K$3:$K$500,"=631")</f>
        <v>0</v>
      </c>
      <c r="N92" s="105">
        <f>SUMIFS('Plan prihoda za unos u SAP'!$I$3:$I$500,'Plan prihoda za unos u SAP'!$C$3:$C$500,"=561",'Plan prihoda za unos u SAP'!$K$3:$K$500,"=631")</f>
        <v>0</v>
      </c>
      <c r="O92" s="105">
        <f>SUMIFS('Plan prihoda za unos u SAP'!$I$3:$I$500,'Plan prihoda za unos u SAP'!$C$3:$C$500,"=563",'Plan prihoda za unos u SAP'!$K$3:$K$500,"=631")</f>
        <v>0</v>
      </c>
      <c r="P92" s="105">
        <f>SUMIFS('Plan prihoda za unos u SAP'!$I$3:$I$500,'Plan prihoda za unos u SAP'!$C$3:$C$500,"=573",'Plan prihoda za unos u SAP'!$K$3:$K$500,"=631")</f>
        <v>0</v>
      </c>
      <c r="Q92" s="105">
        <f>SUMIFS('Plan prihoda za unos u SAP'!$I$3:$I$500,'Plan prihoda za unos u SAP'!$C$3:$C$500,"=575",'Plan prihoda za unos u SAP'!$K$3:$K$500,"=631")</f>
        <v>0</v>
      </c>
      <c r="R92" s="105">
        <f>SUMIFS('Plan prihoda za unos u SAP'!$I$3:$I$500,'Plan prihoda za unos u SAP'!$C$3:$C$500,"=576",'Plan prihoda za unos u SAP'!$K$3:$K$500,"=631")</f>
        <v>0</v>
      </c>
      <c r="S92" s="105">
        <f>SUMIFS('Plan prihoda za unos u SAP'!$I$3:$I$500,'Plan prihoda za unos u SAP'!$C$3:$C$500,"=581",'Plan prihoda za unos u SAP'!$K$3:$K$500,"=631")</f>
        <v>0</v>
      </c>
      <c r="T92" s="105">
        <f>SUMIFS('Plan prihoda za unos u SAP'!$I$3:$I$500,'Plan prihoda za unos u SAP'!$C$3:$C$500,"=61",'Plan prihoda za unos u SAP'!$K$3:$K$500,"=631")</f>
        <v>0</v>
      </c>
      <c r="U92" s="105">
        <f>SUMIFS('Plan prihoda za unos u SAP'!$I$3:$I$500,'Plan prihoda za unos u SAP'!$C$3:$C$500,"=63",'Plan prihoda za unos u SAP'!$K$3:$K$500,"=631")</f>
        <v>0</v>
      </c>
      <c r="V92" s="105">
        <f>SUMIFS('Plan prihoda za unos u SAP'!$I$3:$I$500,'Plan prihoda za unos u SAP'!$C$3:$C$500,"=71",'Plan prihoda za unos u SAP'!$K$3:$K$500,"=631")</f>
        <v>0</v>
      </c>
      <c r="W92" s="105">
        <f>SUMIFS('Plan prihoda za unos u SAP'!$I$3:$I$500,'Plan prihoda za unos u SAP'!$C$3:$C$500,"=81",'Plan prihoda za unos u SAP'!$K$3:$K$500,"=631")</f>
        <v>0</v>
      </c>
      <c r="X92" s="80"/>
      <c r="Y92" s="80"/>
      <c r="Z92" s="80"/>
      <c r="AA92" s="80"/>
      <c r="AB92" s="80"/>
      <c r="AC92" s="80"/>
    </row>
    <row r="93" spans="1:29" ht="12.75" customHeight="1">
      <c r="A93" s="80">
        <v>2023</v>
      </c>
      <c r="B93" s="88" t="s">
        <v>3370</v>
      </c>
      <c r="C93" s="89" t="s">
        <v>3371</v>
      </c>
      <c r="D93" s="90">
        <f t="shared" si="17"/>
        <v>524469</v>
      </c>
      <c r="E93" s="105">
        <f>SUMIFS('Plan prihoda za unos u SAP'!$I$3:$I$500,'Plan prihoda za unos u SAP'!$C$3:$C$500,"=11",'Plan prihoda za unos u SAP'!$K$3:$K$500,"=632")</f>
        <v>0</v>
      </c>
      <c r="F93" s="105">
        <f>SUMIFS('Plan prihoda za unos u SAP'!$I$3:$I$500,'Plan prihoda za unos u SAP'!$C$3:$C$500,"=12",'Plan prihoda za unos u SAP'!$K$3:$K$500,"=632")</f>
        <v>0</v>
      </c>
      <c r="G93" s="105">
        <f>SUMIFS('Plan prihoda za unos u SAP'!$I$3:$I$500,'Plan prihoda za unos u SAP'!$C$3:$C$500,"=31",'Plan prihoda za unos u SAP'!$K$3:$K$500,"=632")</f>
        <v>0</v>
      </c>
      <c r="H93" s="105">
        <f>SUMIFS('Plan prihoda za unos u SAP'!$I$3:$I$500,'Plan prihoda za unos u SAP'!$C$3:$C$500,"=41",'Plan prihoda za unos u SAP'!$K$3:$K$500,"=632")</f>
        <v>0</v>
      </c>
      <c r="I93" s="105">
        <f>SUMIFS('Plan prihoda za unos u SAP'!$I$3:$I$500,'Plan prihoda za unos u SAP'!$C$3:$C$500,"=43",'Plan prihoda za unos u SAP'!$K$3:$K$500,"=632")</f>
        <v>0</v>
      </c>
      <c r="J93" s="105">
        <f>SUMIFS('Plan prihoda za unos u SAP'!$I$3:$I$500,'Plan prihoda za unos u SAP'!$C$3:$C$500,"=51",'Plan prihoda za unos u SAP'!$K$3:$K$500,"=632")</f>
        <v>524469</v>
      </c>
      <c r="K93" s="105">
        <f>SUMIFS('Plan prihoda za unos u SAP'!$I$3:$I$500,'Plan prihoda za unos u SAP'!$C$3:$C$500,"=52",'Plan prihoda za unos u SAP'!$K$3:$K$500,"=632")</f>
        <v>0</v>
      </c>
      <c r="L93" s="105">
        <f>SUMIFS('Plan prihoda za unos u SAP'!$I$3:$I$500,'Plan prihoda za unos u SAP'!$C$3:$C$500,"=552",'Plan prihoda za unos u SAP'!$K$3:$K$500,"=632")</f>
        <v>0</v>
      </c>
      <c r="M93" s="105">
        <f>SUMIFS('Plan prihoda za unos u SAP'!$I$3:$I$500,'Plan prihoda za unos u SAP'!$C$3:$C$500,"=559",'Plan prihoda za unos u SAP'!$K$3:$K$500,"=632")</f>
        <v>0</v>
      </c>
      <c r="N93" s="105">
        <f>SUMIFS('Plan prihoda za unos u SAP'!$I$3:$I$500,'Plan prihoda za unos u SAP'!$C$3:$C$500,"=561",'Plan prihoda za unos u SAP'!$K$3:$K$500,"=632")</f>
        <v>0</v>
      </c>
      <c r="O93" s="105">
        <f>SUMIFS('Plan prihoda za unos u SAP'!$I$3:$I$500,'Plan prihoda za unos u SAP'!$C$3:$C$500,"=563",'Plan prihoda za unos u SAP'!$K$3:$K$500,"=632")</f>
        <v>0</v>
      </c>
      <c r="P93" s="105">
        <f>SUMIFS('Plan prihoda za unos u SAP'!$I$3:$I$500,'Plan prihoda za unos u SAP'!$C$3:$C$500,"=573",'Plan prihoda za unos u SAP'!$K$3:$K$500,"=632")</f>
        <v>0</v>
      </c>
      <c r="Q93" s="105">
        <f>SUMIFS('Plan prihoda za unos u SAP'!$I$3:$I$500,'Plan prihoda za unos u SAP'!$C$3:$C$500,"=575",'Plan prihoda za unos u SAP'!$K$3:$K$500,"=632")</f>
        <v>0</v>
      </c>
      <c r="R93" s="105">
        <f>SUMIFS('Plan prihoda za unos u SAP'!$I$3:$I$500,'Plan prihoda za unos u SAP'!$C$3:$C$500,"=576",'Plan prihoda za unos u SAP'!$K$3:$K$500,"=632")</f>
        <v>0</v>
      </c>
      <c r="S93" s="105">
        <f>SUMIFS('Plan prihoda za unos u SAP'!$I$3:$I$500,'Plan prihoda za unos u SAP'!$C$3:$C$500,"=581",'Plan prihoda za unos u SAP'!$K$3:$K$500,"=632")</f>
        <v>0</v>
      </c>
      <c r="T93" s="105">
        <f>SUMIFS('Plan prihoda za unos u SAP'!$I$3:$I$500,'Plan prihoda za unos u SAP'!$C$3:$C$500,"=61",'Plan prihoda za unos u SAP'!$K$3:$K$500,"=632")</f>
        <v>0</v>
      </c>
      <c r="U93" s="105">
        <f>SUMIFS('Plan prihoda za unos u SAP'!$I$3:$I$500,'Plan prihoda za unos u SAP'!$C$3:$C$500,"=63",'Plan prihoda za unos u SAP'!$K$3:$K$500,"=632")</f>
        <v>0</v>
      </c>
      <c r="V93" s="105">
        <f>SUMIFS('Plan prihoda za unos u SAP'!$I$3:$I$500,'Plan prihoda za unos u SAP'!$C$3:$C$500,"=71",'Plan prihoda za unos u SAP'!$K$3:$K$500,"=632")</f>
        <v>0</v>
      </c>
      <c r="W93" s="105">
        <f>SUMIFS('Plan prihoda za unos u SAP'!$I$3:$I$500,'Plan prihoda za unos u SAP'!$C$3:$C$500,"=81",'Plan prihoda za unos u SAP'!$K$3:$K$500,"=632")</f>
        <v>0</v>
      </c>
      <c r="X93" s="80"/>
      <c r="Y93" s="80"/>
      <c r="Z93" s="80"/>
      <c r="AA93" s="80"/>
      <c r="AB93" s="80"/>
      <c r="AC93" s="80"/>
    </row>
    <row r="94" spans="1:29" ht="12.75" customHeight="1">
      <c r="A94" s="80">
        <v>2023</v>
      </c>
      <c r="B94" s="88" t="s">
        <v>3372</v>
      </c>
      <c r="C94" s="89" t="s">
        <v>3373</v>
      </c>
      <c r="D94" s="90">
        <f t="shared" si="17"/>
        <v>0</v>
      </c>
      <c r="E94" s="105">
        <f>SUMIFS('Plan prihoda za unos u SAP'!$I$3:$I$500,'Plan prihoda za unos u SAP'!$C$3:$C$500,"=11",'Plan prihoda za unos u SAP'!$K$3:$K$500,"=634")</f>
        <v>0</v>
      </c>
      <c r="F94" s="105">
        <f>SUMIFS('Plan prihoda za unos u SAP'!$I$3:$I$500,'Plan prihoda za unos u SAP'!$C$3:$C$500,"=12",'Plan prihoda za unos u SAP'!$K$3:$K$500,"=634")</f>
        <v>0</v>
      </c>
      <c r="G94" s="105">
        <f>SUMIFS('Plan prihoda za unos u SAP'!$I$3:$I$500,'Plan prihoda za unos u SAP'!$C$3:$C$500,"=31",'Plan prihoda za unos u SAP'!$K$3:$K$500,"=634")</f>
        <v>0</v>
      </c>
      <c r="H94" s="105">
        <f>SUMIFS('Plan prihoda za unos u SAP'!$I$3:$I$500,'Plan prihoda za unos u SAP'!$C$3:$C$500,"=41",'Plan prihoda za unos u SAP'!$K$3:$K$500,"=634")</f>
        <v>0</v>
      </c>
      <c r="I94" s="105">
        <f>SUMIFS('Plan prihoda za unos u SAP'!$I$3:$I$500,'Plan prihoda za unos u SAP'!$C$3:$C$500,"=43",'Plan prihoda za unos u SAP'!$K$3:$K$500,"=634")</f>
        <v>0</v>
      </c>
      <c r="J94" s="105">
        <f>SUMIFS('Plan prihoda za unos u SAP'!$I$3:$I$500,'Plan prihoda za unos u SAP'!$C$3:$C$500,"=51",'Plan prihoda za unos u SAP'!$K$3:$K$500,"=634")</f>
        <v>0</v>
      </c>
      <c r="K94" s="105">
        <f>SUMIFS('Plan prihoda za unos u SAP'!$I$3:$I$500,'Plan prihoda za unos u SAP'!$C$3:$C$500,"=52",'Plan prihoda za unos u SAP'!$K$3:$K$500,"=634")</f>
        <v>0</v>
      </c>
      <c r="L94" s="105">
        <f>SUMIFS('Plan prihoda za unos u SAP'!$I$3:$I$500,'Plan prihoda za unos u SAP'!$C$3:$C$500,"=552",'Plan prihoda za unos u SAP'!$K$3:$K$500,"=634")</f>
        <v>0</v>
      </c>
      <c r="M94" s="105">
        <f>SUMIFS('Plan prihoda za unos u SAP'!$I$3:$I$500,'Plan prihoda za unos u SAP'!$C$3:$C$500,"=559",'Plan prihoda za unos u SAP'!$K$3:$K$500,"=634")</f>
        <v>0</v>
      </c>
      <c r="N94" s="105">
        <f>SUMIFS('Plan prihoda za unos u SAP'!$I$3:$I$500,'Plan prihoda za unos u SAP'!$C$3:$C$500,"=561",'Plan prihoda za unos u SAP'!$K$3:$K$500,"=634")</f>
        <v>0</v>
      </c>
      <c r="O94" s="105">
        <f>SUMIFS('Plan prihoda za unos u SAP'!$I$3:$I$500,'Plan prihoda za unos u SAP'!$C$3:$C$500,"=563",'Plan prihoda za unos u SAP'!$K$3:$K$500,"=634")</f>
        <v>0</v>
      </c>
      <c r="P94" s="105">
        <f>SUMIFS('Plan prihoda za unos u SAP'!$I$3:$I$500,'Plan prihoda za unos u SAP'!$C$3:$C$500,"=573",'Plan prihoda za unos u SAP'!$K$3:$K$500,"=634")</f>
        <v>0</v>
      </c>
      <c r="Q94" s="105">
        <f>SUMIFS('Plan prihoda za unos u SAP'!$I$3:$I$500,'Plan prihoda za unos u SAP'!$C$3:$C$500,"=575",'Plan prihoda za unos u SAP'!$K$3:$K$500,"=634")</f>
        <v>0</v>
      </c>
      <c r="R94" s="105">
        <f>SUMIFS('Plan prihoda za unos u SAP'!$I$3:$I$500,'Plan prihoda za unos u SAP'!$C$3:$C$500,"=576",'Plan prihoda za unos u SAP'!$K$3:$K$500,"=634")</f>
        <v>0</v>
      </c>
      <c r="S94" s="105">
        <f>SUMIFS('Plan prihoda za unos u SAP'!$I$3:$I$500,'Plan prihoda za unos u SAP'!$C$3:$C$500,"=581",'Plan prihoda za unos u SAP'!$K$3:$K$500,"=634")</f>
        <v>0</v>
      </c>
      <c r="T94" s="105">
        <f>SUMIFS('Plan prihoda za unos u SAP'!$I$3:$I$500,'Plan prihoda za unos u SAP'!$C$3:$C$500,"=61",'Plan prihoda za unos u SAP'!$K$3:$K$500,"=634")</f>
        <v>0</v>
      </c>
      <c r="U94" s="105">
        <f>SUMIFS('Plan prihoda za unos u SAP'!$I$3:$I$500,'Plan prihoda za unos u SAP'!$C$3:$C$500,"=63",'Plan prihoda za unos u SAP'!$K$3:$K$500,"=634")</f>
        <v>0</v>
      </c>
      <c r="V94" s="105">
        <f>SUMIFS('Plan prihoda za unos u SAP'!$I$3:$I$500,'Plan prihoda za unos u SAP'!$C$3:$C$500,"=71",'Plan prihoda za unos u SAP'!$K$3:$K$500,"=634")</f>
        <v>0</v>
      </c>
      <c r="W94" s="105">
        <f>SUMIFS('Plan prihoda za unos u SAP'!$I$3:$I$500,'Plan prihoda za unos u SAP'!$C$3:$C$500,"=81",'Plan prihoda za unos u SAP'!$K$3:$K$500,"=634")</f>
        <v>0</v>
      </c>
      <c r="X94" s="80"/>
      <c r="Y94" s="80"/>
      <c r="Z94" s="80"/>
      <c r="AA94" s="80"/>
      <c r="AB94" s="80"/>
      <c r="AC94" s="80"/>
    </row>
    <row r="95" spans="1:29" ht="12.75" customHeight="1">
      <c r="A95" s="80">
        <v>2023</v>
      </c>
      <c r="B95" s="95" t="s">
        <v>3374</v>
      </c>
      <c r="C95" s="89" t="s">
        <v>3375</v>
      </c>
      <c r="D95" s="90">
        <f t="shared" si="17"/>
        <v>0</v>
      </c>
      <c r="E95" s="105">
        <f>SUMIFS('Plan prihoda za unos u SAP'!$I$3:$I$500,'Plan prihoda za unos u SAP'!$C$3:$C$500,"=11",'Plan prihoda za unos u SAP'!$K$3:$K$500,"=636")</f>
        <v>0</v>
      </c>
      <c r="F95" s="105">
        <f>SUMIFS('Plan prihoda za unos u SAP'!$I$3:$I$500,'Plan prihoda za unos u SAP'!$C$3:$C$500,"=12",'Plan prihoda za unos u SAP'!$K$3:$K$500,"=636")</f>
        <v>0</v>
      </c>
      <c r="G95" s="105">
        <f>SUMIFS('Plan prihoda za unos u SAP'!$I$3:$I$500,'Plan prihoda za unos u SAP'!$C$3:$C$500,"=31",'Plan prihoda za unos u SAP'!$K$3:$K$500,"=636")</f>
        <v>0</v>
      </c>
      <c r="H95" s="105">
        <f>SUMIFS('Plan prihoda za unos u SAP'!$I$3:$I$500,'Plan prihoda za unos u SAP'!$C$3:$C$500,"=41",'Plan prihoda za unos u SAP'!$K$3:$K$500,"=636")</f>
        <v>0</v>
      </c>
      <c r="I95" s="105">
        <f>SUMIFS('Plan prihoda za unos u SAP'!$I$3:$I$500,'Plan prihoda za unos u SAP'!$C$3:$C$500,"=43",'Plan prihoda za unos u SAP'!$K$3:$K$500,"=636")</f>
        <v>0</v>
      </c>
      <c r="J95" s="105">
        <f>SUMIFS('Plan prihoda za unos u SAP'!$I$3:$I$500,'Plan prihoda za unos u SAP'!$C$3:$C$500,"=51",'Plan prihoda za unos u SAP'!$K$3:$K$500,"=636")</f>
        <v>0</v>
      </c>
      <c r="K95" s="105">
        <f>SUMIFS('Plan prihoda za unos u SAP'!$I$3:$I$500,'Plan prihoda za unos u SAP'!$C$3:$C$500,"=52",'Plan prihoda za unos u SAP'!$K$3:$K$500,"=636")</f>
        <v>0</v>
      </c>
      <c r="L95" s="105">
        <f>SUMIFS('Plan prihoda za unos u SAP'!$I$3:$I$500,'Plan prihoda za unos u SAP'!$C$3:$C$500,"=552",'Plan prihoda za unos u SAP'!$K$3:$K$500,"=636")</f>
        <v>0</v>
      </c>
      <c r="M95" s="105">
        <f>SUMIFS('Plan prihoda za unos u SAP'!$I$3:$I$500,'Plan prihoda za unos u SAP'!$C$3:$C$500,"=559",'Plan prihoda za unos u SAP'!$K$3:$K$500,"=636")</f>
        <v>0</v>
      </c>
      <c r="N95" s="105">
        <f>SUMIFS('Plan prihoda za unos u SAP'!$I$3:$I$500,'Plan prihoda za unos u SAP'!$C$3:$C$500,"=561",'Plan prihoda za unos u SAP'!$K$3:$K$500,"=636")</f>
        <v>0</v>
      </c>
      <c r="O95" s="105">
        <f>SUMIFS('Plan prihoda za unos u SAP'!$I$3:$I$500,'Plan prihoda za unos u SAP'!$C$3:$C$500,"=563",'Plan prihoda za unos u SAP'!$K$3:$K$500,"=636")</f>
        <v>0</v>
      </c>
      <c r="P95" s="105">
        <f>SUMIFS('Plan prihoda za unos u SAP'!$I$3:$I$500,'Plan prihoda za unos u SAP'!$C$3:$C$500,"=573",'Plan prihoda za unos u SAP'!$K$3:$K$500,"=636")</f>
        <v>0</v>
      </c>
      <c r="Q95" s="105">
        <f>SUMIFS('Plan prihoda za unos u SAP'!$I$3:$I$500,'Plan prihoda za unos u SAP'!$C$3:$C$500,"=575",'Plan prihoda za unos u SAP'!$K$3:$K$500,"=636")</f>
        <v>0</v>
      </c>
      <c r="R95" s="105">
        <f>SUMIFS('Plan prihoda za unos u SAP'!$I$3:$I$500,'Plan prihoda za unos u SAP'!$C$3:$C$500,"=576",'Plan prihoda za unos u SAP'!$K$3:$K$500,"=636")</f>
        <v>0</v>
      </c>
      <c r="S95" s="105">
        <f>SUMIFS('Plan prihoda za unos u SAP'!$I$3:$I$500,'Plan prihoda za unos u SAP'!$C$3:$C$500,"=581",'Plan prihoda za unos u SAP'!$K$3:$K$500,"=636")</f>
        <v>0</v>
      </c>
      <c r="T95" s="105">
        <f>SUMIFS('Plan prihoda za unos u SAP'!$I$3:$I$500,'Plan prihoda za unos u SAP'!$C$3:$C$500,"=61",'Plan prihoda za unos u SAP'!$K$3:$K$500,"=636")</f>
        <v>0</v>
      </c>
      <c r="U95" s="105">
        <f>SUMIFS('Plan prihoda za unos u SAP'!$I$3:$I$500,'Plan prihoda za unos u SAP'!$C$3:$C$500,"=63",'Plan prihoda za unos u SAP'!$K$3:$K$500,"=636")</f>
        <v>0</v>
      </c>
      <c r="V95" s="105">
        <f>SUMIFS('Plan prihoda za unos u SAP'!$I$3:$I$500,'Plan prihoda za unos u SAP'!$C$3:$C$500,"=71",'Plan prihoda za unos u SAP'!$K$3:$K$500,"=636")</f>
        <v>0</v>
      </c>
      <c r="W95" s="105">
        <f>SUMIFS('Plan prihoda za unos u SAP'!$I$3:$I$500,'Plan prihoda za unos u SAP'!$C$3:$C$500,"=81",'Plan prihoda za unos u SAP'!$K$3:$K$500,"=636")</f>
        <v>0</v>
      </c>
      <c r="X95" s="80"/>
      <c r="Y95" s="80"/>
      <c r="Z95" s="80"/>
      <c r="AA95" s="80"/>
      <c r="AB95" s="80"/>
      <c r="AC95" s="80"/>
    </row>
    <row r="96" spans="1:29" ht="12.75" customHeight="1">
      <c r="A96" s="80">
        <v>2023</v>
      </c>
      <c r="B96" s="88" t="s">
        <v>3376</v>
      </c>
      <c r="C96" s="89" t="s">
        <v>3377</v>
      </c>
      <c r="D96" s="90">
        <f t="shared" si="17"/>
        <v>0</v>
      </c>
      <c r="E96" s="105">
        <f>SUMIFS('Plan prihoda za unos u SAP'!$I$3:$I$500,'Plan prihoda za unos u SAP'!$C$3:$C$500,"=11",'Plan prihoda za unos u SAP'!$K$3:$K$500,"=638")</f>
        <v>0</v>
      </c>
      <c r="F96" s="105">
        <f>SUMIFS('Plan prihoda za unos u SAP'!$I$3:$I$500,'Plan prihoda za unos u SAP'!$C$3:$C$500,"=12",'Plan prihoda za unos u SAP'!$K$3:$K$500,"=638")</f>
        <v>0</v>
      </c>
      <c r="G96" s="105">
        <f>SUMIFS('Plan prihoda za unos u SAP'!$I$3:$I$500,'Plan prihoda za unos u SAP'!$C$3:$C$500,"=31",'Plan prihoda za unos u SAP'!$K$3:$K$500,"=638")</f>
        <v>0</v>
      </c>
      <c r="H96" s="105">
        <f>SUMIFS('Plan prihoda za unos u SAP'!$I$3:$I$500,'Plan prihoda za unos u SAP'!$C$3:$C$500,"=41",'Plan prihoda za unos u SAP'!$K$3:$K$500,"=638")</f>
        <v>0</v>
      </c>
      <c r="I96" s="105">
        <f>SUMIFS('Plan prihoda za unos u SAP'!$I$3:$I$500,'Plan prihoda za unos u SAP'!$C$3:$C$500,"=43",'Plan prihoda za unos u SAP'!$K$3:$K$500,"=638")</f>
        <v>0</v>
      </c>
      <c r="J96" s="105">
        <f>SUMIFS('Plan prihoda za unos u SAP'!$I$3:$I$500,'Plan prihoda za unos u SAP'!$C$3:$C$500,"=51",'Plan prihoda za unos u SAP'!$K$3:$K$500,"=638")</f>
        <v>0</v>
      </c>
      <c r="K96" s="105">
        <f>SUMIFS('Plan prihoda za unos u SAP'!$I$3:$I$500,'Plan prihoda za unos u SAP'!$C$3:$C$500,"=52",'Plan prihoda za unos u SAP'!$K$3:$K$500,"=638")</f>
        <v>0</v>
      </c>
      <c r="L96" s="105">
        <f>SUMIFS('Plan prihoda za unos u SAP'!$I$3:$I$500,'Plan prihoda za unos u SAP'!$C$3:$C$500,"=552",'Plan prihoda za unos u SAP'!$K$3:$K$500,"=638")</f>
        <v>0</v>
      </c>
      <c r="M96" s="105">
        <f>SUMIFS('Plan prihoda za unos u SAP'!$I$3:$I$500,'Plan prihoda za unos u SAP'!$C$3:$C$500,"=559",'Plan prihoda za unos u SAP'!$K$3:$K$500,"=638")</f>
        <v>0</v>
      </c>
      <c r="N96" s="105">
        <f>SUMIFS('Plan prihoda za unos u SAP'!$I$3:$I$500,'Plan prihoda za unos u SAP'!$C$3:$C$500,"=561",'Plan prihoda za unos u SAP'!$K$3:$K$500,"=638")</f>
        <v>0</v>
      </c>
      <c r="O96" s="105">
        <f>SUMIFS('Plan prihoda za unos u SAP'!$I$3:$I$500,'Plan prihoda za unos u SAP'!$C$3:$C$500,"=563",'Plan prihoda za unos u SAP'!$K$3:$K$500,"=638")</f>
        <v>0</v>
      </c>
      <c r="P96" s="105">
        <f>SUMIFS('Plan prihoda za unos u SAP'!$I$3:$I$500,'Plan prihoda za unos u SAP'!$C$3:$C$500,"=573",'Plan prihoda za unos u SAP'!$K$3:$K$500,"=638")</f>
        <v>0</v>
      </c>
      <c r="Q96" s="105">
        <f>SUMIFS('Plan prihoda za unos u SAP'!$I$3:$I$500,'Plan prihoda za unos u SAP'!$C$3:$C$500,"=575",'Plan prihoda za unos u SAP'!$K$3:$K$500,"=638")</f>
        <v>0</v>
      </c>
      <c r="R96" s="105">
        <f>SUMIFS('Plan prihoda za unos u SAP'!$I$3:$I$500,'Plan prihoda za unos u SAP'!$C$3:$C$500,"=576",'Plan prihoda za unos u SAP'!$K$3:$K$500,"=638")</f>
        <v>0</v>
      </c>
      <c r="S96" s="105">
        <f>SUMIFS('Plan prihoda za unos u SAP'!$I$3:$I$500,'Plan prihoda za unos u SAP'!$C$3:$C$500,"=581",'Plan prihoda za unos u SAP'!$K$3:$K$500,"=638")</f>
        <v>0</v>
      </c>
      <c r="T96" s="105">
        <f>SUMIFS('Plan prihoda za unos u SAP'!$I$3:$I$500,'Plan prihoda za unos u SAP'!$C$3:$C$500,"=61",'Plan prihoda za unos u SAP'!$K$3:$K$500,"=638")</f>
        <v>0</v>
      </c>
      <c r="U96" s="105">
        <f>SUMIFS('Plan prihoda za unos u SAP'!$I$3:$I$500,'Plan prihoda za unos u SAP'!$C$3:$C$500,"=63",'Plan prihoda za unos u SAP'!$K$3:$K$500,"=638")</f>
        <v>0</v>
      </c>
      <c r="V96" s="105">
        <f>SUMIFS('Plan prihoda za unos u SAP'!$I$3:$I$500,'Plan prihoda za unos u SAP'!$C$3:$C$500,"=71",'Plan prihoda za unos u SAP'!$K$3:$K$500,"=638")</f>
        <v>0</v>
      </c>
      <c r="W96" s="105">
        <f>SUMIFS('Plan prihoda za unos u SAP'!$I$3:$I$500,'Plan prihoda za unos u SAP'!$C$3:$C$500,"=81",'Plan prihoda za unos u SAP'!$K$3:$K$500,"=638")</f>
        <v>0</v>
      </c>
      <c r="X96" s="80"/>
      <c r="Y96" s="80"/>
      <c r="Z96" s="80"/>
      <c r="AA96" s="80"/>
      <c r="AB96" s="80"/>
      <c r="AC96" s="80"/>
    </row>
    <row r="97" spans="1:29" ht="12.75" customHeight="1">
      <c r="A97" s="80">
        <v>2023</v>
      </c>
      <c r="B97" s="88" t="s">
        <v>3378</v>
      </c>
      <c r="C97" s="89" t="s">
        <v>3379</v>
      </c>
      <c r="D97" s="90">
        <f t="shared" si="17"/>
        <v>9850000</v>
      </c>
      <c r="E97" s="105">
        <f>SUMIFS('Plan prihoda za unos u SAP'!$I$3:$I$500,'Plan prihoda za unos u SAP'!$C$3:$C$500,"=11",'Plan prihoda za unos u SAP'!$K$3:$K$500,"=639")</f>
        <v>0</v>
      </c>
      <c r="F97" s="105">
        <f>SUMIFS('Plan prihoda za unos u SAP'!$I$3:$I$500,'Plan prihoda za unos u SAP'!$C$3:$C$500,"=12",'Plan prihoda za unos u SAP'!$K$3:$K$500,"=639")</f>
        <v>0</v>
      </c>
      <c r="G97" s="105">
        <f>SUMIFS('Plan prihoda za unos u SAP'!$I$3:$I$500,'Plan prihoda za unos u SAP'!$C$3:$C$500,"=31",'Plan prihoda za unos u SAP'!$K$3:$K$500,"=639")</f>
        <v>0</v>
      </c>
      <c r="H97" s="105">
        <f>SUMIFS('Plan prihoda za unos u SAP'!$I$3:$I$500,'Plan prihoda za unos u SAP'!$C$3:$C$500,"=41",'Plan prihoda za unos u SAP'!$K$3:$K$500,"=639")</f>
        <v>0</v>
      </c>
      <c r="I97" s="105">
        <f>SUMIFS('Plan prihoda za unos u SAP'!$I$3:$I$500,'Plan prihoda za unos u SAP'!$C$3:$C$500,"=43",'Plan prihoda za unos u SAP'!$K$3:$K$500,"=639")</f>
        <v>0</v>
      </c>
      <c r="J97" s="105">
        <f>SUMIFS('Plan prihoda za unos u SAP'!$I$3:$I$500,'Plan prihoda za unos u SAP'!$C$3:$C$500,"=51",'Plan prihoda za unos u SAP'!$K$3:$K$500,"=639")</f>
        <v>0</v>
      </c>
      <c r="K97" s="105">
        <f>SUMIFS('Plan prihoda za unos u SAP'!$I$3:$I$500,'Plan prihoda za unos u SAP'!$C$3:$C$500,"=52",'Plan prihoda za unos u SAP'!$K$3:$K$500,"=639")</f>
        <v>9850000</v>
      </c>
      <c r="L97" s="105">
        <f>SUMIFS('Plan prihoda za unos u SAP'!$I$3:$I$500,'Plan prihoda za unos u SAP'!$C$3:$C$500,"=552",'Plan prihoda za unos u SAP'!$K$3:$K$500,"=639")</f>
        <v>0</v>
      </c>
      <c r="M97" s="105">
        <f>SUMIFS('Plan prihoda za unos u SAP'!$I$3:$I$500,'Plan prihoda za unos u SAP'!$C$3:$C$500,"=559",'Plan prihoda za unos u SAP'!$K$3:$K$500,"=639")</f>
        <v>0</v>
      </c>
      <c r="N97" s="105">
        <f>SUMIFS('Plan prihoda za unos u SAP'!$I$3:$I$500,'Plan prihoda za unos u SAP'!$C$3:$C$500,"=561",'Plan prihoda za unos u SAP'!$K$3:$K$500,"=639")</f>
        <v>0</v>
      </c>
      <c r="O97" s="105">
        <f>SUMIFS('Plan prihoda za unos u SAP'!$I$3:$I$500,'Plan prihoda za unos u SAP'!$C$3:$C$500,"=563",'Plan prihoda za unos u SAP'!$K$3:$K$500,"=639")</f>
        <v>0</v>
      </c>
      <c r="P97" s="105">
        <f>SUMIFS('Plan prihoda za unos u SAP'!$I$3:$I$500,'Plan prihoda za unos u SAP'!$C$3:$C$500,"=573",'Plan prihoda za unos u SAP'!$K$3:$K$500,"=639")</f>
        <v>0</v>
      </c>
      <c r="Q97" s="105">
        <f>SUMIFS('Plan prihoda za unos u SAP'!$I$3:$I$500,'Plan prihoda za unos u SAP'!$C$3:$C$500,"=575",'Plan prihoda za unos u SAP'!$K$3:$K$500,"=639")</f>
        <v>0</v>
      </c>
      <c r="R97" s="105">
        <f>SUMIFS('Plan prihoda za unos u SAP'!$I$3:$I$500,'Plan prihoda za unos u SAP'!$C$3:$C$500,"=576",'Plan prihoda za unos u SAP'!$K$3:$K$500,"=639")</f>
        <v>0</v>
      </c>
      <c r="S97" s="105">
        <f>SUMIFS('Plan prihoda za unos u SAP'!$I$3:$I$500,'Plan prihoda za unos u SAP'!$C$3:$C$500,"=581",'Plan prihoda za unos u SAP'!$K$3:$K$500,"=639")</f>
        <v>0</v>
      </c>
      <c r="T97" s="105">
        <f>SUMIFS('Plan prihoda za unos u SAP'!$I$3:$I$500,'Plan prihoda za unos u SAP'!$C$3:$C$500,"=61",'Plan prihoda za unos u SAP'!$K$3:$K$500,"=639")</f>
        <v>0</v>
      </c>
      <c r="U97" s="105">
        <f>SUMIFS('Plan prihoda za unos u SAP'!$I$3:$I$500,'Plan prihoda za unos u SAP'!$C$3:$C$500,"=63",'Plan prihoda za unos u SAP'!$K$3:$K$500,"=639")</f>
        <v>0</v>
      </c>
      <c r="V97" s="105">
        <f>SUMIFS('Plan prihoda za unos u SAP'!$I$3:$I$500,'Plan prihoda za unos u SAP'!$C$3:$C$500,"=71",'Plan prihoda za unos u SAP'!$K$3:$K$500,"=639")</f>
        <v>0</v>
      </c>
      <c r="W97" s="105">
        <f>SUMIFS('Plan prihoda za unos u SAP'!$I$3:$I$500,'Plan prihoda za unos u SAP'!$C$3:$C$500,"=81",'Plan prihoda za unos u SAP'!$K$3:$K$500,"=639")</f>
        <v>0</v>
      </c>
      <c r="X97" s="80"/>
      <c r="Y97" s="80"/>
      <c r="Z97" s="80"/>
      <c r="AA97" s="80"/>
      <c r="AB97" s="80"/>
      <c r="AC97" s="80"/>
    </row>
    <row r="98" spans="1:29" ht="12.75" customHeight="1">
      <c r="A98" s="80">
        <v>2023</v>
      </c>
      <c r="B98" s="88" t="s">
        <v>3380</v>
      </c>
      <c r="C98" s="89" t="s">
        <v>3381</v>
      </c>
      <c r="D98" s="90">
        <f t="shared" si="17"/>
        <v>0</v>
      </c>
      <c r="E98" s="105">
        <f>SUMIFS('Plan prihoda za unos u SAP'!$I$3:$I$500,'Plan prihoda za unos u SAP'!$C$3:$C$500,"=11",'Plan prihoda za unos u SAP'!$K$3:$K$500,"=641")</f>
        <v>0</v>
      </c>
      <c r="F98" s="105">
        <f>SUMIFS('Plan prihoda za unos u SAP'!$I$3:$I$500,'Plan prihoda za unos u SAP'!$C$3:$C$500,"=12",'Plan prihoda za unos u SAP'!$K$3:$K$500,"=641")</f>
        <v>0</v>
      </c>
      <c r="G98" s="105">
        <f>SUMIFS('Plan prihoda za unos u SAP'!$I$3:$I$500,'Plan prihoda za unos u SAP'!$C$3:$C$500,"=31",'Plan prihoda za unos u SAP'!$K$3:$K$500,"=641")</f>
        <v>0</v>
      </c>
      <c r="H98" s="105">
        <f>SUMIFS('Plan prihoda za unos u SAP'!$I$3:$I$500,'Plan prihoda za unos u SAP'!$C$3:$C$500,"=41",'Plan prihoda za unos u SAP'!$K$3:$K$500,"=641")</f>
        <v>0</v>
      </c>
      <c r="I98" s="105">
        <f>SUMIFS('Plan prihoda za unos u SAP'!$I$3:$I$500,'Plan prihoda za unos u SAP'!$C$3:$C$500,"=43",'Plan prihoda za unos u SAP'!$K$3:$K$500,"=641")</f>
        <v>0</v>
      </c>
      <c r="J98" s="105">
        <f>SUMIFS('Plan prihoda za unos u SAP'!$I$3:$I$500,'Plan prihoda za unos u SAP'!$C$3:$C$500,"=51",'Plan prihoda za unos u SAP'!$K$3:$K$500,"=641")</f>
        <v>0</v>
      </c>
      <c r="K98" s="105">
        <f>SUMIFS('Plan prihoda za unos u SAP'!$I$3:$I$500,'Plan prihoda za unos u SAP'!$C$3:$C$500,"=52",'Plan prihoda za unos u SAP'!$K$3:$K$500,"=641")</f>
        <v>0</v>
      </c>
      <c r="L98" s="105">
        <f>SUMIFS('Plan prihoda za unos u SAP'!$I$3:$I$500,'Plan prihoda za unos u SAP'!$C$3:$C$500,"=552",'Plan prihoda za unos u SAP'!$K$3:$K$500,"=641")</f>
        <v>0</v>
      </c>
      <c r="M98" s="105">
        <f>SUMIFS('Plan prihoda za unos u SAP'!$I$3:$I$500,'Plan prihoda za unos u SAP'!$C$3:$C$500,"=559",'Plan prihoda za unos u SAP'!$K$3:$K$500,"=641")</f>
        <v>0</v>
      </c>
      <c r="N98" s="105">
        <f>SUMIFS('Plan prihoda za unos u SAP'!$I$3:$I$500,'Plan prihoda za unos u SAP'!$C$3:$C$500,"=561",'Plan prihoda za unos u SAP'!$K$3:$K$500,"=641")</f>
        <v>0</v>
      </c>
      <c r="O98" s="105">
        <f>SUMIFS('Plan prihoda za unos u SAP'!$I$3:$I$500,'Plan prihoda za unos u SAP'!$C$3:$C$500,"=563",'Plan prihoda za unos u SAP'!$K$3:$K$500,"=641")</f>
        <v>0</v>
      </c>
      <c r="P98" s="105">
        <f>SUMIFS('Plan prihoda za unos u SAP'!$I$3:$I$500,'Plan prihoda za unos u SAP'!$C$3:$C$500,"=573",'Plan prihoda za unos u SAP'!$K$3:$K$500,"=641")</f>
        <v>0</v>
      </c>
      <c r="Q98" s="105">
        <f>SUMIFS('Plan prihoda za unos u SAP'!$I$3:$I$500,'Plan prihoda za unos u SAP'!$C$3:$C$500,"=575",'Plan prihoda za unos u SAP'!$K$3:$K$500,"=641")</f>
        <v>0</v>
      </c>
      <c r="R98" s="105">
        <f>SUMIFS('Plan prihoda za unos u SAP'!$I$3:$I$500,'Plan prihoda za unos u SAP'!$C$3:$C$500,"=576",'Plan prihoda za unos u SAP'!$K$3:$K$500,"=641")</f>
        <v>0</v>
      </c>
      <c r="S98" s="105">
        <f>SUMIFS('Plan prihoda za unos u SAP'!$I$3:$I$500,'Plan prihoda za unos u SAP'!$C$3:$C$500,"=581",'Plan prihoda za unos u SAP'!$K$3:$K$500,"=641")</f>
        <v>0</v>
      </c>
      <c r="T98" s="105">
        <f>SUMIFS('Plan prihoda za unos u SAP'!$I$3:$I$500,'Plan prihoda za unos u SAP'!$C$3:$C$500,"=61",'Plan prihoda za unos u SAP'!$K$3:$K$500,"=641")</f>
        <v>0</v>
      </c>
      <c r="U98" s="105">
        <f>SUMIFS('Plan prihoda za unos u SAP'!$I$3:$I$500,'Plan prihoda za unos u SAP'!$C$3:$C$500,"=63",'Plan prihoda za unos u SAP'!$K$3:$K$500,"=641")</f>
        <v>0</v>
      </c>
      <c r="V98" s="105">
        <f>SUMIFS('Plan prihoda za unos u SAP'!$I$3:$I$500,'Plan prihoda za unos u SAP'!$C$3:$C$500,"=71",'Plan prihoda za unos u SAP'!$K$3:$K$500,"=641")</f>
        <v>0</v>
      </c>
      <c r="W98" s="105">
        <f>SUMIFS('Plan prihoda za unos u SAP'!$I$3:$I$500,'Plan prihoda za unos u SAP'!$C$3:$C$500,"=81",'Plan prihoda za unos u SAP'!$K$3:$K$500,"=641")</f>
        <v>0</v>
      </c>
      <c r="X98" s="80"/>
      <c r="Y98" s="80"/>
      <c r="Z98" s="80"/>
      <c r="AA98" s="80"/>
      <c r="AB98" s="80"/>
      <c r="AC98" s="80"/>
    </row>
    <row r="99" spans="1:29" ht="12.75" customHeight="1">
      <c r="A99" s="80">
        <v>2023</v>
      </c>
      <c r="B99" s="88" t="s">
        <v>3382</v>
      </c>
      <c r="C99" s="89" t="s">
        <v>3383</v>
      </c>
      <c r="D99" s="90">
        <f t="shared" si="17"/>
        <v>0</v>
      </c>
      <c r="E99" s="105">
        <f>SUMIFS('Plan prihoda za unos u SAP'!$I$3:$I$500,'Plan prihoda za unos u SAP'!$C$3:$C$500,"=11",'Plan prihoda za unos u SAP'!$K$3:$K$500,"=642")</f>
        <v>0</v>
      </c>
      <c r="F99" s="105">
        <f>SUMIFS('Plan prihoda za unos u SAP'!$I$3:$I$500,'Plan prihoda za unos u SAP'!$C$3:$C$500,"=12",'Plan prihoda za unos u SAP'!$K$3:$K$500,"=642")</f>
        <v>0</v>
      </c>
      <c r="G99" s="105">
        <f>SUMIFS('Plan prihoda za unos u SAP'!$I$3:$I$500,'Plan prihoda za unos u SAP'!$C$3:$C$500,"=31",'Plan prihoda za unos u SAP'!$K$3:$K$500,"=642")</f>
        <v>0</v>
      </c>
      <c r="H99" s="105">
        <f>SUMIFS('Plan prihoda za unos u SAP'!$I$3:$I$500,'Plan prihoda za unos u SAP'!$C$3:$C$500,"=41",'Plan prihoda za unos u SAP'!$K$3:$K$500,"=642")</f>
        <v>0</v>
      </c>
      <c r="I99" s="105">
        <f>SUMIFS('Plan prihoda za unos u SAP'!$I$3:$I$500,'Plan prihoda za unos u SAP'!$C$3:$C$500,"=43",'Plan prihoda za unos u SAP'!$K$3:$K$500,"=642")</f>
        <v>0</v>
      </c>
      <c r="J99" s="105">
        <f>SUMIFS('Plan prihoda za unos u SAP'!$I$3:$I$500,'Plan prihoda za unos u SAP'!$C$3:$C$500,"=51",'Plan prihoda za unos u SAP'!$K$3:$K$500,"=642")</f>
        <v>0</v>
      </c>
      <c r="K99" s="105">
        <f>SUMIFS('Plan prihoda za unos u SAP'!$I$3:$I$500,'Plan prihoda za unos u SAP'!$C$3:$C$500,"=52",'Plan prihoda za unos u SAP'!$K$3:$K$500,"=642")</f>
        <v>0</v>
      </c>
      <c r="L99" s="105">
        <f>SUMIFS('Plan prihoda za unos u SAP'!$I$3:$I$500,'Plan prihoda za unos u SAP'!$C$3:$C$500,"=552",'Plan prihoda za unos u SAP'!$K$3:$K$500,"=642")</f>
        <v>0</v>
      </c>
      <c r="M99" s="105">
        <f>SUMIFS('Plan prihoda za unos u SAP'!$I$3:$I$500,'Plan prihoda za unos u SAP'!$C$3:$C$500,"=559",'Plan prihoda za unos u SAP'!$K$3:$K$500,"=642")</f>
        <v>0</v>
      </c>
      <c r="N99" s="105">
        <f>SUMIFS('Plan prihoda za unos u SAP'!$I$3:$I$500,'Plan prihoda za unos u SAP'!$C$3:$C$500,"=561",'Plan prihoda za unos u SAP'!$K$3:$K$500,"=642")</f>
        <v>0</v>
      </c>
      <c r="O99" s="105">
        <f>SUMIFS('Plan prihoda za unos u SAP'!$I$3:$I$500,'Plan prihoda za unos u SAP'!$C$3:$C$500,"=563",'Plan prihoda za unos u SAP'!$K$3:$K$500,"=642")</f>
        <v>0</v>
      </c>
      <c r="P99" s="105">
        <f>SUMIFS('Plan prihoda za unos u SAP'!$I$3:$I$500,'Plan prihoda za unos u SAP'!$C$3:$C$500,"=573",'Plan prihoda za unos u SAP'!$K$3:$K$500,"=642")</f>
        <v>0</v>
      </c>
      <c r="Q99" s="105">
        <f>SUMIFS('Plan prihoda za unos u SAP'!$I$3:$I$500,'Plan prihoda za unos u SAP'!$C$3:$C$500,"=575",'Plan prihoda za unos u SAP'!$K$3:$K$500,"=642")</f>
        <v>0</v>
      </c>
      <c r="R99" s="105">
        <f>SUMIFS('Plan prihoda za unos u SAP'!$I$3:$I$500,'Plan prihoda za unos u SAP'!$C$3:$C$500,"=576",'Plan prihoda za unos u SAP'!$K$3:$K$500,"=642")</f>
        <v>0</v>
      </c>
      <c r="S99" s="105">
        <f>SUMIFS('Plan prihoda za unos u SAP'!$I$3:$I$500,'Plan prihoda za unos u SAP'!$C$3:$C$500,"=581",'Plan prihoda za unos u SAP'!$K$3:$K$500,"=642")</f>
        <v>0</v>
      </c>
      <c r="T99" s="105">
        <f>SUMIFS('Plan prihoda za unos u SAP'!$I$3:$I$500,'Plan prihoda za unos u SAP'!$C$3:$C$500,"=61",'Plan prihoda za unos u SAP'!$K$3:$K$500,"=642")</f>
        <v>0</v>
      </c>
      <c r="U99" s="105">
        <f>SUMIFS('Plan prihoda za unos u SAP'!$I$3:$I$500,'Plan prihoda za unos u SAP'!$C$3:$C$500,"=63",'Plan prihoda za unos u SAP'!$K$3:$K$500,"=642")</f>
        <v>0</v>
      </c>
      <c r="V99" s="105">
        <f>SUMIFS('Plan prihoda za unos u SAP'!$I$3:$I$500,'Plan prihoda za unos u SAP'!$C$3:$C$500,"=71",'Plan prihoda za unos u SAP'!$K$3:$K$500,"=642")</f>
        <v>0</v>
      </c>
      <c r="W99" s="105">
        <f>SUMIFS('Plan prihoda za unos u SAP'!$I$3:$I$500,'Plan prihoda za unos u SAP'!$C$3:$C$500,"=81",'Plan prihoda za unos u SAP'!$K$3:$K$500,"=642")</f>
        <v>0</v>
      </c>
      <c r="X99" s="80"/>
      <c r="Y99" s="80"/>
      <c r="Z99" s="80"/>
      <c r="AA99" s="80"/>
      <c r="AB99" s="80"/>
      <c r="AC99" s="80"/>
    </row>
    <row r="100" spans="1:29" ht="12.75" customHeight="1">
      <c r="A100" s="80">
        <v>2023</v>
      </c>
      <c r="B100" s="95" t="s">
        <v>3384</v>
      </c>
      <c r="C100" s="89" t="s">
        <v>3385</v>
      </c>
      <c r="D100" s="90">
        <f t="shared" si="17"/>
        <v>0</v>
      </c>
      <c r="E100" s="105">
        <f>SUMIFS('Plan prihoda za unos u SAP'!$I$3:$I$500,'Plan prihoda za unos u SAP'!$C$3:$C$500,"=11",'Plan prihoda za unos u SAP'!$K$3:$K$500,"=651")</f>
        <v>0</v>
      </c>
      <c r="F100" s="105">
        <f>SUMIFS('Plan prihoda za unos u SAP'!$I$3:$I$500,'Plan prihoda za unos u SAP'!$C$3:$C$500,"=12",'Plan prihoda za unos u SAP'!$K$3:$K$500,"=651")</f>
        <v>0</v>
      </c>
      <c r="G100" s="105">
        <f>SUMIFS('Plan prihoda za unos u SAP'!$I$3:$I$500,'Plan prihoda za unos u SAP'!$C$3:$C$500,"=31",'Plan prihoda za unos u SAP'!$K$3:$K$500,"=651")</f>
        <v>0</v>
      </c>
      <c r="H100" s="105">
        <f>SUMIFS('Plan prihoda za unos u SAP'!$I$3:$I$500,'Plan prihoda za unos u SAP'!$C$3:$C$500,"=41",'Plan prihoda za unos u SAP'!$K$3:$K$500,"=651")</f>
        <v>0</v>
      </c>
      <c r="I100" s="105">
        <f>SUMIFS('Plan prihoda za unos u SAP'!$I$3:$I$500,'Plan prihoda za unos u SAP'!$C$3:$C$500,"=43",'Plan prihoda za unos u SAP'!$K$3:$K$500,"=651")</f>
        <v>0</v>
      </c>
      <c r="J100" s="105">
        <f>SUMIFS('Plan prihoda za unos u SAP'!$I$3:$I$500,'Plan prihoda za unos u SAP'!$C$3:$C$500,"=51",'Plan prihoda za unos u SAP'!$K$3:$K$500,"=651")</f>
        <v>0</v>
      </c>
      <c r="K100" s="105">
        <f>SUMIFS('Plan prihoda za unos u SAP'!$I$3:$I$500,'Plan prihoda za unos u SAP'!$C$3:$C$500,"=52",'Plan prihoda za unos u SAP'!$K$3:$K$500,"=651")</f>
        <v>0</v>
      </c>
      <c r="L100" s="105">
        <f>SUMIFS('Plan prihoda za unos u SAP'!$I$3:$I$500,'Plan prihoda za unos u SAP'!$C$3:$C$500,"=552",'Plan prihoda za unos u SAP'!$K$3:$K$500,"=651")</f>
        <v>0</v>
      </c>
      <c r="M100" s="105">
        <f>SUMIFS('Plan prihoda za unos u SAP'!$I$3:$I$500,'Plan prihoda za unos u SAP'!$C$3:$C$500,"=559",'Plan prihoda za unos u SAP'!$K$3:$K$500,"=651")</f>
        <v>0</v>
      </c>
      <c r="N100" s="105">
        <f>SUMIFS('Plan prihoda za unos u SAP'!$I$3:$I$500,'Plan prihoda za unos u SAP'!$C$3:$C$500,"=561",'Plan prihoda za unos u SAP'!$K$3:$K$500,"=651")</f>
        <v>0</v>
      </c>
      <c r="O100" s="105">
        <f>SUMIFS('Plan prihoda za unos u SAP'!$I$3:$I$500,'Plan prihoda za unos u SAP'!$C$3:$C$500,"=563",'Plan prihoda za unos u SAP'!$K$3:$K$500,"=651")</f>
        <v>0</v>
      </c>
      <c r="P100" s="105">
        <f>SUMIFS('Plan prihoda za unos u SAP'!$I$3:$I$500,'Plan prihoda za unos u SAP'!$C$3:$C$500,"=573",'Plan prihoda za unos u SAP'!$K$3:$K$500,"=651")</f>
        <v>0</v>
      </c>
      <c r="Q100" s="105">
        <f>SUMIFS('Plan prihoda za unos u SAP'!$I$3:$I$500,'Plan prihoda za unos u SAP'!$C$3:$C$500,"=575",'Plan prihoda za unos u SAP'!$K$3:$K$500,"=651")</f>
        <v>0</v>
      </c>
      <c r="R100" s="105">
        <f>SUMIFS('Plan prihoda za unos u SAP'!$I$3:$I$500,'Plan prihoda za unos u SAP'!$C$3:$C$500,"=576",'Plan prihoda za unos u SAP'!$K$3:$K$500,"=651")</f>
        <v>0</v>
      </c>
      <c r="S100" s="105">
        <f>SUMIFS('Plan prihoda za unos u SAP'!$I$3:$I$500,'Plan prihoda za unos u SAP'!$C$3:$C$500,"=581",'Plan prihoda za unos u SAP'!$K$3:$K$500,"=651")</f>
        <v>0</v>
      </c>
      <c r="T100" s="105">
        <f>SUMIFS('Plan prihoda za unos u SAP'!$I$3:$I$500,'Plan prihoda za unos u SAP'!$C$3:$C$500,"=61",'Plan prihoda za unos u SAP'!$K$3:$K$500,"=651")</f>
        <v>0</v>
      </c>
      <c r="U100" s="105">
        <f>SUMIFS('Plan prihoda za unos u SAP'!$I$3:$I$500,'Plan prihoda za unos u SAP'!$C$3:$C$500,"=63",'Plan prihoda za unos u SAP'!$K$3:$K$500,"=651")</f>
        <v>0</v>
      </c>
      <c r="V100" s="105">
        <f>SUMIFS('Plan prihoda za unos u SAP'!$I$3:$I$500,'Plan prihoda za unos u SAP'!$C$3:$C$500,"=71",'Plan prihoda za unos u SAP'!$K$3:$K$500,"=651")</f>
        <v>0</v>
      </c>
      <c r="W100" s="105">
        <f>SUMIFS('Plan prihoda za unos u SAP'!$I$3:$I$500,'Plan prihoda za unos u SAP'!$C$3:$C$500,"=81",'Plan prihoda za unos u SAP'!$K$3:$K$500,"=651")</f>
        <v>0</v>
      </c>
      <c r="X100" s="80"/>
      <c r="Y100" s="80"/>
      <c r="Z100" s="80"/>
      <c r="AA100" s="80"/>
      <c r="AB100" s="80"/>
      <c r="AC100" s="80"/>
    </row>
    <row r="101" spans="1:29" ht="12.75" customHeight="1">
      <c r="A101" s="80">
        <v>2023</v>
      </c>
      <c r="B101" s="88" t="s">
        <v>3386</v>
      </c>
      <c r="C101" s="89" t="s">
        <v>3387</v>
      </c>
      <c r="D101" s="90">
        <f t="shared" si="17"/>
        <v>25500000</v>
      </c>
      <c r="E101" s="105">
        <f>SUMIFS('Plan prihoda za unos u SAP'!$I$3:$I$500,'Plan prihoda za unos u SAP'!$C$3:$C$500,"=11",'Plan prihoda za unos u SAP'!$K$3:$K$500,"=652")</f>
        <v>0</v>
      </c>
      <c r="F101" s="105">
        <f>SUMIFS('Plan prihoda za unos u SAP'!$I$3:$I$500,'Plan prihoda za unos u SAP'!$C$3:$C$500,"=12",'Plan prihoda za unos u SAP'!$K$3:$K$500,"=652")</f>
        <v>0</v>
      </c>
      <c r="G101" s="105">
        <f>SUMIFS('Plan prihoda za unos u SAP'!$I$3:$I$500,'Plan prihoda za unos u SAP'!$C$3:$C$500,"=31",'Plan prihoda za unos u SAP'!$K$3:$K$500,"=652")</f>
        <v>0</v>
      </c>
      <c r="H101" s="105">
        <f>SUMIFS('Plan prihoda za unos u SAP'!$I$3:$I$500,'Plan prihoda za unos u SAP'!$C$3:$C$500,"=41",'Plan prihoda za unos u SAP'!$K$3:$K$500,"=652")</f>
        <v>0</v>
      </c>
      <c r="I101" s="105">
        <f>SUMIFS('Plan prihoda za unos u SAP'!$I$3:$I$500,'Plan prihoda za unos u SAP'!$C$3:$C$500,"=43",'Plan prihoda za unos u SAP'!$K$3:$K$500,"=652")</f>
        <v>25500000</v>
      </c>
      <c r="J101" s="105">
        <f>SUMIFS('Plan prihoda za unos u SAP'!$I$3:$I$500,'Plan prihoda za unos u SAP'!$C$3:$C$500,"=51",'Plan prihoda za unos u SAP'!$K$3:$K$500,"=652")</f>
        <v>0</v>
      </c>
      <c r="K101" s="105">
        <f>SUMIFS('Plan prihoda za unos u SAP'!$I$3:$I$500,'Plan prihoda za unos u SAP'!$C$3:$C$500,"=52",'Plan prihoda za unos u SAP'!$K$3:$K$500,"=652")</f>
        <v>0</v>
      </c>
      <c r="L101" s="105">
        <f>SUMIFS('Plan prihoda za unos u SAP'!$I$3:$I$500,'Plan prihoda za unos u SAP'!$C$3:$C$500,"=552",'Plan prihoda za unos u SAP'!$K$3:$K$500,"=652")</f>
        <v>0</v>
      </c>
      <c r="M101" s="105">
        <f>SUMIFS('Plan prihoda za unos u SAP'!$I$3:$I$500,'Plan prihoda za unos u SAP'!$C$3:$C$500,"=559",'Plan prihoda za unos u SAP'!$K$3:$K$500,"=652")</f>
        <v>0</v>
      </c>
      <c r="N101" s="105">
        <f>SUMIFS('Plan prihoda za unos u SAP'!$I$3:$I$500,'Plan prihoda za unos u SAP'!$C$3:$C$500,"=561",'Plan prihoda za unos u SAP'!$K$3:$K$500,"=652")</f>
        <v>0</v>
      </c>
      <c r="O101" s="105">
        <f>SUMIFS('Plan prihoda za unos u SAP'!$I$3:$I$500,'Plan prihoda za unos u SAP'!$C$3:$C$500,"=563",'Plan prihoda za unos u SAP'!$K$3:$K$500,"=652")</f>
        <v>0</v>
      </c>
      <c r="P101" s="105">
        <f>SUMIFS('Plan prihoda za unos u SAP'!$I$3:$I$500,'Plan prihoda za unos u SAP'!$C$3:$C$500,"=573",'Plan prihoda za unos u SAP'!$K$3:$K$500,"=652")</f>
        <v>0</v>
      </c>
      <c r="Q101" s="105">
        <f>SUMIFS('Plan prihoda za unos u SAP'!$I$3:$I$500,'Plan prihoda za unos u SAP'!$C$3:$C$500,"=575",'Plan prihoda za unos u SAP'!$K$3:$K$500,"=652")</f>
        <v>0</v>
      </c>
      <c r="R101" s="105">
        <f>SUMIFS('Plan prihoda za unos u SAP'!$I$3:$I$500,'Plan prihoda za unos u SAP'!$C$3:$C$500,"=576",'Plan prihoda za unos u SAP'!$K$3:$K$500,"=652")</f>
        <v>0</v>
      </c>
      <c r="S101" s="105">
        <f>SUMIFS('Plan prihoda za unos u SAP'!$I$3:$I$500,'Plan prihoda za unos u SAP'!$C$3:$C$500,"=581",'Plan prihoda za unos u SAP'!$K$3:$K$500,"=652")</f>
        <v>0</v>
      </c>
      <c r="T101" s="105">
        <f>SUMIFS('Plan prihoda za unos u SAP'!$I$3:$I$500,'Plan prihoda za unos u SAP'!$C$3:$C$500,"=61",'Plan prihoda za unos u SAP'!$K$3:$K$500,"=652")</f>
        <v>0</v>
      </c>
      <c r="U101" s="105">
        <f>SUMIFS('Plan prihoda za unos u SAP'!$I$3:$I$500,'Plan prihoda za unos u SAP'!$C$3:$C$500,"=63",'Plan prihoda za unos u SAP'!$K$3:$K$500,"=652")</f>
        <v>0</v>
      </c>
      <c r="V101" s="105">
        <f>SUMIFS('Plan prihoda za unos u SAP'!$I$3:$I$500,'Plan prihoda za unos u SAP'!$C$3:$C$500,"=71",'Plan prihoda za unos u SAP'!$K$3:$K$500,"=652")</f>
        <v>0</v>
      </c>
      <c r="W101" s="105">
        <f>SUMIFS('Plan prihoda za unos u SAP'!$I$3:$I$500,'Plan prihoda za unos u SAP'!$C$3:$C$500,"=81",'Plan prihoda za unos u SAP'!$K$3:$K$500,"=652")</f>
        <v>0</v>
      </c>
      <c r="X101" s="80"/>
      <c r="Y101" s="80"/>
      <c r="Z101" s="80"/>
      <c r="AA101" s="80"/>
      <c r="AB101" s="80"/>
      <c r="AC101" s="80"/>
    </row>
    <row r="102" spans="1:29" ht="12.75" customHeight="1">
      <c r="A102" s="80">
        <v>2023</v>
      </c>
      <c r="B102" s="88" t="s">
        <v>3388</v>
      </c>
      <c r="C102" s="89" t="s">
        <v>3389</v>
      </c>
      <c r="D102" s="90">
        <f t="shared" si="17"/>
        <v>15652192</v>
      </c>
      <c r="E102" s="105">
        <f>SUMIFS('Plan prihoda za unos u SAP'!$I$3:$I$500,'Plan prihoda za unos u SAP'!$C$3:$C$500,"=11",'Plan prihoda za unos u SAP'!$K$3:$K$500,"=661")</f>
        <v>0</v>
      </c>
      <c r="F102" s="105">
        <f>SUMIFS('Plan prihoda za unos u SAP'!$I$3:$I$500,'Plan prihoda za unos u SAP'!$C$3:$C$500,"=12",'Plan prihoda za unos u SAP'!$K$3:$K$500,"=661")</f>
        <v>0</v>
      </c>
      <c r="G102" s="105">
        <f>SUMIFS('Plan prihoda za unos u SAP'!$I$3:$I$500,'Plan prihoda za unos u SAP'!$C$3:$C$500,"=31",'Plan prihoda za unos u SAP'!$K$3:$K$500,"=661")</f>
        <v>15652192</v>
      </c>
      <c r="H102" s="105">
        <f>SUMIFS('Plan prihoda za unos u SAP'!$I$3:$I$500,'Plan prihoda za unos u SAP'!$C$3:$C$500,"=41",'Plan prihoda za unos u SAP'!$K$3:$K$500,"=661")</f>
        <v>0</v>
      </c>
      <c r="I102" s="105">
        <f>SUMIFS('Plan prihoda za unos u SAP'!$I$3:$I$500,'Plan prihoda za unos u SAP'!$C$3:$C$500,"=43",'Plan prihoda za unos u SAP'!$K$3:$K$500,"=661")</f>
        <v>0</v>
      </c>
      <c r="J102" s="105">
        <f>SUMIFS('Plan prihoda za unos u SAP'!$I$3:$I$500,'Plan prihoda za unos u SAP'!$C$3:$C$500,"=51",'Plan prihoda za unos u SAP'!$K$3:$K$500,"=661")</f>
        <v>0</v>
      </c>
      <c r="K102" s="105">
        <f>SUMIFS('Plan prihoda za unos u SAP'!$I$3:$I$500,'Plan prihoda za unos u SAP'!$C$3:$C$500,"=52",'Plan prihoda za unos u SAP'!$K$3:$K$500,"=661")</f>
        <v>0</v>
      </c>
      <c r="L102" s="105">
        <f>SUMIFS('Plan prihoda za unos u SAP'!$I$3:$I$500,'Plan prihoda za unos u SAP'!$C$3:$C$500,"=552",'Plan prihoda za unos u SAP'!$K$3:$K$500,"=661")</f>
        <v>0</v>
      </c>
      <c r="M102" s="105">
        <f>SUMIFS('Plan prihoda za unos u SAP'!$I$3:$I$500,'Plan prihoda za unos u SAP'!$C$3:$C$500,"=559",'Plan prihoda za unos u SAP'!$K$3:$K$500,"=661")</f>
        <v>0</v>
      </c>
      <c r="N102" s="105">
        <f>SUMIFS('Plan prihoda za unos u SAP'!$I$3:$I$500,'Plan prihoda za unos u SAP'!$C$3:$C$500,"=561",'Plan prihoda za unos u SAP'!$K$3:$K$500,"=661")</f>
        <v>0</v>
      </c>
      <c r="O102" s="105">
        <f>SUMIFS('Plan prihoda za unos u SAP'!$I$3:$I$500,'Plan prihoda za unos u SAP'!$C$3:$C$500,"=563",'Plan prihoda za unos u SAP'!$K$3:$K$500,"=661")</f>
        <v>0</v>
      </c>
      <c r="P102" s="105">
        <f>SUMIFS('Plan prihoda za unos u SAP'!$I$3:$I$500,'Plan prihoda za unos u SAP'!$C$3:$C$500,"=573",'Plan prihoda za unos u SAP'!$K$3:$K$500,"=661")</f>
        <v>0</v>
      </c>
      <c r="Q102" s="105">
        <f>SUMIFS('Plan prihoda za unos u SAP'!$I$3:$I$500,'Plan prihoda za unos u SAP'!$C$3:$C$500,"=575",'Plan prihoda za unos u SAP'!$K$3:$K$500,"=661")</f>
        <v>0</v>
      </c>
      <c r="R102" s="105">
        <f>SUMIFS('Plan prihoda za unos u SAP'!$I$3:$I$500,'Plan prihoda za unos u SAP'!$C$3:$C$500,"=576",'Plan prihoda za unos u SAP'!$K$3:$K$500,"=661")</f>
        <v>0</v>
      </c>
      <c r="S102" s="105">
        <f>SUMIFS('Plan prihoda za unos u SAP'!$I$3:$I$500,'Plan prihoda za unos u SAP'!$C$3:$C$500,"=581",'Plan prihoda za unos u SAP'!$K$3:$K$500,"=661")</f>
        <v>0</v>
      </c>
      <c r="T102" s="105">
        <f>SUMIFS('Plan prihoda za unos u SAP'!$I$3:$I$500,'Plan prihoda za unos u SAP'!$C$3:$C$500,"=61",'Plan prihoda za unos u SAP'!$K$3:$K$500,"=661")</f>
        <v>0</v>
      </c>
      <c r="U102" s="105">
        <f>SUMIFS('Plan prihoda za unos u SAP'!$I$3:$I$500,'Plan prihoda za unos u SAP'!$C$3:$C$500,"=63",'Plan prihoda za unos u SAP'!$K$3:$K$500,"=661")</f>
        <v>0</v>
      </c>
      <c r="V102" s="105">
        <f>SUMIFS('Plan prihoda za unos u SAP'!$I$3:$I$500,'Plan prihoda za unos u SAP'!$C$3:$C$500,"=71",'Plan prihoda za unos u SAP'!$K$3:$K$500,"=661")</f>
        <v>0</v>
      </c>
      <c r="W102" s="105">
        <f>SUMIFS('Plan prihoda za unos u SAP'!$I$3:$I$500,'Plan prihoda za unos u SAP'!$C$3:$C$500,"=81",'Plan prihoda za unos u SAP'!$K$3:$K$500,"=661")</f>
        <v>0</v>
      </c>
      <c r="X102" s="80"/>
      <c r="Y102" s="80"/>
      <c r="Z102" s="80"/>
      <c r="AA102" s="80"/>
      <c r="AB102" s="80"/>
      <c r="AC102" s="80"/>
    </row>
    <row r="103" spans="1:29" ht="12.75" customHeight="1">
      <c r="A103" s="80">
        <v>2023</v>
      </c>
      <c r="B103" s="88" t="s">
        <v>3390</v>
      </c>
      <c r="C103" s="89" t="s">
        <v>3391</v>
      </c>
      <c r="D103" s="90">
        <f t="shared" si="17"/>
        <v>100000</v>
      </c>
      <c r="E103" s="105">
        <f>SUMIFS('Plan prihoda za unos u SAP'!$I$3:$I$500,'Plan prihoda za unos u SAP'!$C$3:$C$500,"=11",'Plan prihoda za unos u SAP'!$K$3:$K$500,"=663")</f>
        <v>0</v>
      </c>
      <c r="F103" s="105">
        <f>SUMIFS('Plan prihoda za unos u SAP'!$I$3:$I$500,'Plan prihoda za unos u SAP'!$C$3:$C$500,"=12",'Plan prihoda za unos u SAP'!$K$3:$K$500,"=663")</f>
        <v>0</v>
      </c>
      <c r="G103" s="105">
        <f>SUMIFS('Plan prihoda za unos u SAP'!$I$3:$I$500,'Plan prihoda za unos u SAP'!$C$3:$C$500,"=31",'Plan prihoda za unos u SAP'!$K$3:$K$500,"=663")</f>
        <v>0</v>
      </c>
      <c r="H103" s="105">
        <f>SUMIFS('Plan prihoda za unos u SAP'!$I$3:$I$500,'Plan prihoda za unos u SAP'!$C$3:$C$500,"=41",'Plan prihoda za unos u SAP'!$K$3:$K$500,"=663")</f>
        <v>0</v>
      </c>
      <c r="I103" s="105">
        <f>SUMIFS('Plan prihoda za unos u SAP'!$I$3:$I$500,'Plan prihoda za unos u SAP'!$C$3:$C$500,"=43",'Plan prihoda za unos u SAP'!$K$3:$K$500,"=663")</f>
        <v>0</v>
      </c>
      <c r="J103" s="105">
        <f>SUMIFS('Plan prihoda za unos u SAP'!$I$3:$I$500,'Plan prihoda za unos u SAP'!$C$3:$C$500,"=51",'Plan prihoda za unos u SAP'!$K$3:$K$500,"=663")</f>
        <v>0</v>
      </c>
      <c r="K103" s="105">
        <f>SUMIFS('Plan prihoda za unos u SAP'!$I$3:$I$500,'Plan prihoda za unos u SAP'!$C$3:$C$500,"=52",'Plan prihoda za unos u SAP'!$K$3:$K$500,"=663")</f>
        <v>0</v>
      </c>
      <c r="L103" s="105">
        <f>SUMIFS('Plan prihoda za unos u SAP'!$I$3:$I$500,'Plan prihoda za unos u SAP'!$C$3:$C$500,"=552",'Plan prihoda za unos u SAP'!$K$3:$K$500,"=663")</f>
        <v>0</v>
      </c>
      <c r="M103" s="105">
        <f>SUMIFS('Plan prihoda za unos u SAP'!$I$3:$I$500,'Plan prihoda za unos u SAP'!$C$3:$C$500,"=559",'Plan prihoda za unos u SAP'!$K$3:$K$500,"=663")</f>
        <v>0</v>
      </c>
      <c r="N103" s="105">
        <f>SUMIFS('Plan prihoda za unos u SAP'!$I$3:$I$500,'Plan prihoda za unos u SAP'!$C$3:$C$500,"=561",'Plan prihoda za unos u SAP'!$K$3:$K$500,"=663")</f>
        <v>0</v>
      </c>
      <c r="O103" s="105">
        <f>SUMIFS('Plan prihoda za unos u SAP'!$I$3:$I$500,'Plan prihoda za unos u SAP'!$C$3:$C$500,"=563",'Plan prihoda za unos u SAP'!$K$3:$K$500,"=663")</f>
        <v>0</v>
      </c>
      <c r="P103" s="105">
        <f>SUMIFS('Plan prihoda za unos u SAP'!$I$3:$I$500,'Plan prihoda za unos u SAP'!$C$3:$C$500,"=573",'Plan prihoda za unos u SAP'!$K$3:$K$500,"=663")</f>
        <v>0</v>
      </c>
      <c r="Q103" s="105">
        <f>SUMIFS('Plan prihoda za unos u SAP'!$I$3:$I$500,'Plan prihoda za unos u SAP'!$C$3:$C$500,"=575",'Plan prihoda za unos u SAP'!$K$3:$K$500,"=663")</f>
        <v>0</v>
      </c>
      <c r="R103" s="105">
        <f>SUMIFS('Plan prihoda za unos u SAP'!$I$3:$I$500,'Plan prihoda za unos u SAP'!$C$3:$C$500,"=576",'Plan prihoda za unos u SAP'!$K$3:$K$500,"=663")</f>
        <v>0</v>
      </c>
      <c r="S103" s="105">
        <f>SUMIFS('Plan prihoda za unos u SAP'!$I$3:$I$500,'Plan prihoda za unos u SAP'!$C$3:$C$500,"=581",'Plan prihoda za unos u SAP'!$K$3:$K$500,"=663")</f>
        <v>0</v>
      </c>
      <c r="T103" s="105">
        <f>SUMIFS('Plan prihoda za unos u SAP'!$I$3:$I$500,'Plan prihoda za unos u SAP'!$C$3:$C$500,"=61",'Plan prihoda za unos u SAP'!$K$3:$K$500,"=663")</f>
        <v>100000</v>
      </c>
      <c r="U103" s="105">
        <f>SUMIFS('Plan prihoda za unos u SAP'!$I$3:$I$500,'Plan prihoda za unos u SAP'!$C$3:$C$500,"=63",'Plan prihoda za unos u SAP'!$K$3:$K$500,"=663")</f>
        <v>0</v>
      </c>
      <c r="V103" s="105">
        <f>SUMIFS('Plan prihoda za unos u SAP'!$I$3:$I$500,'Plan prihoda za unos u SAP'!$C$3:$C$500,"=71",'Plan prihoda za unos u SAP'!$K$3:$K$500,"=663")</f>
        <v>0</v>
      </c>
      <c r="W103" s="105">
        <f>SUMIFS('Plan prihoda za unos u SAP'!$I$3:$I$500,'Plan prihoda za unos u SAP'!$C$3:$C$500,"=81",'Plan prihoda za unos u SAP'!$K$3:$K$500,"=663")</f>
        <v>0</v>
      </c>
      <c r="X103" s="80"/>
      <c r="Y103" s="80"/>
      <c r="Z103" s="80"/>
      <c r="AA103" s="80"/>
      <c r="AB103" s="80"/>
      <c r="AC103" s="80"/>
    </row>
    <row r="104" spans="1:29" ht="12.75" customHeight="1">
      <c r="A104" s="80">
        <v>2023</v>
      </c>
      <c r="B104" s="88" t="s">
        <v>3392</v>
      </c>
      <c r="C104" s="118" t="s">
        <v>483</v>
      </c>
      <c r="D104" s="90">
        <f t="shared" si="17"/>
        <v>139302798</v>
      </c>
      <c r="E104" s="105">
        <f>SUMIFS('Plan prihoda za unos u SAP'!$I$3:$I$500,'Plan prihoda za unos u SAP'!$C$3:$C$500,"=11",'Plan prihoda za unos u SAP'!$K$3:$K$500,"=671")</f>
        <v>139302798</v>
      </c>
      <c r="F104" s="105">
        <f>SUMIFS('Plan prihoda za unos u SAP'!$I$3:$I$500,'Plan prihoda za unos u SAP'!$C$3:$C$500,"=12",'Plan prihoda za unos u SAP'!$K$3:$K$500,"=671")</f>
        <v>0</v>
      </c>
      <c r="G104" s="105">
        <f>SUMIFS('Plan prihoda za unos u SAP'!$I$3:$I$500,'Plan prihoda za unos u SAP'!$C$3:$C$500,"=31",'Plan prihoda za unos u SAP'!$K$3:$K$500,"=671")</f>
        <v>0</v>
      </c>
      <c r="H104" s="105">
        <f>SUMIFS('Plan prihoda za unos u SAP'!$I$3:$I$500,'Plan prihoda za unos u SAP'!$C$3:$C$500,"=41",'Plan prihoda za unos u SAP'!$K$3:$K$500,"=671")</f>
        <v>0</v>
      </c>
      <c r="I104" s="105">
        <f>SUMIFS('Plan prihoda za unos u SAP'!$I$3:$I$500,'Plan prihoda za unos u SAP'!$C$3:$C$500,"=43",'Plan prihoda za unos u SAP'!$K$3:$K$500,"=671")</f>
        <v>0</v>
      </c>
      <c r="J104" s="105">
        <f>SUMIFS('Plan prihoda za unos u SAP'!$I$3:$I$500,'Plan prihoda za unos u SAP'!$C$3:$C$500,"=51",'Plan prihoda za unos u SAP'!$K$3:$K$500,"=671")</f>
        <v>0</v>
      </c>
      <c r="K104" s="105">
        <f>SUMIFS('Plan prihoda za unos u SAP'!$I$3:$I$500,'Plan prihoda za unos u SAP'!$C$3:$C$500,"=52",'Plan prihoda za unos u SAP'!$K$3:$K$500,"=671")</f>
        <v>0</v>
      </c>
      <c r="L104" s="105">
        <f>SUMIFS('Plan prihoda za unos u SAP'!$I$3:$I$500,'Plan prihoda za unos u SAP'!$C$3:$C$500,"=552",'Plan prihoda za unos u SAP'!$K$3:$K$500,"=671")</f>
        <v>0</v>
      </c>
      <c r="M104" s="105">
        <f>SUMIFS('Plan prihoda za unos u SAP'!$I$3:$I$500,'Plan prihoda za unos u SAP'!$C$3:$C$500,"=559",'Plan prihoda za unos u SAP'!$K$3:$K$500,"=671")</f>
        <v>0</v>
      </c>
      <c r="N104" s="105">
        <f>SUMIFS('Plan prihoda za unos u SAP'!$I$3:$I$500,'Plan prihoda za unos u SAP'!$C$3:$C$500,"=561",'Plan prihoda za unos u SAP'!$K$3:$K$500,"=671")</f>
        <v>0</v>
      </c>
      <c r="O104" s="105">
        <f>SUMIFS('Plan prihoda za unos u SAP'!$I$3:$I$500,'Plan prihoda za unos u SAP'!$C$3:$C$500,"=563",'Plan prihoda za unos u SAP'!$K$3:$K$500,"=671")</f>
        <v>0</v>
      </c>
      <c r="P104" s="105">
        <f>SUMIFS('Plan prihoda za unos u SAP'!$I$3:$I$500,'Plan prihoda za unos u SAP'!$C$3:$C$500,"=573",'Plan prihoda za unos u SAP'!$K$3:$K$500,"=671")</f>
        <v>0</v>
      </c>
      <c r="Q104" s="105">
        <f>SUMIFS('Plan prihoda za unos u SAP'!$I$3:$I$500,'Plan prihoda za unos u SAP'!$C$3:$C$500,"=575",'Plan prihoda za unos u SAP'!$K$3:$K$500,"=671")</f>
        <v>0</v>
      </c>
      <c r="R104" s="105">
        <f>SUMIFS('Plan prihoda za unos u SAP'!$I$3:$I$500,'Plan prihoda za unos u SAP'!$C$3:$C$500,"=576",'Plan prihoda za unos u SAP'!$K$3:$K$500,"=671")</f>
        <v>0</v>
      </c>
      <c r="S104" s="105">
        <f>SUMIFS('Plan prihoda za unos u SAP'!$I$3:$I$500,'Plan prihoda za unos u SAP'!$C$3:$C$500,"=581",'Plan prihoda za unos u SAP'!$K$3:$K$500,"=671")</f>
        <v>0</v>
      </c>
      <c r="T104" s="105">
        <f>SUMIFS('Plan prihoda za unos u SAP'!$I$3:$I$500,'Plan prihoda za unos u SAP'!$C$3:$C$500,"=61",'Plan prihoda za unos u SAP'!$K$3:$K$500,"=671")</f>
        <v>0</v>
      </c>
      <c r="U104" s="105">
        <f>SUMIFS('Plan prihoda za unos u SAP'!$I$3:$I$500,'Plan prihoda za unos u SAP'!$C$3:$C$500,"=63",'Plan prihoda za unos u SAP'!$K$3:$K$500,"=671")</f>
        <v>0</v>
      </c>
      <c r="V104" s="105">
        <f>SUMIFS('Plan prihoda za unos u SAP'!$I$3:$I$500,'Plan prihoda za unos u SAP'!$C$3:$C$500,"=71",'Plan prihoda za unos u SAP'!$K$3:$K$500,"=671")</f>
        <v>0</v>
      </c>
      <c r="W104" s="105">
        <f>SUMIFS('Plan prihoda za unos u SAP'!$I$3:$I$500,'Plan prihoda za unos u SAP'!$C$3:$C$500,"=81",'Plan prihoda za unos u SAP'!$K$3:$K$500,"=671")</f>
        <v>0</v>
      </c>
      <c r="X104" s="80"/>
      <c r="Y104" s="80"/>
      <c r="Z104" s="80"/>
      <c r="AA104" s="80"/>
      <c r="AB104" s="80"/>
      <c r="AC104" s="80"/>
    </row>
    <row r="105" spans="1:29" ht="12.75" customHeight="1">
      <c r="A105" s="80">
        <v>2023</v>
      </c>
      <c r="B105" s="88" t="s">
        <v>3393</v>
      </c>
      <c r="C105" s="89" t="s">
        <v>3394</v>
      </c>
      <c r="D105" s="90">
        <f t="shared" si="17"/>
        <v>0</v>
      </c>
      <c r="E105" s="105">
        <f>SUMIFS('Plan prihoda za unos u SAP'!$I$3:$I$500,'Plan prihoda za unos u SAP'!$C$3:$C$500,"=11",'Plan prihoda za unos u SAP'!$K$3:$K$500,"=681")</f>
        <v>0</v>
      </c>
      <c r="F105" s="105">
        <f>SUMIFS('Plan prihoda za unos u SAP'!$I$3:$I$500,'Plan prihoda za unos u SAP'!$C$3:$C$500,"=12",'Plan prihoda za unos u SAP'!$K$3:$K$500,"=681")</f>
        <v>0</v>
      </c>
      <c r="G105" s="105">
        <f>SUMIFS('Plan prihoda za unos u SAP'!$I$3:$I$500,'Plan prihoda za unos u SAP'!$C$3:$C$500,"=31",'Plan prihoda za unos u SAP'!$K$3:$K$500,"=681")</f>
        <v>0</v>
      </c>
      <c r="H105" s="105">
        <f>SUMIFS('Plan prihoda za unos u SAP'!$I$3:$I$500,'Plan prihoda za unos u SAP'!$C$3:$C$500,"=41",'Plan prihoda za unos u SAP'!$K$3:$K$500,"=681")</f>
        <v>0</v>
      </c>
      <c r="I105" s="105">
        <f>SUMIFS('Plan prihoda za unos u SAP'!$I$3:$I$500,'Plan prihoda za unos u SAP'!$C$3:$C$500,"=43",'Plan prihoda za unos u SAP'!$K$3:$K$500,"=681")</f>
        <v>0</v>
      </c>
      <c r="J105" s="105">
        <f>SUMIFS('Plan prihoda za unos u SAP'!$I$3:$I$500,'Plan prihoda za unos u SAP'!$C$3:$C$500,"=51",'Plan prihoda za unos u SAP'!$K$3:$K$500,"=681")</f>
        <v>0</v>
      </c>
      <c r="K105" s="105">
        <f>SUMIFS('Plan prihoda za unos u SAP'!$I$3:$I$500,'Plan prihoda za unos u SAP'!$C$3:$C$500,"=52",'Plan prihoda za unos u SAP'!$K$3:$K$500,"=681")</f>
        <v>0</v>
      </c>
      <c r="L105" s="105">
        <f>SUMIFS('Plan prihoda za unos u SAP'!$I$3:$I$500,'Plan prihoda za unos u SAP'!$C$3:$C$500,"=552",'Plan prihoda za unos u SAP'!$K$3:$K$500,"=681")</f>
        <v>0</v>
      </c>
      <c r="M105" s="105">
        <f>SUMIFS('Plan prihoda za unos u SAP'!$I$3:$I$500,'Plan prihoda za unos u SAP'!$C$3:$C$500,"=559",'Plan prihoda za unos u SAP'!$K$3:$K$500,"=681")</f>
        <v>0</v>
      </c>
      <c r="N105" s="105">
        <f>SUMIFS('Plan prihoda za unos u SAP'!$I$3:$I$500,'Plan prihoda za unos u SAP'!$C$3:$C$500,"=561",'Plan prihoda za unos u SAP'!$K$3:$K$500,"=681")</f>
        <v>0</v>
      </c>
      <c r="O105" s="105">
        <f>SUMIFS('Plan prihoda za unos u SAP'!$I$3:$I$500,'Plan prihoda za unos u SAP'!$C$3:$C$500,"=563",'Plan prihoda za unos u SAP'!$K$3:$K$500,"=681")</f>
        <v>0</v>
      </c>
      <c r="P105" s="105">
        <f>SUMIFS('Plan prihoda za unos u SAP'!$I$3:$I$500,'Plan prihoda za unos u SAP'!$C$3:$C$500,"=573",'Plan prihoda za unos u SAP'!$K$3:$K$500,"=681")</f>
        <v>0</v>
      </c>
      <c r="Q105" s="105">
        <f>SUMIFS('Plan prihoda za unos u SAP'!$I$3:$I$500,'Plan prihoda za unos u SAP'!$C$3:$C$500,"=575",'Plan prihoda za unos u SAP'!$K$3:$K$500,"=681")</f>
        <v>0</v>
      </c>
      <c r="R105" s="105">
        <f>SUMIFS('Plan prihoda za unos u SAP'!$I$3:$I$500,'Plan prihoda za unos u SAP'!$C$3:$C$500,"=576",'Plan prihoda za unos u SAP'!$K$3:$K$500,"=681")</f>
        <v>0</v>
      </c>
      <c r="S105" s="105">
        <f>SUMIFS('Plan prihoda za unos u SAP'!$I$3:$I$500,'Plan prihoda za unos u SAP'!$C$3:$C$500,"=581",'Plan prihoda za unos u SAP'!$K$3:$K$500,"=681")</f>
        <v>0</v>
      </c>
      <c r="T105" s="105">
        <f>SUMIFS('Plan prihoda za unos u SAP'!$I$3:$I$500,'Plan prihoda za unos u SAP'!$C$3:$C$500,"=61",'Plan prihoda za unos u SAP'!$K$3:$K$500,"=681")</f>
        <v>0</v>
      </c>
      <c r="U105" s="105">
        <f>SUMIFS('Plan prihoda za unos u SAP'!$I$3:$I$500,'Plan prihoda za unos u SAP'!$C$3:$C$500,"=63",'Plan prihoda za unos u SAP'!$K$3:$K$500,"=681")</f>
        <v>0</v>
      </c>
      <c r="V105" s="105">
        <f>SUMIFS('Plan prihoda za unos u SAP'!$I$3:$I$500,'Plan prihoda za unos u SAP'!$C$3:$C$500,"=71",'Plan prihoda za unos u SAP'!$K$3:$K$500,"=681")</f>
        <v>0</v>
      </c>
      <c r="W105" s="105">
        <f>SUMIFS('Plan prihoda za unos u SAP'!$I$3:$I$500,'Plan prihoda za unos u SAP'!$C$3:$C$500,"=81",'Plan prihoda za unos u SAP'!$K$3:$K$500,"=681")</f>
        <v>0</v>
      </c>
      <c r="X105" s="80"/>
      <c r="Y105" s="80"/>
      <c r="Z105" s="80"/>
      <c r="AA105" s="80"/>
      <c r="AB105" s="80"/>
      <c r="AC105" s="80"/>
    </row>
    <row r="106" spans="1:29" ht="12.75" customHeight="1">
      <c r="A106" s="80">
        <v>2023</v>
      </c>
      <c r="B106" s="88" t="s">
        <v>3395</v>
      </c>
      <c r="C106" s="89" t="s">
        <v>3396</v>
      </c>
      <c r="D106" s="90">
        <f t="shared" si="17"/>
        <v>0</v>
      </c>
      <c r="E106" s="105">
        <f>SUMIFS('Plan prihoda za unos u SAP'!$I$3:$I$500,'Plan prihoda za unos u SAP'!$C$3:$C$500,"=11",'Plan prihoda za unos u SAP'!$K$3:$K$500,"=683")</f>
        <v>0</v>
      </c>
      <c r="F106" s="105">
        <f>SUMIFS('Plan prihoda za unos u SAP'!$I$3:$I$500,'Plan prihoda za unos u SAP'!$C$3:$C$500,"=12",'Plan prihoda za unos u SAP'!$K$3:$K$500,"=683")</f>
        <v>0</v>
      </c>
      <c r="G106" s="105">
        <f>SUMIFS('Plan prihoda za unos u SAP'!$I$3:$I$500,'Plan prihoda za unos u SAP'!$C$3:$C$500,"=31",'Plan prihoda za unos u SAP'!$K$3:$K$500,"=683")</f>
        <v>0</v>
      </c>
      <c r="H106" s="105">
        <f>SUMIFS('Plan prihoda za unos u SAP'!$I$3:$I$500,'Plan prihoda za unos u SAP'!$C$3:$C$500,"=41",'Plan prihoda za unos u SAP'!$K$3:$K$500,"=683")</f>
        <v>0</v>
      </c>
      <c r="I106" s="105">
        <f>SUMIFS('Plan prihoda za unos u SAP'!$I$3:$I$500,'Plan prihoda za unos u SAP'!$C$3:$C$500,"=43",'Plan prihoda za unos u SAP'!$K$3:$K$500,"=683")</f>
        <v>0</v>
      </c>
      <c r="J106" s="105">
        <f>SUMIFS('Plan prihoda za unos u SAP'!$I$3:$I$500,'Plan prihoda za unos u SAP'!$C$3:$C$500,"=51",'Plan prihoda za unos u SAP'!$K$3:$K$500,"=683")</f>
        <v>0</v>
      </c>
      <c r="K106" s="105">
        <f>SUMIFS('Plan prihoda za unos u SAP'!$I$3:$I$500,'Plan prihoda za unos u SAP'!$C$3:$C$500,"=52",'Plan prihoda za unos u SAP'!$K$3:$K$500,"=683")</f>
        <v>0</v>
      </c>
      <c r="L106" s="105">
        <f>SUMIFS('Plan prihoda za unos u SAP'!$I$3:$I$500,'Plan prihoda za unos u SAP'!$C$3:$C$500,"=552",'Plan prihoda za unos u SAP'!$K$3:$K$500,"=683")</f>
        <v>0</v>
      </c>
      <c r="M106" s="105">
        <f>SUMIFS('Plan prihoda za unos u SAP'!$I$3:$I$500,'Plan prihoda za unos u SAP'!$C$3:$C$500,"=559",'Plan prihoda za unos u SAP'!$K$3:$K$500,"=683")</f>
        <v>0</v>
      </c>
      <c r="N106" s="105">
        <f>SUMIFS('Plan prihoda za unos u SAP'!$I$3:$I$500,'Plan prihoda za unos u SAP'!$C$3:$C$500,"=561",'Plan prihoda za unos u SAP'!$K$3:$K$500,"=683")</f>
        <v>0</v>
      </c>
      <c r="O106" s="105">
        <f>SUMIFS('Plan prihoda za unos u SAP'!$I$3:$I$500,'Plan prihoda za unos u SAP'!$C$3:$C$500,"=563",'Plan prihoda za unos u SAP'!$K$3:$K$500,"=683")</f>
        <v>0</v>
      </c>
      <c r="P106" s="105">
        <f>SUMIFS('Plan prihoda za unos u SAP'!$I$3:$I$500,'Plan prihoda za unos u SAP'!$C$3:$C$500,"=573",'Plan prihoda za unos u SAP'!$K$3:$K$500,"=683")</f>
        <v>0</v>
      </c>
      <c r="Q106" s="105">
        <f>SUMIFS('Plan prihoda za unos u SAP'!$I$3:$I$500,'Plan prihoda za unos u SAP'!$C$3:$C$500,"=575",'Plan prihoda za unos u SAP'!$K$3:$K$500,"=683")</f>
        <v>0</v>
      </c>
      <c r="R106" s="105">
        <f>SUMIFS('Plan prihoda za unos u SAP'!$I$3:$I$500,'Plan prihoda za unos u SAP'!$C$3:$C$500,"=576",'Plan prihoda za unos u SAP'!$K$3:$K$500,"=683")</f>
        <v>0</v>
      </c>
      <c r="S106" s="105">
        <f>SUMIFS('Plan prihoda za unos u SAP'!$I$3:$I$500,'Plan prihoda za unos u SAP'!$C$3:$C$500,"=581",'Plan prihoda za unos u SAP'!$K$3:$K$500,"=683")</f>
        <v>0</v>
      </c>
      <c r="T106" s="105">
        <f>SUMIFS('Plan prihoda za unos u SAP'!$I$3:$I$500,'Plan prihoda za unos u SAP'!$C$3:$C$500,"=61",'Plan prihoda za unos u SAP'!$K$3:$K$500,"=683")</f>
        <v>0</v>
      </c>
      <c r="U106" s="105">
        <f>SUMIFS('Plan prihoda za unos u SAP'!$I$3:$I$500,'Plan prihoda za unos u SAP'!$C$3:$C$500,"=63",'Plan prihoda za unos u SAP'!$K$3:$K$500,"=683")</f>
        <v>0</v>
      </c>
      <c r="V106" s="105">
        <f>SUMIFS('Plan prihoda za unos u SAP'!$I$3:$I$500,'Plan prihoda za unos u SAP'!$C$3:$C$500,"=71",'Plan prihoda za unos u SAP'!$K$3:$K$500,"=683")</f>
        <v>0</v>
      </c>
      <c r="W106" s="105">
        <f>SUMIFS('Plan prihoda za unos u SAP'!$I$3:$I$500,'Plan prihoda za unos u SAP'!$C$3:$C$500,"=81",'Plan prihoda za unos u SAP'!$K$3:$K$500,"=683")</f>
        <v>0</v>
      </c>
      <c r="X106" s="80"/>
      <c r="Y106" s="80"/>
      <c r="Z106" s="80"/>
      <c r="AA106" s="80"/>
      <c r="AB106" s="80"/>
      <c r="AC106" s="80"/>
    </row>
    <row r="107" spans="1:29" ht="12.75" customHeight="1">
      <c r="A107" s="80">
        <v>2023</v>
      </c>
      <c r="B107" s="106" t="s">
        <v>3397</v>
      </c>
      <c r="C107" s="107" t="s">
        <v>3398</v>
      </c>
      <c r="D107" s="90">
        <f t="shared" si="17"/>
        <v>190929459</v>
      </c>
      <c r="E107" s="108">
        <f t="shared" ref="E107:W107" si="22">SUM(E91:E106)</f>
        <v>139302798</v>
      </c>
      <c r="F107" s="108">
        <f t="shared" si="22"/>
        <v>0</v>
      </c>
      <c r="G107" s="108">
        <f t="shared" si="22"/>
        <v>15652192</v>
      </c>
      <c r="H107" s="108">
        <f t="shared" si="22"/>
        <v>0</v>
      </c>
      <c r="I107" s="108">
        <f t="shared" si="22"/>
        <v>25500000</v>
      </c>
      <c r="J107" s="108">
        <f t="shared" si="22"/>
        <v>524469</v>
      </c>
      <c r="K107" s="108">
        <f t="shared" si="22"/>
        <v>9850000</v>
      </c>
      <c r="L107" s="108">
        <f t="shared" si="22"/>
        <v>0</v>
      </c>
      <c r="M107" s="108">
        <f t="shared" si="22"/>
        <v>0</v>
      </c>
      <c r="N107" s="108">
        <f t="shared" si="22"/>
        <v>0</v>
      </c>
      <c r="O107" s="108">
        <f t="shared" si="22"/>
        <v>0</v>
      </c>
      <c r="P107" s="108">
        <f t="shared" si="22"/>
        <v>0</v>
      </c>
      <c r="Q107" s="108">
        <f t="shared" si="22"/>
        <v>0</v>
      </c>
      <c r="R107" s="108">
        <f t="shared" si="22"/>
        <v>0</v>
      </c>
      <c r="S107" s="108">
        <f t="shared" si="22"/>
        <v>0</v>
      </c>
      <c r="T107" s="108">
        <f t="shared" si="22"/>
        <v>100000</v>
      </c>
      <c r="U107" s="108">
        <f t="shared" si="22"/>
        <v>0</v>
      </c>
      <c r="V107" s="108">
        <f t="shared" si="22"/>
        <v>0</v>
      </c>
      <c r="W107" s="108">
        <f t="shared" si="22"/>
        <v>0</v>
      </c>
      <c r="X107" s="80"/>
      <c r="Y107" s="80"/>
      <c r="Z107" s="80"/>
      <c r="AA107" s="80"/>
      <c r="AB107" s="80"/>
      <c r="AC107" s="80"/>
    </row>
    <row r="108" spans="1:29" ht="12.75" customHeight="1">
      <c r="A108" s="80">
        <v>2023</v>
      </c>
      <c r="B108" s="88" t="s">
        <v>3399</v>
      </c>
      <c r="C108" s="109" t="s">
        <v>3400</v>
      </c>
      <c r="D108" s="90">
        <f t="shared" si="17"/>
        <v>0</v>
      </c>
      <c r="E108" s="105">
        <f>SUMIFS('Plan prihoda za unos u SAP'!$I$3:$I$500,'Plan prihoda za unos u SAP'!$C$3:$C$500,"=11",'Plan prihoda za unos u SAP'!$K$3:$K$500,"=711")</f>
        <v>0</v>
      </c>
      <c r="F108" s="105">
        <f>SUMIFS('Plan prihoda za unos u SAP'!$I$3:$I$500,'Plan prihoda za unos u SAP'!$C$3:$C$500,"=12",'Plan prihoda za unos u SAP'!$K$3:$K$500,"=711")</f>
        <v>0</v>
      </c>
      <c r="G108" s="105">
        <f>SUMIFS('Plan prihoda za unos u SAP'!$I$3:$I$500,'Plan prihoda za unos u SAP'!$C$3:$C$500,"=31",'Plan prihoda za unos u SAP'!$K$3:$K$500,"=711")</f>
        <v>0</v>
      </c>
      <c r="H108" s="105">
        <f>SUMIFS('Plan prihoda za unos u SAP'!$I$3:$I$500,'Plan prihoda za unos u SAP'!$C$3:$C$500,"=41",'Plan prihoda za unos u SAP'!$K$3:$K$500,"=711")</f>
        <v>0</v>
      </c>
      <c r="I108" s="105">
        <f>SUMIFS('Plan prihoda za unos u SAP'!$I$3:$I$500,'Plan prihoda za unos u SAP'!$C$3:$C$500,"=43",'Plan prihoda za unos u SAP'!$K$3:$K$500,"=711")</f>
        <v>0</v>
      </c>
      <c r="J108" s="105">
        <f>SUMIFS('Plan prihoda za unos u SAP'!$I$3:$I$500,'Plan prihoda za unos u SAP'!$C$3:$C$500,"=51",'Plan prihoda za unos u SAP'!$K$3:$K$500,"=711")</f>
        <v>0</v>
      </c>
      <c r="K108" s="105">
        <f>SUMIFS('Plan prihoda za unos u SAP'!$I$3:$I$500,'Plan prihoda za unos u SAP'!$C$3:$C$500,"=52",'Plan prihoda za unos u SAP'!$K$3:$K$500,"=711")</f>
        <v>0</v>
      </c>
      <c r="L108" s="105">
        <f>SUMIFS('Plan prihoda za unos u SAP'!$I$3:$I$500,'Plan prihoda za unos u SAP'!$C$3:$C$500,"=552",'Plan prihoda za unos u SAP'!$K$3:$K$500,"=711")</f>
        <v>0</v>
      </c>
      <c r="M108" s="105">
        <f>SUMIFS('Plan prihoda za unos u SAP'!$I$3:$I$500,'Plan prihoda za unos u SAP'!$C$3:$C$500,"=559",'Plan prihoda za unos u SAP'!$K$3:$K$500,"=711")</f>
        <v>0</v>
      </c>
      <c r="N108" s="105">
        <f>SUMIFS('Plan prihoda za unos u SAP'!$I$3:$I$500,'Plan prihoda za unos u SAP'!$C$3:$C$500,"=561",'Plan prihoda za unos u SAP'!$K$3:$K$500,"=711")</f>
        <v>0</v>
      </c>
      <c r="O108" s="105">
        <f>SUMIFS('Plan prihoda za unos u SAP'!$I$3:$I$500,'Plan prihoda za unos u SAP'!$C$3:$C$500,"=563",'Plan prihoda za unos u SAP'!$K$3:$K$500,"=711")</f>
        <v>0</v>
      </c>
      <c r="P108" s="105">
        <f>SUMIFS('Plan prihoda za unos u SAP'!$I$3:$I$500,'Plan prihoda za unos u SAP'!$C$3:$C$500,"=573",'Plan prihoda za unos u SAP'!$K$3:$K$500,"=711")</f>
        <v>0</v>
      </c>
      <c r="Q108" s="105">
        <f>SUMIFS('Plan prihoda za unos u SAP'!$I$3:$I$500,'Plan prihoda za unos u SAP'!$C$3:$C$500,"=575",'Plan prihoda za unos u SAP'!$K$3:$K$500,"=711")</f>
        <v>0</v>
      </c>
      <c r="R108" s="105">
        <f>SUMIFS('Plan prihoda za unos u SAP'!$I$3:$I$500,'Plan prihoda za unos u SAP'!$C$3:$C$500,"=576",'Plan prihoda za unos u SAP'!$K$3:$K$500,"=711")</f>
        <v>0</v>
      </c>
      <c r="S108" s="105">
        <f>SUMIFS('Plan prihoda za unos u SAP'!$I$3:$I$500,'Plan prihoda za unos u SAP'!$C$3:$C$500,"=581",'Plan prihoda za unos u SAP'!$K$3:$K$500,"=711")</f>
        <v>0</v>
      </c>
      <c r="T108" s="105">
        <f>SUMIFS('Plan prihoda za unos u SAP'!$I$3:$I$500,'Plan prihoda za unos u SAP'!$C$3:$C$500,"=61",'Plan prihoda za unos u SAP'!$K$3:$K$500,"=711")</f>
        <v>0</v>
      </c>
      <c r="U108" s="105">
        <f>SUMIFS('Plan prihoda za unos u SAP'!$I$3:$I$500,'Plan prihoda za unos u SAP'!$C$3:$C$500,"=63",'Plan prihoda za unos u SAP'!$K$3:$K$500,"=711")</f>
        <v>0</v>
      </c>
      <c r="V108" s="105">
        <f>SUMIFS('Plan prihoda za unos u SAP'!$I$3:$I$500,'Plan prihoda za unos u SAP'!$C$3:$C$500,"=71",'Plan prihoda za unos u SAP'!$K$3:$K$500,"=711")</f>
        <v>0</v>
      </c>
      <c r="W108" s="105">
        <f>SUMIFS('Plan prihoda za unos u SAP'!$I$3:$I$500,'Plan prihoda za unos u SAP'!$C$3:$C$500,"=81",'Plan prihoda za unos u SAP'!$K$3:$K$500,"=711")</f>
        <v>0</v>
      </c>
      <c r="X108" s="80"/>
      <c r="Y108" s="80"/>
      <c r="Z108" s="80"/>
      <c r="AA108" s="80"/>
      <c r="AB108" s="80"/>
      <c r="AC108" s="80"/>
    </row>
    <row r="109" spans="1:29" ht="12.75" customHeight="1">
      <c r="A109" s="80">
        <v>2023</v>
      </c>
      <c r="B109" s="88" t="s">
        <v>3401</v>
      </c>
      <c r="C109" s="109" t="s">
        <v>3402</v>
      </c>
      <c r="D109" s="90">
        <f t="shared" si="17"/>
        <v>0</v>
      </c>
      <c r="E109" s="105">
        <f>SUMIFS('Plan prihoda za unos u SAP'!$I$3:$I$500,'Plan prihoda za unos u SAP'!$C$3:$C$500,"=11",'Plan prihoda za unos u SAP'!$K$3:$K$500,"=712")</f>
        <v>0</v>
      </c>
      <c r="F109" s="105">
        <f>SUMIFS('Plan prihoda za unos u SAP'!$I$3:$I$500,'Plan prihoda za unos u SAP'!$C$3:$C$500,"=12",'Plan prihoda za unos u SAP'!$K$3:$K$500,"=712")</f>
        <v>0</v>
      </c>
      <c r="G109" s="105">
        <f>SUMIFS('Plan prihoda za unos u SAP'!$I$3:$I$500,'Plan prihoda za unos u SAP'!$C$3:$C$500,"=31",'Plan prihoda za unos u SAP'!$K$3:$K$500,"=712")</f>
        <v>0</v>
      </c>
      <c r="H109" s="105">
        <f>SUMIFS('Plan prihoda za unos u SAP'!$I$3:$I$500,'Plan prihoda za unos u SAP'!$C$3:$C$500,"=41",'Plan prihoda za unos u SAP'!$K$3:$K$500,"=712")</f>
        <v>0</v>
      </c>
      <c r="I109" s="105">
        <f>SUMIFS('Plan prihoda za unos u SAP'!$I$3:$I$500,'Plan prihoda za unos u SAP'!$C$3:$C$500,"=43",'Plan prihoda za unos u SAP'!$K$3:$K$500,"=712")</f>
        <v>0</v>
      </c>
      <c r="J109" s="105">
        <f>SUMIFS('Plan prihoda za unos u SAP'!$I$3:$I$500,'Plan prihoda za unos u SAP'!$C$3:$C$500,"=51",'Plan prihoda za unos u SAP'!$K$3:$K$500,"=712")</f>
        <v>0</v>
      </c>
      <c r="K109" s="105">
        <f>SUMIFS('Plan prihoda za unos u SAP'!$I$3:$I$500,'Plan prihoda za unos u SAP'!$C$3:$C$500,"=52",'Plan prihoda za unos u SAP'!$K$3:$K$500,"=712")</f>
        <v>0</v>
      </c>
      <c r="L109" s="105">
        <f>SUMIFS('Plan prihoda za unos u SAP'!$I$3:$I$500,'Plan prihoda za unos u SAP'!$C$3:$C$500,"=552",'Plan prihoda za unos u SAP'!$K$3:$K$500,"=712")</f>
        <v>0</v>
      </c>
      <c r="M109" s="105">
        <f>SUMIFS('Plan prihoda za unos u SAP'!$I$3:$I$500,'Plan prihoda za unos u SAP'!$C$3:$C$500,"=559",'Plan prihoda za unos u SAP'!$K$3:$K$500,"=712")</f>
        <v>0</v>
      </c>
      <c r="N109" s="105">
        <f>SUMIFS('Plan prihoda za unos u SAP'!$I$3:$I$500,'Plan prihoda za unos u SAP'!$C$3:$C$500,"=561",'Plan prihoda za unos u SAP'!$K$3:$K$500,"=712")</f>
        <v>0</v>
      </c>
      <c r="O109" s="105">
        <f>SUMIFS('Plan prihoda za unos u SAP'!$I$3:$I$500,'Plan prihoda za unos u SAP'!$C$3:$C$500,"=563",'Plan prihoda za unos u SAP'!$K$3:$K$500,"=712")</f>
        <v>0</v>
      </c>
      <c r="P109" s="105">
        <f>SUMIFS('Plan prihoda za unos u SAP'!$I$3:$I$500,'Plan prihoda za unos u SAP'!$C$3:$C$500,"=573",'Plan prihoda za unos u SAP'!$K$3:$K$500,"=712")</f>
        <v>0</v>
      </c>
      <c r="Q109" s="105">
        <f>SUMIFS('Plan prihoda za unos u SAP'!$I$3:$I$500,'Plan prihoda za unos u SAP'!$C$3:$C$500,"=575",'Plan prihoda za unos u SAP'!$K$3:$K$500,"=712")</f>
        <v>0</v>
      </c>
      <c r="R109" s="105">
        <f>SUMIFS('Plan prihoda za unos u SAP'!$I$3:$I$500,'Plan prihoda za unos u SAP'!$C$3:$C$500,"=576",'Plan prihoda za unos u SAP'!$K$3:$K$500,"=712")</f>
        <v>0</v>
      </c>
      <c r="S109" s="105">
        <f>SUMIFS('Plan prihoda za unos u SAP'!$I$3:$I$500,'Plan prihoda za unos u SAP'!$C$3:$C$500,"=581",'Plan prihoda za unos u SAP'!$K$3:$K$500,"=712")</f>
        <v>0</v>
      </c>
      <c r="T109" s="105">
        <f>SUMIFS('Plan prihoda za unos u SAP'!$I$3:$I$500,'Plan prihoda za unos u SAP'!$C$3:$C$500,"=61",'Plan prihoda za unos u SAP'!$K$3:$K$500,"=712")</f>
        <v>0</v>
      </c>
      <c r="U109" s="105">
        <f>SUMIFS('Plan prihoda za unos u SAP'!$I$3:$I$500,'Plan prihoda za unos u SAP'!$C$3:$C$500,"=63",'Plan prihoda za unos u SAP'!$K$3:$K$500,"=712")</f>
        <v>0</v>
      </c>
      <c r="V109" s="105">
        <f>SUMIFS('Plan prihoda za unos u SAP'!$I$3:$I$500,'Plan prihoda za unos u SAP'!$C$3:$C$500,"=71",'Plan prihoda za unos u SAP'!$K$3:$K$500,"=712")</f>
        <v>0</v>
      </c>
      <c r="W109" s="105">
        <f>SUMIFS('Plan prihoda za unos u SAP'!$I$3:$I$500,'Plan prihoda za unos u SAP'!$C$3:$C$500,"=81",'Plan prihoda za unos u SAP'!$K$3:$K$500,"=712")</f>
        <v>0</v>
      </c>
      <c r="X109" s="80"/>
      <c r="Y109" s="80"/>
      <c r="Z109" s="80"/>
      <c r="AA109" s="80"/>
      <c r="AB109" s="80"/>
      <c r="AC109" s="80"/>
    </row>
    <row r="110" spans="1:29" ht="12.75" customHeight="1">
      <c r="A110" s="80">
        <v>2023</v>
      </c>
      <c r="B110" s="88" t="s">
        <v>3403</v>
      </c>
      <c r="C110" s="109" t="s">
        <v>3404</v>
      </c>
      <c r="D110" s="90">
        <f t="shared" si="17"/>
        <v>0</v>
      </c>
      <c r="E110" s="105">
        <f>SUMIFS('Plan prihoda za unos u SAP'!$I$3:$I$500,'Plan prihoda za unos u SAP'!$C$3:$C$500,"=11",'Plan prihoda za unos u SAP'!$K$3:$K$500,"=721")</f>
        <v>0</v>
      </c>
      <c r="F110" s="105">
        <f>SUMIFS('Plan prihoda za unos u SAP'!$I$3:$I$500,'Plan prihoda za unos u SAP'!$C$3:$C$500,"=12",'Plan prihoda za unos u SAP'!$K$3:$K$500,"=721")</f>
        <v>0</v>
      </c>
      <c r="G110" s="105">
        <f>SUMIFS('Plan prihoda za unos u SAP'!$I$3:$I$500,'Plan prihoda za unos u SAP'!$C$3:$C$500,"=31",'Plan prihoda za unos u SAP'!$K$3:$K$500,"=721")</f>
        <v>0</v>
      </c>
      <c r="H110" s="105">
        <f>SUMIFS('Plan prihoda za unos u SAP'!$I$3:$I$500,'Plan prihoda za unos u SAP'!$C$3:$C$500,"=41",'Plan prihoda za unos u SAP'!$K$3:$K$500,"=721")</f>
        <v>0</v>
      </c>
      <c r="I110" s="105">
        <f>SUMIFS('Plan prihoda za unos u SAP'!$I$3:$I$500,'Plan prihoda za unos u SAP'!$C$3:$C$500,"=43",'Plan prihoda za unos u SAP'!$K$3:$K$500,"=721")</f>
        <v>0</v>
      </c>
      <c r="J110" s="105">
        <f>SUMIFS('Plan prihoda za unos u SAP'!$I$3:$I$500,'Plan prihoda za unos u SAP'!$C$3:$C$500,"=51",'Plan prihoda za unos u SAP'!$K$3:$K$500,"=721")</f>
        <v>0</v>
      </c>
      <c r="K110" s="105">
        <f>SUMIFS('Plan prihoda za unos u SAP'!$I$3:$I$500,'Plan prihoda za unos u SAP'!$C$3:$C$500,"=52",'Plan prihoda za unos u SAP'!$K$3:$K$500,"=721")</f>
        <v>0</v>
      </c>
      <c r="L110" s="105">
        <f>SUMIFS('Plan prihoda za unos u SAP'!$I$3:$I$500,'Plan prihoda za unos u SAP'!$C$3:$C$500,"=552",'Plan prihoda za unos u SAP'!$K$3:$K$500,"=721")</f>
        <v>0</v>
      </c>
      <c r="M110" s="105">
        <f>SUMIFS('Plan prihoda za unos u SAP'!$I$3:$I$500,'Plan prihoda za unos u SAP'!$C$3:$C$500,"=559",'Plan prihoda za unos u SAP'!$K$3:$K$500,"=721")</f>
        <v>0</v>
      </c>
      <c r="N110" s="105">
        <f>SUMIFS('Plan prihoda za unos u SAP'!$I$3:$I$500,'Plan prihoda za unos u SAP'!$C$3:$C$500,"=561",'Plan prihoda za unos u SAP'!$K$3:$K$500,"=721")</f>
        <v>0</v>
      </c>
      <c r="O110" s="105">
        <f>SUMIFS('Plan prihoda za unos u SAP'!$I$3:$I$500,'Plan prihoda za unos u SAP'!$C$3:$C$500,"=563",'Plan prihoda za unos u SAP'!$K$3:$K$500,"=721")</f>
        <v>0</v>
      </c>
      <c r="P110" s="105">
        <f>SUMIFS('Plan prihoda za unos u SAP'!$I$3:$I$500,'Plan prihoda za unos u SAP'!$C$3:$C$500,"=573",'Plan prihoda za unos u SAP'!$K$3:$K$500,"=721")</f>
        <v>0</v>
      </c>
      <c r="Q110" s="105">
        <f>SUMIFS('Plan prihoda za unos u SAP'!$I$3:$I$500,'Plan prihoda za unos u SAP'!$C$3:$C$500,"=575",'Plan prihoda za unos u SAP'!$K$3:$K$500,"=721")</f>
        <v>0</v>
      </c>
      <c r="R110" s="105">
        <f>SUMIFS('Plan prihoda za unos u SAP'!$I$3:$I$500,'Plan prihoda za unos u SAP'!$C$3:$C$500,"=576",'Plan prihoda za unos u SAP'!$K$3:$K$500,"=721")</f>
        <v>0</v>
      </c>
      <c r="S110" s="105">
        <f>SUMIFS('Plan prihoda za unos u SAP'!$I$3:$I$500,'Plan prihoda za unos u SAP'!$C$3:$C$500,"=581",'Plan prihoda za unos u SAP'!$K$3:$K$500,"=721")</f>
        <v>0</v>
      </c>
      <c r="T110" s="105">
        <f>SUMIFS('Plan prihoda za unos u SAP'!$I$3:$I$500,'Plan prihoda za unos u SAP'!$C$3:$C$500,"=61",'Plan prihoda za unos u SAP'!$K$3:$K$500,"=721")</f>
        <v>0</v>
      </c>
      <c r="U110" s="105">
        <f>SUMIFS('Plan prihoda za unos u SAP'!$I$3:$I$500,'Plan prihoda za unos u SAP'!$C$3:$C$500,"=63",'Plan prihoda za unos u SAP'!$K$3:$K$500,"=721")</f>
        <v>0</v>
      </c>
      <c r="V110" s="105">
        <f>SUMIFS('Plan prihoda za unos u SAP'!$I$3:$I$500,'Plan prihoda za unos u SAP'!$C$3:$C$500,"=71",'Plan prihoda za unos u SAP'!$K$3:$K$500,"=721")</f>
        <v>0</v>
      </c>
      <c r="W110" s="105">
        <f>SUMIFS('Plan prihoda za unos u SAP'!$I$3:$I$500,'Plan prihoda za unos u SAP'!$C$3:$C$500,"=81",'Plan prihoda za unos u SAP'!$K$3:$K$500,"=721")</f>
        <v>0</v>
      </c>
      <c r="X110" s="80"/>
      <c r="Y110" s="80"/>
      <c r="Z110" s="80"/>
      <c r="AA110" s="80"/>
      <c r="AB110" s="80"/>
      <c r="AC110" s="80"/>
    </row>
    <row r="111" spans="1:29" ht="12.75" customHeight="1">
      <c r="A111" s="80">
        <v>2023</v>
      </c>
      <c r="B111" s="88" t="s">
        <v>3405</v>
      </c>
      <c r="C111" s="109" t="s">
        <v>3406</v>
      </c>
      <c r="D111" s="90">
        <f t="shared" si="17"/>
        <v>0</v>
      </c>
      <c r="E111" s="105">
        <f>SUMIFS('Plan prihoda za unos u SAP'!$I$3:$I$500,'Plan prihoda za unos u SAP'!$C$3:$C$500,"=11",'Plan prihoda za unos u SAP'!$K$3:$K$500,"=722")</f>
        <v>0</v>
      </c>
      <c r="F111" s="105">
        <f>SUMIFS('Plan prihoda za unos u SAP'!$I$3:$I$500,'Plan prihoda za unos u SAP'!$C$3:$C$500,"=12",'Plan prihoda za unos u SAP'!$K$3:$K$500,"=722")</f>
        <v>0</v>
      </c>
      <c r="G111" s="105">
        <f>SUMIFS('Plan prihoda za unos u SAP'!$I$3:$I$500,'Plan prihoda za unos u SAP'!$C$3:$C$500,"=31",'Plan prihoda za unos u SAP'!$K$3:$K$500,"=722")</f>
        <v>0</v>
      </c>
      <c r="H111" s="105">
        <f>SUMIFS('Plan prihoda za unos u SAP'!$I$3:$I$500,'Plan prihoda za unos u SAP'!$C$3:$C$500,"=41",'Plan prihoda za unos u SAP'!$K$3:$K$500,"=722")</f>
        <v>0</v>
      </c>
      <c r="I111" s="105">
        <f>SUMIFS('Plan prihoda za unos u SAP'!$I$3:$I$500,'Plan prihoda za unos u SAP'!$C$3:$C$500,"=43",'Plan prihoda za unos u SAP'!$K$3:$K$500,"=722")</f>
        <v>0</v>
      </c>
      <c r="J111" s="105">
        <f>SUMIFS('Plan prihoda za unos u SAP'!$I$3:$I$500,'Plan prihoda za unos u SAP'!$C$3:$C$500,"=51",'Plan prihoda za unos u SAP'!$K$3:$K$500,"=722")</f>
        <v>0</v>
      </c>
      <c r="K111" s="105">
        <f>SUMIFS('Plan prihoda za unos u SAP'!$I$3:$I$500,'Plan prihoda za unos u SAP'!$C$3:$C$500,"=52",'Plan prihoda za unos u SAP'!$K$3:$K$500,"=722")</f>
        <v>0</v>
      </c>
      <c r="L111" s="105">
        <f>SUMIFS('Plan prihoda za unos u SAP'!$I$3:$I$500,'Plan prihoda za unos u SAP'!$C$3:$C$500,"=552",'Plan prihoda za unos u SAP'!$K$3:$K$500,"=722")</f>
        <v>0</v>
      </c>
      <c r="M111" s="105">
        <f>SUMIFS('Plan prihoda za unos u SAP'!$I$3:$I$500,'Plan prihoda za unos u SAP'!$C$3:$C$500,"=559",'Plan prihoda za unos u SAP'!$K$3:$K$500,"=722")</f>
        <v>0</v>
      </c>
      <c r="N111" s="105">
        <f>SUMIFS('Plan prihoda za unos u SAP'!$I$3:$I$500,'Plan prihoda za unos u SAP'!$C$3:$C$500,"=561",'Plan prihoda za unos u SAP'!$K$3:$K$500,"=722")</f>
        <v>0</v>
      </c>
      <c r="O111" s="105">
        <f>SUMIFS('Plan prihoda za unos u SAP'!$I$3:$I$500,'Plan prihoda za unos u SAP'!$C$3:$C$500,"=563",'Plan prihoda za unos u SAP'!$K$3:$K$500,"=722")</f>
        <v>0</v>
      </c>
      <c r="P111" s="105">
        <f>SUMIFS('Plan prihoda za unos u SAP'!$I$3:$I$500,'Plan prihoda za unos u SAP'!$C$3:$C$500,"=573",'Plan prihoda za unos u SAP'!$K$3:$K$500,"=722")</f>
        <v>0</v>
      </c>
      <c r="Q111" s="105">
        <f>SUMIFS('Plan prihoda za unos u SAP'!$I$3:$I$500,'Plan prihoda za unos u SAP'!$C$3:$C$500,"=575",'Plan prihoda za unos u SAP'!$K$3:$K$500,"=722")</f>
        <v>0</v>
      </c>
      <c r="R111" s="105">
        <f>SUMIFS('Plan prihoda za unos u SAP'!$I$3:$I$500,'Plan prihoda za unos u SAP'!$C$3:$C$500,"=576",'Plan prihoda za unos u SAP'!$K$3:$K$500,"=722")</f>
        <v>0</v>
      </c>
      <c r="S111" s="105">
        <f>SUMIFS('Plan prihoda za unos u SAP'!$I$3:$I$500,'Plan prihoda za unos u SAP'!$C$3:$C$500,"=581",'Plan prihoda za unos u SAP'!$K$3:$K$500,"=722")</f>
        <v>0</v>
      </c>
      <c r="T111" s="105">
        <f>SUMIFS('Plan prihoda za unos u SAP'!$I$3:$I$500,'Plan prihoda za unos u SAP'!$C$3:$C$500,"=61",'Plan prihoda za unos u SAP'!$K$3:$K$500,"=722")</f>
        <v>0</v>
      </c>
      <c r="U111" s="105">
        <f>SUMIFS('Plan prihoda za unos u SAP'!$I$3:$I$500,'Plan prihoda za unos u SAP'!$C$3:$C$500,"=63",'Plan prihoda za unos u SAP'!$K$3:$K$500,"=722")</f>
        <v>0</v>
      </c>
      <c r="V111" s="105">
        <f>SUMIFS('Plan prihoda za unos u SAP'!$I$3:$I$500,'Plan prihoda za unos u SAP'!$C$3:$C$500,"=71",'Plan prihoda za unos u SAP'!$K$3:$K$500,"=722")</f>
        <v>0</v>
      </c>
      <c r="W111" s="105">
        <f>SUMIFS('Plan prihoda za unos u SAP'!$I$3:$I$500,'Plan prihoda za unos u SAP'!$C$3:$C$500,"=81",'Plan prihoda za unos u SAP'!$K$3:$K$500,"=722")</f>
        <v>0</v>
      </c>
      <c r="X111" s="80"/>
      <c r="Y111" s="80"/>
      <c r="Z111" s="80"/>
      <c r="AA111" s="80"/>
      <c r="AB111" s="80"/>
      <c r="AC111" s="80"/>
    </row>
    <row r="112" spans="1:29" ht="12.75" customHeight="1">
      <c r="A112" s="80">
        <v>2023</v>
      </c>
      <c r="B112" s="88" t="s">
        <v>3407</v>
      </c>
      <c r="C112" s="109" t="s">
        <v>3408</v>
      </c>
      <c r="D112" s="90">
        <f t="shared" si="17"/>
        <v>0</v>
      </c>
      <c r="E112" s="105">
        <f>SUMIFS('Plan prihoda za unos u SAP'!$I$3:$I$500,'Plan prihoda za unos u SAP'!$C$3:$C$500,"=11",'Plan prihoda za unos u SAP'!$K$3:$K$500,"=723")</f>
        <v>0</v>
      </c>
      <c r="F112" s="105">
        <f>SUMIFS('Plan prihoda za unos u SAP'!$I$3:$I$500,'Plan prihoda za unos u SAP'!$C$3:$C$500,"=12",'Plan prihoda za unos u SAP'!$K$3:$K$500,"=723")</f>
        <v>0</v>
      </c>
      <c r="G112" s="105">
        <f>SUMIFS('Plan prihoda za unos u SAP'!$I$3:$I$500,'Plan prihoda za unos u SAP'!$C$3:$C$500,"=31",'Plan prihoda za unos u SAP'!$K$3:$K$500,"=723")</f>
        <v>0</v>
      </c>
      <c r="H112" s="105">
        <f>SUMIFS('Plan prihoda za unos u SAP'!$I$3:$I$500,'Plan prihoda za unos u SAP'!$C$3:$C$500,"=41",'Plan prihoda za unos u SAP'!$K$3:$K$500,"=723")</f>
        <v>0</v>
      </c>
      <c r="I112" s="105">
        <f>SUMIFS('Plan prihoda za unos u SAP'!$I$3:$I$500,'Plan prihoda za unos u SAP'!$C$3:$C$500,"=43",'Plan prihoda za unos u SAP'!$K$3:$K$500,"=723")</f>
        <v>0</v>
      </c>
      <c r="J112" s="105">
        <f>SUMIFS('Plan prihoda za unos u SAP'!$I$3:$I$500,'Plan prihoda za unos u SAP'!$C$3:$C$500,"=51",'Plan prihoda za unos u SAP'!$K$3:$K$500,"=723")</f>
        <v>0</v>
      </c>
      <c r="K112" s="105">
        <f>SUMIFS('Plan prihoda za unos u SAP'!$I$3:$I$500,'Plan prihoda za unos u SAP'!$C$3:$C$500,"=52",'Plan prihoda za unos u SAP'!$K$3:$K$500,"=723")</f>
        <v>0</v>
      </c>
      <c r="L112" s="105">
        <f>SUMIFS('Plan prihoda za unos u SAP'!$I$3:$I$500,'Plan prihoda za unos u SAP'!$C$3:$C$500,"=552",'Plan prihoda za unos u SAP'!$K$3:$K$500,"=723")</f>
        <v>0</v>
      </c>
      <c r="M112" s="105">
        <f>SUMIFS('Plan prihoda za unos u SAP'!$I$3:$I$500,'Plan prihoda za unos u SAP'!$C$3:$C$500,"=559",'Plan prihoda za unos u SAP'!$K$3:$K$500,"=723")</f>
        <v>0</v>
      </c>
      <c r="N112" s="105">
        <f>SUMIFS('Plan prihoda za unos u SAP'!$I$3:$I$500,'Plan prihoda za unos u SAP'!$C$3:$C$500,"=561",'Plan prihoda za unos u SAP'!$K$3:$K$500,"=723")</f>
        <v>0</v>
      </c>
      <c r="O112" s="105">
        <f>SUMIFS('Plan prihoda za unos u SAP'!$I$3:$I$500,'Plan prihoda za unos u SAP'!$C$3:$C$500,"=563",'Plan prihoda za unos u SAP'!$K$3:$K$500,"=723")</f>
        <v>0</v>
      </c>
      <c r="P112" s="105">
        <f>SUMIFS('Plan prihoda za unos u SAP'!$I$3:$I$500,'Plan prihoda za unos u SAP'!$C$3:$C$500,"=573",'Plan prihoda za unos u SAP'!$K$3:$K$500,"=723")</f>
        <v>0</v>
      </c>
      <c r="Q112" s="105">
        <f>SUMIFS('Plan prihoda za unos u SAP'!$I$3:$I$500,'Plan prihoda za unos u SAP'!$C$3:$C$500,"=575",'Plan prihoda za unos u SAP'!$K$3:$K$500,"=723")</f>
        <v>0</v>
      </c>
      <c r="R112" s="105">
        <f>SUMIFS('Plan prihoda za unos u SAP'!$I$3:$I$500,'Plan prihoda za unos u SAP'!$C$3:$C$500,"=576",'Plan prihoda za unos u SAP'!$K$3:$K$500,"=723")</f>
        <v>0</v>
      </c>
      <c r="S112" s="105">
        <f>SUMIFS('Plan prihoda za unos u SAP'!$I$3:$I$500,'Plan prihoda za unos u SAP'!$C$3:$C$500,"=581",'Plan prihoda za unos u SAP'!$K$3:$K$500,"=723")</f>
        <v>0</v>
      </c>
      <c r="T112" s="105">
        <f>SUMIFS('Plan prihoda za unos u SAP'!$I$3:$I$500,'Plan prihoda za unos u SAP'!$C$3:$C$500,"=61",'Plan prihoda za unos u SAP'!$K$3:$K$500,"=723")</f>
        <v>0</v>
      </c>
      <c r="U112" s="105">
        <f>SUMIFS('Plan prihoda za unos u SAP'!$I$3:$I$500,'Plan prihoda za unos u SAP'!$C$3:$C$500,"=63",'Plan prihoda za unos u SAP'!$K$3:$K$500,"=723")</f>
        <v>0</v>
      </c>
      <c r="V112" s="105">
        <f>SUMIFS('Plan prihoda za unos u SAP'!$I$3:$I$500,'Plan prihoda za unos u SAP'!$C$3:$C$500,"=71",'Plan prihoda za unos u SAP'!$K$3:$K$500,"=723")</f>
        <v>0</v>
      </c>
      <c r="W112" s="105">
        <f>SUMIFS('Plan prihoda za unos u SAP'!$I$3:$I$500,'Plan prihoda za unos u SAP'!$C$3:$C$500,"=81",'Plan prihoda za unos u SAP'!$K$3:$K$500,"=723")</f>
        <v>0</v>
      </c>
      <c r="X112" s="80"/>
      <c r="Y112" s="80"/>
      <c r="Z112" s="80"/>
      <c r="AA112" s="80"/>
      <c r="AB112" s="80"/>
      <c r="AC112" s="80"/>
    </row>
    <row r="113" spans="1:29" ht="12.75" customHeight="1">
      <c r="A113" s="80">
        <v>2023</v>
      </c>
      <c r="B113" s="88" t="s">
        <v>3409</v>
      </c>
      <c r="C113" s="109" t="s">
        <v>3410</v>
      </c>
      <c r="D113" s="90">
        <f t="shared" si="17"/>
        <v>0</v>
      </c>
      <c r="E113" s="105">
        <f>SUMIFS('Plan prihoda za unos u SAP'!$I$3:$I$500,'Plan prihoda za unos u SAP'!$C$3:$C$500,"=11",'Plan prihoda za unos u SAP'!$K$3:$K$500,"=725")</f>
        <v>0</v>
      </c>
      <c r="F113" s="105">
        <f>SUMIFS('Plan prihoda za unos u SAP'!$I$3:$I$500,'Plan prihoda za unos u SAP'!$C$3:$C$500,"=12",'Plan prihoda za unos u SAP'!$K$3:$K$500,"=725")</f>
        <v>0</v>
      </c>
      <c r="G113" s="105">
        <f>SUMIFS('Plan prihoda za unos u SAP'!$I$3:$I$500,'Plan prihoda za unos u SAP'!$C$3:$C$500,"=31",'Plan prihoda za unos u SAP'!$K$3:$K$500,"=725")</f>
        <v>0</v>
      </c>
      <c r="H113" s="105">
        <f>SUMIFS('Plan prihoda za unos u SAP'!$I$3:$I$500,'Plan prihoda za unos u SAP'!$C$3:$C$500,"=41",'Plan prihoda za unos u SAP'!$K$3:$K$500,"=725")</f>
        <v>0</v>
      </c>
      <c r="I113" s="105">
        <f>SUMIFS('Plan prihoda za unos u SAP'!$I$3:$I$500,'Plan prihoda za unos u SAP'!$C$3:$C$500,"=43",'Plan prihoda za unos u SAP'!$K$3:$K$500,"=725")</f>
        <v>0</v>
      </c>
      <c r="J113" s="105">
        <f>SUMIFS('Plan prihoda za unos u SAP'!$I$3:$I$500,'Plan prihoda za unos u SAP'!$C$3:$C$500,"=51",'Plan prihoda za unos u SAP'!$K$3:$K$500,"=725")</f>
        <v>0</v>
      </c>
      <c r="K113" s="105">
        <f>SUMIFS('Plan prihoda za unos u SAP'!$I$3:$I$500,'Plan prihoda za unos u SAP'!$C$3:$C$500,"=52",'Plan prihoda za unos u SAP'!$K$3:$K$500,"=725")</f>
        <v>0</v>
      </c>
      <c r="L113" s="105">
        <f>SUMIFS('Plan prihoda za unos u SAP'!$I$3:$I$500,'Plan prihoda za unos u SAP'!$C$3:$C$500,"=552",'Plan prihoda za unos u SAP'!$K$3:$K$500,"=725")</f>
        <v>0</v>
      </c>
      <c r="M113" s="105">
        <f>SUMIFS('Plan prihoda za unos u SAP'!$I$3:$I$500,'Plan prihoda za unos u SAP'!$C$3:$C$500,"=559",'Plan prihoda za unos u SAP'!$K$3:$K$500,"=725")</f>
        <v>0</v>
      </c>
      <c r="N113" s="105">
        <f>SUMIFS('Plan prihoda za unos u SAP'!$I$3:$I$500,'Plan prihoda za unos u SAP'!$C$3:$C$500,"=561",'Plan prihoda za unos u SAP'!$K$3:$K$500,"=725")</f>
        <v>0</v>
      </c>
      <c r="O113" s="105">
        <f>SUMIFS('Plan prihoda za unos u SAP'!$I$3:$I$500,'Plan prihoda za unos u SAP'!$C$3:$C$500,"=563",'Plan prihoda za unos u SAP'!$K$3:$K$500,"=725")</f>
        <v>0</v>
      </c>
      <c r="P113" s="105">
        <f>SUMIFS('Plan prihoda za unos u SAP'!$I$3:$I$500,'Plan prihoda za unos u SAP'!$C$3:$C$500,"=573",'Plan prihoda za unos u SAP'!$K$3:$K$500,"=725")</f>
        <v>0</v>
      </c>
      <c r="Q113" s="105">
        <f>SUMIFS('Plan prihoda za unos u SAP'!$I$3:$I$500,'Plan prihoda za unos u SAP'!$C$3:$C$500,"=575",'Plan prihoda za unos u SAP'!$K$3:$K$500,"=725")</f>
        <v>0</v>
      </c>
      <c r="R113" s="105">
        <f>SUMIFS('Plan prihoda za unos u SAP'!$I$3:$I$500,'Plan prihoda za unos u SAP'!$C$3:$C$500,"=576",'Plan prihoda za unos u SAP'!$K$3:$K$500,"=725")</f>
        <v>0</v>
      </c>
      <c r="S113" s="105">
        <f>SUMIFS('Plan prihoda za unos u SAP'!$I$3:$I$500,'Plan prihoda za unos u SAP'!$C$3:$C$500,"=581",'Plan prihoda za unos u SAP'!$K$3:$K$500,"=725")</f>
        <v>0</v>
      </c>
      <c r="T113" s="105">
        <f>SUMIFS('Plan prihoda za unos u SAP'!$I$3:$I$500,'Plan prihoda za unos u SAP'!$C$3:$C$500,"=61",'Plan prihoda za unos u SAP'!$K$3:$K$500,"=725")</f>
        <v>0</v>
      </c>
      <c r="U113" s="105">
        <f>SUMIFS('Plan prihoda za unos u SAP'!$I$3:$I$500,'Plan prihoda za unos u SAP'!$C$3:$C$500,"=63",'Plan prihoda za unos u SAP'!$K$3:$K$500,"=725")</f>
        <v>0</v>
      </c>
      <c r="V113" s="105">
        <f>SUMIFS('Plan prihoda za unos u SAP'!$I$3:$I$500,'Plan prihoda za unos u SAP'!$C$3:$C$500,"=71",'Plan prihoda za unos u SAP'!$K$3:$K$500,"=725")</f>
        <v>0</v>
      </c>
      <c r="W113" s="105">
        <f>SUMIFS('Plan prihoda za unos u SAP'!$I$3:$I$500,'Plan prihoda za unos u SAP'!$C$3:$C$500,"=81",'Plan prihoda za unos u SAP'!$K$3:$K$500,"=725")</f>
        <v>0</v>
      </c>
      <c r="X113" s="80"/>
      <c r="Y113" s="80"/>
      <c r="Z113" s="80"/>
      <c r="AA113" s="80"/>
      <c r="AB113" s="80"/>
      <c r="AC113" s="80"/>
    </row>
    <row r="114" spans="1:29" ht="12.75" customHeight="1">
      <c r="A114" s="80">
        <v>2023</v>
      </c>
      <c r="B114" s="106" t="s">
        <v>3411</v>
      </c>
      <c r="C114" s="107" t="s">
        <v>3398</v>
      </c>
      <c r="D114" s="90">
        <f t="shared" si="17"/>
        <v>0</v>
      </c>
      <c r="E114" s="108">
        <f t="shared" ref="E114:W114" si="23">SUM(E108:E113)</f>
        <v>0</v>
      </c>
      <c r="F114" s="108">
        <f t="shared" si="23"/>
        <v>0</v>
      </c>
      <c r="G114" s="108">
        <f t="shared" si="23"/>
        <v>0</v>
      </c>
      <c r="H114" s="108">
        <f t="shared" si="23"/>
        <v>0</v>
      </c>
      <c r="I114" s="108">
        <f t="shared" si="23"/>
        <v>0</v>
      </c>
      <c r="J114" s="108">
        <f t="shared" si="23"/>
        <v>0</v>
      </c>
      <c r="K114" s="108">
        <f t="shared" si="23"/>
        <v>0</v>
      </c>
      <c r="L114" s="108">
        <f t="shared" si="23"/>
        <v>0</v>
      </c>
      <c r="M114" s="108">
        <f t="shared" si="23"/>
        <v>0</v>
      </c>
      <c r="N114" s="108">
        <f t="shared" si="23"/>
        <v>0</v>
      </c>
      <c r="O114" s="108">
        <f t="shared" si="23"/>
        <v>0</v>
      </c>
      <c r="P114" s="108">
        <f t="shared" si="23"/>
        <v>0</v>
      </c>
      <c r="Q114" s="108">
        <f t="shared" si="23"/>
        <v>0</v>
      </c>
      <c r="R114" s="108">
        <f t="shared" si="23"/>
        <v>0</v>
      </c>
      <c r="S114" s="108">
        <f t="shared" si="23"/>
        <v>0</v>
      </c>
      <c r="T114" s="108">
        <f t="shared" si="23"/>
        <v>0</v>
      </c>
      <c r="U114" s="108">
        <f t="shared" si="23"/>
        <v>0</v>
      </c>
      <c r="V114" s="108">
        <f t="shared" si="23"/>
        <v>0</v>
      </c>
      <c r="W114" s="108">
        <f t="shared" si="23"/>
        <v>0</v>
      </c>
      <c r="X114" s="80"/>
      <c r="Y114" s="80"/>
      <c r="Z114" s="80"/>
      <c r="AA114" s="80"/>
      <c r="AB114" s="80"/>
      <c r="AC114" s="80"/>
    </row>
    <row r="115" spans="1:29" ht="12.75" customHeight="1">
      <c r="A115" s="80">
        <v>2023</v>
      </c>
      <c r="B115" s="110">
        <v>818</v>
      </c>
      <c r="C115" s="89" t="s">
        <v>3412</v>
      </c>
      <c r="D115" s="90">
        <f t="shared" si="17"/>
        <v>0</v>
      </c>
      <c r="E115" s="105">
        <f>SUMIFS('Plan prihoda za unos u SAP'!$I$3:$I$500,'Plan prihoda za unos u SAP'!$C$3:$C$500,"=11",'Plan prihoda za unos u SAP'!$K$3:$K$500,"=818")</f>
        <v>0</v>
      </c>
      <c r="F115" s="105">
        <f>SUMIFS('Plan prihoda za unos u SAP'!$I$3:$I$500,'Plan prihoda za unos u SAP'!$C$3:$C$500,"=12",'Plan prihoda za unos u SAP'!$K$3:$K$500,"=818")</f>
        <v>0</v>
      </c>
      <c r="G115" s="105">
        <f>SUMIFS('Plan prihoda za unos u SAP'!$I$3:$I$500,'Plan prihoda za unos u SAP'!$C$3:$C$500,"=31",'Plan prihoda za unos u SAP'!$K$3:$K$500,"=818")</f>
        <v>0</v>
      </c>
      <c r="H115" s="105">
        <f>SUMIFS('Plan prihoda za unos u SAP'!$I$3:$I$500,'Plan prihoda za unos u SAP'!$C$3:$C$500,"=41",'Plan prihoda za unos u SAP'!$K$3:$K$500,"=818")</f>
        <v>0</v>
      </c>
      <c r="I115" s="105">
        <f>SUMIFS('Plan prihoda za unos u SAP'!$I$3:$I$500,'Plan prihoda za unos u SAP'!$C$3:$C$500,"=43",'Plan prihoda za unos u SAP'!$K$3:$K$500,"=818")</f>
        <v>0</v>
      </c>
      <c r="J115" s="105">
        <f>SUMIFS('Plan prihoda za unos u SAP'!$I$3:$I$500,'Plan prihoda za unos u SAP'!$C$3:$C$500,"=51",'Plan prihoda za unos u SAP'!$K$3:$K$500,"=818")</f>
        <v>0</v>
      </c>
      <c r="K115" s="105">
        <f>SUMIFS('Plan prihoda za unos u SAP'!$I$3:$I$500,'Plan prihoda za unos u SAP'!$C$3:$C$500,"=52",'Plan prihoda za unos u SAP'!$K$3:$K$500,"=818")</f>
        <v>0</v>
      </c>
      <c r="L115" s="105">
        <f>SUMIFS('Plan prihoda za unos u SAP'!$I$3:$I$500,'Plan prihoda za unos u SAP'!$C$3:$C$500,"=552",'Plan prihoda za unos u SAP'!$K$3:$K$500,"=818")</f>
        <v>0</v>
      </c>
      <c r="M115" s="105">
        <f>SUMIFS('Plan prihoda za unos u SAP'!$I$3:$I$500,'Plan prihoda za unos u SAP'!$C$3:$C$500,"=559",'Plan prihoda za unos u SAP'!$K$3:$K$500,"=818")</f>
        <v>0</v>
      </c>
      <c r="N115" s="105">
        <f>SUMIFS('Plan prihoda za unos u SAP'!$I$3:$I$500,'Plan prihoda za unos u SAP'!$C$3:$C$500,"=561",'Plan prihoda za unos u SAP'!$K$3:$K$500,"=818")</f>
        <v>0</v>
      </c>
      <c r="O115" s="105">
        <f>SUMIFS('Plan prihoda za unos u SAP'!$I$3:$I$500,'Plan prihoda za unos u SAP'!$C$3:$C$500,"=563",'Plan prihoda za unos u SAP'!$K$3:$K$500,"=818")</f>
        <v>0</v>
      </c>
      <c r="P115" s="105">
        <f>SUMIFS('Plan prihoda za unos u SAP'!$I$3:$I$500,'Plan prihoda za unos u SAP'!$C$3:$C$500,"=573",'Plan prihoda za unos u SAP'!$K$3:$K$500,"=818")</f>
        <v>0</v>
      </c>
      <c r="Q115" s="105">
        <f>SUMIFS('Plan prihoda za unos u SAP'!$I$3:$I$500,'Plan prihoda za unos u SAP'!$C$3:$C$500,"=575",'Plan prihoda za unos u SAP'!$K$3:$K$500,"=818")</f>
        <v>0</v>
      </c>
      <c r="R115" s="105">
        <f>SUMIFS('Plan prihoda za unos u SAP'!$I$3:$I$500,'Plan prihoda za unos u SAP'!$C$3:$C$500,"=576",'Plan prihoda za unos u SAP'!$K$3:$K$500,"=818")</f>
        <v>0</v>
      </c>
      <c r="S115" s="105">
        <f>SUMIFS('Plan prihoda za unos u SAP'!$I$3:$I$500,'Plan prihoda za unos u SAP'!$C$3:$C$500,"=581",'Plan prihoda za unos u SAP'!$K$3:$K$500,"=818")</f>
        <v>0</v>
      </c>
      <c r="T115" s="105">
        <f>SUMIFS('Plan prihoda za unos u SAP'!$I$3:$I$500,'Plan prihoda za unos u SAP'!$C$3:$C$500,"=61",'Plan prihoda za unos u SAP'!$K$3:$K$500,"=818")</f>
        <v>0</v>
      </c>
      <c r="U115" s="105">
        <f>SUMIFS('Plan prihoda za unos u SAP'!$I$3:$I$500,'Plan prihoda za unos u SAP'!$C$3:$C$500,"=63",'Plan prihoda za unos u SAP'!$K$3:$K$500,"=818")</f>
        <v>0</v>
      </c>
      <c r="V115" s="105">
        <f>SUMIFS('Plan prihoda za unos u SAP'!$I$3:$I$500,'Plan prihoda za unos u SAP'!$C$3:$C$500,"=71",'Plan prihoda za unos u SAP'!$K$3:$K$500,"=818")</f>
        <v>0</v>
      </c>
      <c r="W115" s="105">
        <f>SUMIFS('Plan prihoda za unos u SAP'!$I$3:$I$500,'Plan prihoda za unos u SAP'!$C$3:$C$500,"=81",'Plan prihoda za unos u SAP'!$K$3:$K$500,"=818")</f>
        <v>0</v>
      </c>
      <c r="X115" s="80"/>
      <c r="Y115" s="80"/>
      <c r="Z115" s="80"/>
      <c r="AA115" s="80"/>
      <c r="AB115" s="80"/>
      <c r="AC115" s="80"/>
    </row>
    <row r="116" spans="1:29" ht="12.75" customHeight="1">
      <c r="A116" s="80">
        <v>2023</v>
      </c>
      <c r="B116" s="110">
        <v>832</v>
      </c>
      <c r="C116" s="89" t="s">
        <v>3413</v>
      </c>
      <c r="D116" s="90">
        <f t="shared" si="17"/>
        <v>0</v>
      </c>
      <c r="E116" s="105">
        <f>SUMIFS('Plan prihoda za unos u SAP'!$I$3:$I$500,'Plan prihoda za unos u SAP'!$C$3:$C$500,"=11",'Plan prihoda za unos u SAP'!$K$3:$K$500,"=832")</f>
        <v>0</v>
      </c>
      <c r="F116" s="105">
        <f>SUMIFS('Plan prihoda za unos u SAP'!$I$3:$I$500,'Plan prihoda za unos u SAP'!$C$3:$C$500,"=12",'Plan prihoda za unos u SAP'!$K$3:$K$500,"=832")</f>
        <v>0</v>
      </c>
      <c r="G116" s="105">
        <f>SUMIFS('Plan prihoda za unos u SAP'!$I$3:$I$500,'Plan prihoda za unos u SAP'!$C$3:$C$500,"=31",'Plan prihoda za unos u SAP'!$K$3:$K$500,"=832")</f>
        <v>0</v>
      </c>
      <c r="H116" s="105">
        <f>SUMIFS('Plan prihoda za unos u SAP'!$I$3:$I$500,'Plan prihoda za unos u SAP'!$C$3:$C$500,"=41",'Plan prihoda za unos u SAP'!$K$3:$K$500,"=832")</f>
        <v>0</v>
      </c>
      <c r="I116" s="105">
        <f>SUMIFS('Plan prihoda za unos u SAP'!$I$3:$I$500,'Plan prihoda za unos u SAP'!$C$3:$C$500,"=43",'Plan prihoda za unos u SAP'!$K$3:$K$500,"=832")</f>
        <v>0</v>
      </c>
      <c r="J116" s="105">
        <f>SUMIFS('Plan prihoda za unos u SAP'!$I$3:$I$500,'Plan prihoda za unos u SAP'!$C$3:$C$500,"=51",'Plan prihoda za unos u SAP'!$K$3:$K$500,"=832")</f>
        <v>0</v>
      </c>
      <c r="K116" s="105">
        <f>SUMIFS('Plan prihoda za unos u SAP'!$I$3:$I$500,'Plan prihoda za unos u SAP'!$C$3:$C$500,"=52",'Plan prihoda za unos u SAP'!$K$3:$K$500,"=832")</f>
        <v>0</v>
      </c>
      <c r="L116" s="105">
        <f>SUMIFS('Plan prihoda za unos u SAP'!$I$3:$I$500,'Plan prihoda za unos u SAP'!$C$3:$C$500,"=552",'Plan prihoda za unos u SAP'!$K$3:$K$500,"=832")</f>
        <v>0</v>
      </c>
      <c r="M116" s="105">
        <f>SUMIFS('Plan prihoda za unos u SAP'!$I$3:$I$500,'Plan prihoda za unos u SAP'!$C$3:$C$500,"=559",'Plan prihoda za unos u SAP'!$K$3:$K$500,"=832")</f>
        <v>0</v>
      </c>
      <c r="N116" s="105">
        <f>SUMIFS('Plan prihoda za unos u SAP'!$I$3:$I$500,'Plan prihoda za unos u SAP'!$C$3:$C$500,"=561",'Plan prihoda za unos u SAP'!$K$3:$K$500,"=832")</f>
        <v>0</v>
      </c>
      <c r="O116" s="105">
        <f>SUMIFS('Plan prihoda za unos u SAP'!$I$3:$I$500,'Plan prihoda za unos u SAP'!$C$3:$C$500,"=563",'Plan prihoda za unos u SAP'!$K$3:$K$500,"=832")</f>
        <v>0</v>
      </c>
      <c r="P116" s="105">
        <f>SUMIFS('Plan prihoda za unos u SAP'!$I$3:$I$500,'Plan prihoda za unos u SAP'!$C$3:$C$500,"=573",'Plan prihoda za unos u SAP'!$K$3:$K$500,"=832")</f>
        <v>0</v>
      </c>
      <c r="Q116" s="105">
        <f>SUMIFS('Plan prihoda za unos u SAP'!$I$3:$I$500,'Plan prihoda za unos u SAP'!$C$3:$C$500,"=575",'Plan prihoda za unos u SAP'!$K$3:$K$500,"=832")</f>
        <v>0</v>
      </c>
      <c r="R116" s="105">
        <f>SUMIFS('Plan prihoda za unos u SAP'!$I$3:$I$500,'Plan prihoda za unos u SAP'!$C$3:$C$500,"=576",'Plan prihoda za unos u SAP'!$K$3:$K$500,"=832")</f>
        <v>0</v>
      </c>
      <c r="S116" s="105">
        <f>SUMIFS('Plan prihoda za unos u SAP'!$I$3:$I$500,'Plan prihoda za unos u SAP'!$C$3:$C$500,"=581",'Plan prihoda za unos u SAP'!$K$3:$K$500,"=832")</f>
        <v>0</v>
      </c>
      <c r="T116" s="105">
        <f>SUMIFS('Plan prihoda za unos u SAP'!$I$3:$I$500,'Plan prihoda za unos u SAP'!$C$3:$C$500,"=61",'Plan prihoda za unos u SAP'!$K$3:$K$500,"=832")</f>
        <v>0</v>
      </c>
      <c r="U116" s="105">
        <f>SUMIFS('Plan prihoda za unos u SAP'!$I$3:$I$500,'Plan prihoda za unos u SAP'!$C$3:$C$500,"=63",'Plan prihoda za unos u SAP'!$K$3:$K$500,"=832")</f>
        <v>0</v>
      </c>
      <c r="V116" s="105">
        <f>SUMIFS('Plan prihoda za unos u SAP'!$I$3:$I$500,'Plan prihoda za unos u SAP'!$C$3:$C$500,"=71",'Plan prihoda za unos u SAP'!$K$3:$K$500,"=832")</f>
        <v>0</v>
      </c>
      <c r="W116" s="105">
        <f>SUMIFS('Plan prihoda za unos u SAP'!$I$3:$I$500,'Plan prihoda za unos u SAP'!$C$3:$C$500,"=81",'Plan prihoda za unos u SAP'!$K$3:$K$500,"=832")</f>
        <v>0</v>
      </c>
      <c r="X116" s="80"/>
      <c r="Y116" s="80"/>
      <c r="Z116" s="80"/>
      <c r="AA116" s="80"/>
      <c r="AB116" s="80"/>
      <c r="AC116" s="80"/>
    </row>
    <row r="117" spans="1:29" ht="12.75" customHeight="1">
      <c r="A117" s="80">
        <v>2023</v>
      </c>
      <c r="B117" s="110">
        <v>833</v>
      </c>
      <c r="C117" s="89" t="s">
        <v>3414</v>
      </c>
      <c r="D117" s="90">
        <f t="shared" si="17"/>
        <v>0</v>
      </c>
      <c r="E117" s="105">
        <f>SUMIFS('Plan prihoda za unos u SAP'!$I$3:$I$500,'Plan prihoda za unos u SAP'!$C$3:$C$500,"=11",'Plan prihoda za unos u SAP'!$K$3:$K$500,"=833")</f>
        <v>0</v>
      </c>
      <c r="F117" s="105">
        <f>SUMIFS('Plan prihoda za unos u SAP'!$I$3:$I$500,'Plan prihoda za unos u SAP'!$C$3:$C$500,"=12",'Plan prihoda za unos u SAP'!$K$3:$K$500,"=833")</f>
        <v>0</v>
      </c>
      <c r="G117" s="105">
        <f>SUMIFS('Plan prihoda za unos u SAP'!$I$3:$I$500,'Plan prihoda za unos u SAP'!$C$3:$C$500,"=31",'Plan prihoda za unos u SAP'!$K$3:$K$500,"=833")</f>
        <v>0</v>
      </c>
      <c r="H117" s="105">
        <f>SUMIFS('Plan prihoda za unos u SAP'!$I$3:$I$500,'Plan prihoda za unos u SAP'!$C$3:$C$500,"=41",'Plan prihoda za unos u SAP'!$K$3:$K$500,"=833")</f>
        <v>0</v>
      </c>
      <c r="I117" s="105">
        <f>SUMIFS('Plan prihoda za unos u SAP'!$I$3:$I$500,'Plan prihoda za unos u SAP'!$C$3:$C$500,"=43",'Plan prihoda za unos u SAP'!$K$3:$K$500,"=833")</f>
        <v>0</v>
      </c>
      <c r="J117" s="105">
        <f>SUMIFS('Plan prihoda za unos u SAP'!$I$3:$I$500,'Plan prihoda za unos u SAP'!$C$3:$C$500,"=51",'Plan prihoda za unos u SAP'!$K$3:$K$500,"=833")</f>
        <v>0</v>
      </c>
      <c r="K117" s="105">
        <f>SUMIFS('Plan prihoda za unos u SAP'!$I$3:$I$500,'Plan prihoda za unos u SAP'!$C$3:$C$500,"=52",'Plan prihoda za unos u SAP'!$K$3:$K$500,"=833")</f>
        <v>0</v>
      </c>
      <c r="L117" s="105">
        <f>SUMIFS('Plan prihoda za unos u SAP'!$I$3:$I$500,'Plan prihoda za unos u SAP'!$C$3:$C$500,"=552",'Plan prihoda za unos u SAP'!$K$3:$K$500,"=833")</f>
        <v>0</v>
      </c>
      <c r="M117" s="105">
        <f>SUMIFS('Plan prihoda za unos u SAP'!$I$3:$I$500,'Plan prihoda za unos u SAP'!$C$3:$C$500,"=559",'Plan prihoda za unos u SAP'!$K$3:$K$500,"=833")</f>
        <v>0</v>
      </c>
      <c r="N117" s="105">
        <f>SUMIFS('Plan prihoda za unos u SAP'!$I$3:$I$500,'Plan prihoda za unos u SAP'!$C$3:$C$500,"=561",'Plan prihoda za unos u SAP'!$K$3:$K$500,"=833")</f>
        <v>0</v>
      </c>
      <c r="O117" s="105">
        <f>SUMIFS('Plan prihoda za unos u SAP'!$I$3:$I$500,'Plan prihoda za unos u SAP'!$C$3:$C$500,"=563",'Plan prihoda za unos u SAP'!$K$3:$K$500,"=833")</f>
        <v>0</v>
      </c>
      <c r="P117" s="105">
        <f>SUMIFS('Plan prihoda za unos u SAP'!$I$3:$I$500,'Plan prihoda za unos u SAP'!$C$3:$C$500,"=573",'Plan prihoda za unos u SAP'!$K$3:$K$500,"=833")</f>
        <v>0</v>
      </c>
      <c r="Q117" s="105">
        <f>SUMIFS('Plan prihoda za unos u SAP'!$I$3:$I$500,'Plan prihoda za unos u SAP'!$C$3:$C$500,"=575",'Plan prihoda za unos u SAP'!$K$3:$K$500,"=833")</f>
        <v>0</v>
      </c>
      <c r="R117" s="105">
        <f>SUMIFS('Plan prihoda za unos u SAP'!$I$3:$I$500,'Plan prihoda za unos u SAP'!$C$3:$C$500,"=576",'Plan prihoda za unos u SAP'!$K$3:$K$500,"=833")</f>
        <v>0</v>
      </c>
      <c r="S117" s="105">
        <f>SUMIFS('Plan prihoda za unos u SAP'!$I$3:$I$500,'Plan prihoda za unos u SAP'!$C$3:$C$500,"=581",'Plan prihoda za unos u SAP'!$K$3:$K$500,"=833")</f>
        <v>0</v>
      </c>
      <c r="T117" s="105">
        <f>SUMIFS('Plan prihoda za unos u SAP'!$I$3:$I$500,'Plan prihoda za unos u SAP'!$C$3:$C$500,"=61",'Plan prihoda za unos u SAP'!$K$3:$K$500,"=833")</f>
        <v>0</v>
      </c>
      <c r="U117" s="105">
        <f>SUMIFS('Plan prihoda za unos u SAP'!$I$3:$I$500,'Plan prihoda za unos u SAP'!$C$3:$C$500,"=63",'Plan prihoda za unos u SAP'!$K$3:$K$500,"=833")</f>
        <v>0</v>
      </c>
      <c r="V117" s="105">
        <f>SUMIFS('Plan prihoda za unos u SAP'!$I$3:$I$500,'Plan prihoda za unos u SAP'!$C$3:$C$500,"=71",'Plan prihoda za unos u SAP'!$K$3:$K$500,"=833")</f>
        <v>0</v>
      </c>
      <c r="W117" s="105">
        <f>SUMIFS('Plan prihoda za unos u SAP'!$I$3:$I$500,'Plan prihoda za unos u SAP'!$C$3:$C$500,"=81",'Plan prihoda za unos u SAP'!$K$3:$K$500,"=833")</f>
        <v>0</v>
      </c>
      <c r="X117" s="80"/>
      <c r="Y117" s="80"/>
      <c r="Z117" s="80"/>
      <c r="AA117" s="80"/>
      <c r="AB117" s="80"/>
      <c r="AC117" s="80"/>
    </row>
    <row r="118" spans="1:29" ht="12.75" customHeight="1">
      <c r="A118" s="80">
        <v>2023</v>
      </c>
      <c r="B118" s="110">
        <v>841</v>
      </c>
      <c r="C118" s="89" t="s">
        <v>3415</v>
      </c>
      <c r="D118" s="90">
        <f t="shared" si="17"/>
        <v>0</v>
      </c>
      <c r="E118" s="105">
        <f>SUMIFS('Plan prihoda za unos u SAP'!$I$3:$I$500,'Plan prihoda za unos u SAP'!$C$3:$C$500,"=11",'Plan prihoda za unos u SAP'!$K$3:$K$500,"=841")</f>
        <v>0</v>
      </c>
      <c r="F118" s="105">
        <f>SUMIFS('Plan prihoda za unos u SAP'!$I$3:$I$500,'Plan prihoda za unos u SAP'!$C$3:$C$500,"=12",'Plan prihoda za unos u SAP'!$K$3:$K$500,"=841")</f>
        <v>0</v>
      </c>
      <c r="G118" s="105">
        <f>SUMIFS('Plan prihoda za unos u SAP'!$I$3:$I$500,'Plan prihoda za unos u SAP'!$C$3:$C$500,"=31",'Plan prihoda za unos u SAP'!$K$3:$K$500,"=841")</f>
        <v>0</v>
      </c>
      <c r="H118" s="105">
        <f>SUMIFS('Plan prihoda za unos u SAP'!$I$3:$I$500,'Plan prihoda za unos u SAP'!$C$3:$C$500,"=41",'Plan prihoda za unos u SAP'!$K$3:$K$500,"=841")</f>
        <v>0</v>
      </c>
      <c r="I118" s="105">
        <f>SUMIFS('Plan prihoda za unos u SAP'!$I$3:$I$500,'Plan prihoda za unos u SAP'!$C$3:$C$500,"=43",'Plan prihoda za unos u SAP'!$K$3:$K$500,"=841")</f>
        <v>0</v>
      </c>
      <c r="J118" s="105">
        <f>SUMIFS('Plan prihoda za unos u SAP'!$I$3:$I$500,'Plan prihoda za unos u SAP'!$C$3:$C$500,"=51",'Plan prihoda za unos u SAP'!$K$3:$K$500,"=841")</f>
        <v>0</v>
      </c>
      <c r="K118" s="105">
        <f>SUMIFS('Plan prihoda za unos u SAP'!$I$3:$I$500,'Plan prihoda za unos u SAP'!$C$3:$C$500,"=52",'Plan prihoda za unos u SAP'!$K$3:$K$500,"=841")</f>
        <v>0</v>
      </c>
      <c r="L118" s="105">
        <f>SUMIFS('Plan prihoda za unos u SAP'!$I$3:$I$500,'Plan prihoda za unos u SAP'!$C$3:$C$500,"=552",'Plan prihoda za unos u SAP'!$K$3:$K$500,"=841")</f>
        <v>0</v>
      </c>
      <c r="M118" s="105">
        <f>SUMIFS('Plan prihoda za unos u SAP'!$I$3:$I$500,'Plan prihoda za unos u SAP'!$C$3:$C$500,"=559",'Plan prihoda za unos u SAP'!$K$3:$K$500,"=841")</f>
        <v>0</v>
      </c>
      <c r="N118" s="105">
        <f>SUMIFS('Plan prihoda za unos u SAP'!$I$3:$I$500,'Plan prihoda za unos u SAP'!$C$3:$C$500,"=561",'Plan prihoda za unos u SAP'!$K$3:$K$500,"=841")</f>
        <v>0</v>
      </c>
      <c r="O118" s="105">
        <f>SUMIFS('Plan prihoda za unos u SAP'!$I$3:$I$500,'Plan prihoda za unos u SAP'!$C$3:$C$500,"=563",'Plan prihoda za unos u SAP'!$K$3:$K$500,"=841")</f>
        <v>0</v>
      </c>
      <c r="P118" s="105">
        <f>SUMIFS('Plan prihoda za unos u SAP'!$I$3:$I$500,'Plan prihoda za unos u SAP'!$C$3:$C$500,"=573",'Plan prihoda za unos u SAP'!$K$3:$K$500,"=841")</f>
        <v>0</v>
      </c>
      <c r="Q118" s="105">
        <f>SUMIFS('Plan prihoda za unos u SAP'!$I$3:$I$500,'Plan prihoda za unos u SAP'!$C$3:$C$500,"=575",'Plan prihoda za unos u SAP'!$K$3:$K$500,"=841")</f>
        <v>0</v>
      </c>
      <c r="R118" s="105">
        <f>SUMIFS('Plan prihoda za unos u SAP'!$I$3:$I$500,'Plan prihoda za unos u SAP'!$C$3:$C$500,"=576",'Plan prihoda za unos u SAP'!$K$3:$K$500,"=841")</f>
        <v>0</v>
      </c>
      <c r="S118" s="105">
        <f>SUMIFS('Plan prihoda za unos u SAP'!$I$3:$I$500,'Plan prihoda za unos u SAP'!$C$3:$C$500,"=581",'Plan prihoda za unos u SAP'!$K$3:$K$500,"=841")</f>
        <v>0</v>
      </c>
      <c r="T118" s="105">
        <f>SUMIFS('Plan prihoda za unos u SAP'!$I$3:$I$500,'Plan prihoda za unos u SAP'!$C$3:$C$500,"=61",'Plan prihoda za unos u SAP'!$K$3:$K$500,"=841")</f>
        <v>0</v>
      </c>
      <c r="U118" s="105">
        <f>SUMIFS('Plan prihoda za unos u SAP'!$I$3:$I$500,'Plan prihoda za unos u SAP'!$C$3:$C$500,"=63",'Plan prihoda za unos u SAP'!$K$3:$K$500,"=841")</f>
        <v>0</v>
      </c>
      <c r="V118" s="105">
        <f>SUMIFS('Plan prihoda za unos u SAP'!$I$3:$I$500,'Plan prihoda za unos u SAP'!$C$3:$C$500,"=71",'Plan prihoda za unos u SAP'!$K$3:$K$500,"=841")</f>
        <v>0</v>
      </c>
      <c r="W118" s="105">
        <f>SUMIFS('Plan prihoda za unos u SAP'!$I$3:$I$500,'Plan prihoda za unos u SAP'!$C$3:$C$500,"=81",'Plan prihoda za unos u SAP'!$K$3:$K$500,"=841")</f>
        <v>0</v>
      </c>
      <c r="X118" s="80"/>
      <c r="Y118" s="80"/>
      <c r="Z118" s="80"/>
      <c r="AA118" s="80"/>
      <c r="AB118" s="80"/>
      <c r="AC118" s="80"/>
    </row>
    <row r="119" spans="1:29" ht="12.75" customHeight="1">
      <c r="A119" s="80">
        <v>2023</v>
      </c>
      <c r="B119" s="110">
        <v>842</v>
      </c>
      <c r="C119" s="89" t="s">
        <v>3416</v>
      </c>
      <c r="D119" s="90">
        <f t="shared" si="17"/>
        <v>0</v>
      </c>
      <c r="E119" s="105">
        <f>SUMIFS('Plan prihoda za unos u SAP'!$I$3:$I$500,'Plan prihoda za unos u SAP'!$C$3:$C$500,"=11",'Plan prihoda za unos u SAP'!$K$3:$K$500,"=841")</f>
        <v>0</v>
      </c>
      <c r="F119" s="105">
        <f>SUMIFS('Plan prihoda za unos u SAP'!$I$3:$I$500,'Plan prihoda za unos u SAP'!$C$3:$C$500,"=12",'Plan prihoda za unos u SAP'!$K$3:$K$500,"=841")</f>
        <v>0</v>
      </c>
      <c r="G119" s="105">
        <f>SUMIFS('Plan prihoda za unos u SAP'!$I$3:$I$500,'Plan prihoda za unos u SAP'!$C$3:$C$500,"=31",'Plan prihoda za unos u SAP'!$K$3:$K$500,"=841")</f>
        <v>0</v>
      </c>
      <c r="H119" s="105">
        <f>SUMIFS('Plan prihoda za unos u SAP'!$I$3:$I$500,'Plan prihoda za unos u SAP'!$C$3:$C$500,"=41",'Plan prihoda za unos u SAP'!$K$3:$K$500,"=841")</f>
        <v>0</v>
      </c>
      <c r="I119" s="105">
        <f>SUMIFS('Plan prihoda za unos u SAP'!$I$3:$I$500,'Plan prihoda za unos u SAP'!$C$3:$C$500,"=43",'Plan prihoda za unos u SAP'!$K$3:$K$500,"=841")</f>
        <v>0</v>
      </c>
      <c r="J119" s="105">
        <f>SUMIFS('Plan prihoda za unos u SAP'!$I$3:$I$500,'Plan prihoda za unos u SAP'!$C$3:$C$500,"=51",'Plan prihoda za unos u SAP'!$K$3:$K$500,"=841")</f>
        <v>0</v>
      </c>
      <c r="K119" s="105">
        <f>SUMIFS('Plan prihoda za unos u SAP'!$I$3:$I$500,'Plan prihoda za unos u SAP'!$C$3:$C$500,"=52",'Plan prihoda za unos u SAP'!$K$3:$K$500,"=841")</f>
        <v>0</v>
      </c>
      <c r="L119" s="105">
        <f>SUMIFS('Plan prihoda za unos u SAP'!$I$3:$I$500,'Plan prihoda za unos u SAP'!$C$3:$C$500,"=552",'Plan prihoda za unos u SAP'!$K$3:$K$500,"=841")</f>
        <v>0</v>
      </c>
      <c r="M119" s="105">
        <f>SUMIFS('Plan prihoda za unos u SAP'!$I$3:$I$500,'Plan prihoda za unos u SAP'!$C$3:$C$500,"=559",'Plan prihoda za unos u SAP'!$K$3:$K$500,"=841")</f>
        <v>0</v>
      </c>
      <c r="N119" s="105">
        <f>SUMIFS('Plan prihoda za unos u SAP'!$I$3:$I$500,'Plan prihoda za unos u SAP'!$C$3:$C$500,"=561",'Plan prihoda za unos u SAP'!$K$3:$K$500,"=841")</f>
        <v>0</v>
      </c>
      <c r="O119" s="105">
        <f>SUMIFS('Plan prihoda za unos u SAP'!$I$3:$I$500,'Plan prihoda za unos u SAP'!$C$3:$C$500,"=563",'Plan prihoda za unos u SAP'!$K$3:$K$500,"=841")</f>
        <v>0</v>
      </c>
      <c r="P119" s="105">
        <f>SUMIFS('Plan prihoda za unos u SAP'!$I$3:$I$500,'Plan prihoda za unos u SAP'!$C$3:$C$500,"=573",'Plan prihoda za unos u SAP'!$K$3:$K$500,"=841")</f>
        <v>0</v>
      </c>
      <c r="Q119" s="105">
        <f>SUMIFS('Plan prihoda za unos u SAP'!$I$3:$I$500,'Plan prihoda za unos u SAP'!$C$3:$C$500,"=575",'Plan prihoda za unos u SAP'!$K$3:$K$500,"=841")</f>
        <v>0</v>
      </c>
      <c r="R119" s="105">
        <f>SUMIFS('Plan prihoda za unos u SAP'!$I$3:$I$500,'Plan prihoda za unos u SAP'!$C$3:$C$500,"=576",'Plan prihoda za unos u SAP'!$K$3:$K$500,"=841")</f>
        <v>0</v>
      </c>
      <c r="S119" s="105">
        <f>SUMIFS('Plan prihoda za unos u SAP'!$I$3:$I$500,'Plan prihoda za unos u SAP'!$C$3:$C$500,"=581",'Plan prihoda za unos u SAP'!$K$3:$K$500,"=841")</f>
        <v>0</v>
      </c>
      <c r="T119" s="105">
        <f>SUMIFS('Plan prihoda za unos u SAP'!$I$3:$I$500,'Plan prihoda za unos u SAP'!$C$3:$C$500,"=61",'Plan prihoda za unos u SAP'!$K$3:$K$500,"=841")</f>
        <v>0</v>
      </c>
      <c r="U119" s="105">
        <f>SUMIFS('Plan prihoda za unos u SAP'!$I$3:$I$500,'Plan prihoda za unos u SAP'!$C$3:$C$500,"=63",'Plan prihoda za unos u SAP'!$K$3:$K$500,"=841")</f>
        <v>0</v>
      </c>
      <c r="V119" s="105">
        <f>SUMIFS('Plan prihoda za unos u SAP'!$I$3:$I$500,'Plan prihoda za unos u SAP'!$C$3:$C$500,"=71",'Plan prihoda za unos u SAP'!$K$3:$K$500,"=841")</f>
        <v>0</v>
      </c>
      <c r="W119" s="105">
        <f>SUMIFS('Plan prihoda za unos u SAP'!$I$3:$I$500,'Plan prihoda za unos u SAP'!$C$3:$C$500,"=81",'Plan prihoda za unos u SAP'!$K$3:$K$500,"=841")</f>
        <v>0</v>
      </c>
      <c r="X119" s="80"/>
      <c r="Y119" s="80"/>
      <c r="Z119" s="80"/>
      <c r="AA119" s="80"/>
      <c r="AB119" s="80"/>
      <c r="AC119" s="80"/>
    </row>
    <row r="120" spans="1:29" ht="12.75" customHeight="1">
      <c r="A120" s="80">
        <v>2023</v>
      </c>
      <c r="B120" s="106" t="s">
        <v>3417</v>
      </c>
      <c r="C120" s="107" t="s">
        <v>3398</v>
      </c>
      <c r="D120" s="90">
        <f t="shared" si="17"/>
        <v>0</v>
      </c>
      <c r="E120" s="108">
        <f t="shared" ref="E120:W120" si="24">SUM(E115:E119)</f>
        <v>0</v>
      </c>
      <c r="F120" s="108">
        <f t="shared" si="24"/>
        <v>0</v>
      </c>
      <c r="G120" s="108">
        <f t="shared" si="24"/>
        <v>0</v>
      </c>
      <c r="H120" s="108">
        <f t="shared" si="24"/>
        <v>0</v>
      </c>
      <c r="I120" s="108">
        <f t="shared" si="24"/>
        <v>0</v>
      </c>
      <c r="J120" s="108">
        <f t="shared" si="24"/>
        <v>0</v>
      </c>
      <c r="K120" s="108">
        <f t="shared" si="24"/>
        <v>0</v>
      </c>
      <c r="L120" s="108">
        <f t="shared" si="24"/>
        <v>0</v>
      </c>
      <c r="M120" s="108">
        <f t="shared" si="24"/>
        <v>0</v>
      </c>
      <c r="N120" s="108">
        <f t="shared" si="24"/>
        <v>0</v>
      </c>
      <c r="O120" s="108">
        <f t="shared" si="24"/>
        <v>0</v>
      </c>
      <c r="P120" s="108">
        <f t="shared" si="24"/>
        <v>0</v>
      </c>
      <c r="Q120" s="108">
        <f t="shared" si="24"/>
        <v>0</v>
      </c>
      <c r="R120" s="108">
        <f t="shared" si="24"/>
        <v>0</v>
      </c>
      <c r="S120" s="108">
        <f t="shared" si="24"/>
        <v>0</v>
      </c>
      <c r="T120" s="108">
        <f t="shared" si="24"/>
        <v>0</v>
      </c>
      <c r="U120" s="108">
        <f t="shared" si="24"/>
        <v>0</v>
      </c>
      <c r="V120" s="108">
        <f t="shared" si="24"/>
        <v>0</v>
      </c>
      <c r="W120" s="108">
        <f t="shared" si="24"/>
        <v>0</v>
      </c>
      <c r="X120" s="80"/>
      <c r="Y120" s="80"/>
      <c r="Z120" s="80"/>
      <c r="AA120" s="80"/>
      <c r="AB120" s="80"/>
      <c r="AC120" s="80"/>
    </row>
    <row r="121" spans="1:29" ht="21" customHeight="1">
      <c r="A121" s="80">
        <v>2023</v>
      </c>
      <c r="B121" s="85" t="s">
        <v>3418</v>
      </c>
      <c r="C121" s="85"/>
      <c r="D121" s="111">
        <f t="shared" si="17"/>
        <v>190929459</v>
      </c>
      <c r="E121" s="111">
        <f t="shared" ref="E121:W121" si="25">+E120+E114+E107</f>
        <v>139302798</v>
      </c>
      <c r="F121" s="111">
        <f t="shared" si="25"/>
        <v>0</v>
      </c>
      <c r="G121" s="111">
        <f t="shared" si="25"/>
        <v>15652192</v>
      </c>
      <c r="H121" s="111">
        <f t="shared" si="25"/>
        <v>0</v>
      </c>
      <c r="I121" s="111">
        <f t="shared" si="25"/>
        <v>25500000</v>
      </c>
      <c r="J121" s="111">
        <f t="shared" si="25"/>
        <v>524469</v>
      </c>
      <c r="K121" s="111">
        <f t="shared" si="25"/>
        <v>9850000</v>
      </c>
      <c r="L121" s="111">
        <f t="shared" si="25"/>
        <v>0</v>
      </c>
      <c r="M121" s="111">
        <f t="shared" si="25"/>
        <v>0</v>
      </c>
      <c r="N121" s="111">
        <f t="shared" si="25"/>
        <v>0</v>
      </c>
      <c r="O121" s="111">
        <f t="shared" si="25"/>
        <v>0</v>
      </c>
      <c r="P121" s="111">
        <f t="shared" si="25"/>
        <v>0</v>
      </c>
      <c r="Q121" s="111">
        <f t="shared" si="25"/>
        <v>0</v>
      </c>
      <c r="R121" s="111">
        <f t="shared" si="25"/>
        <v>0</v>
      </c>
      <c r="S121" s="111">
        <f t="shared" si="25"/>
        <v>0</v>
      </c>
      <c r="T121" s="111">
        <f t="shared" si="25"/>
        <v>100000</v>
      </c>
      <c r="U121" s="111">
        <f t="shared" si="25"/>
        <v>0</v>
      </c>
      <c r="V121" s="111">
        <f t="shared" si="25"/>
        <v>0</v>
      </c>
      <c r="W121" s="111">
        <f t="shared" si="25"/>
        <v>0</v>
      </c>
      <c r="X121" s="80"/>
      <c r="Y121" s="80"/>
      <c r="Z121" s="80"/>
      <c r="AA121" s="80"/>
      <c r="AB121" s="80"/>
      <c r="AC121" s="80"/>
    </row>
    <row r="122" spans="1:29" ht="12.75" customHeight="1">
      <c r="A122" s="79"/>
      <c r="B122" s="112"/>
      <c r="C122" s="112"/>
      <c r="D122" s="112"/>
      <c r="E122" s="112"/>
      <c r="F122" s="112"/>
      <c r="G122" s="112"/>
      <c r="H122" s="112"/>
      <c r="I122" s="113"/>
      <c r="J122" s="114"/>
      <c r="K122" s="114"/>
      <c r="L122" s="114"/>
      <c r="M122" s="114"/>
      <c r="N122" s="114"/>
      <c r="O122" s="114"/>
      <c r="P122" s="114"/>
      <c r="Q122" s="114"/>
      <c r="R122" s="114"/>
      <c r="S122" s="82"/>
      <c r="T122" s="79"/>
      <c r="U122" s="79"/>
      <c r="V122" s="79"/>
      <c r="W122" s="82"/>
      <c r="X122" s="79"/>
      <c r="Y122" s="79"/>
      <c r="Z122" s="79"/>
      <c r="AA122" s="79"/>
      <c r="AB122" s="79"/>
      <c r="AC122" s="79"/>
    </row>
    <row r="123" spans="1:29" ht="12.75" customHeight="1">
      <c r="A123" s="79"/>
      <c r="B123" s="79"/>
      <c r="C123" s="79"/>
      <c r="D123" s="79"/>
      <c r="E123" s="79"/>
      <c r="F123" s="79"/>
      <c r="G123" s="119"/>
      <c r="H123" s="119"/>
      <c r="I123" s="120"/>
      <c r="J123" s="121"/>
      <c r="K123" s="121"/>
      <c r="L123" s="121"/>
      <c r="M123" s="121"/>
      <c r="N123" s="121"/>
      <c r="O123" s="121"/>
      <c r="P123" s="121"/>
      <c r="Q123" s="121"/>
      <c r="R123" s="121"/>
      <c r="S123" s="79"/>
      <c r="T123" s="79"/>
      <c r="U123" s="79"/>
      <c r="V123" s="79"/>
      <c r="W123" s="79"/>
      <c r="X123" s="79"/>
      <c r="Y123" s="79"/>
      <c r="Z123" s="79"/>
      <c r="AA123" s="79"/>
      <c r="AB123" s="79"/>
      <c r="AC123" s="79"/>
    </row>
    <row r="124" spans="1:29" ht="12.75" customHeight="1">
      <c r="A124" s="79"/>
      <c r="B124" s="79"/>
      <c r="C124" s="79"/>
      <c r="D124" s="79"/>
      <c r="E124" s="79"/>
      <c r="F124" s="79"/>
      <c r="G124" s="119"/>
      <c r="H124" s="119"/>
      <c r="I124" s="122"/>
      <c r="J124" s="123"/>
      <c r="K124" s="123"/>
      <c r="L124" s="123"/>
      <c r="M124" s="123"/>
      <c r="N124" s="123"/>
      <c r="O124" s="123"/>
      <c r="P124" s="123"/>
      <c r="Q124" s="123"/>
      <c r="R124" s="123"/>
      <c r="S124" s="79"/>
      <c r="T124" s="79"/>
      <c r="U124" s="79"/>
      <c r="V124" s="79"/>
      <c r="W124" s="79"/>
      <c r="X124" s="79"/>
      <c r="Y124" s="79"/>
      <c r="Z124" s="79"/>
      <c r="AA124" s="79"/>
      <c r="AB124" s="79"/>
      <c r="AC124" s="79"/>
    </row>
    <row r="125" spans="1:29" ht="12.75" customHeight="1">
      <c r="A125" s="79"/>
      <c r="B125" s="119"/>
      <c r="C125" s="119"/>
      <c r="D125" s="119"/>
      <c r="E125" s="119"/>
      <c r="F125" s="119"/>
      <c r="G125" s="119"/>
      <c r="H125" s="119"/>
      <c r="I125" s="124"/>
      <c r="J125" s="119"/>
      <c r="K125" s="119"/>
      <c r="L125" s="119"/>
      <c r="M125" s="119"/>
      <c r="N125" s="119"/>
      <c r="O125" s="119"/>
      <c r="P125" s="119"/>
      <c r="Q125" s="119"/>
      <c r="R125" s="119"/>
      <c r="S125" s="79"/>
      <c r="T125" s="79"/>
      <c r="U125" s="79"/>
      <c r="V125" s="79"/>
      <c r="W125" s="79"/>
      <c r="X125" s="79"/>
      <c r="Y125" s="79"/>
      <c r="Z125" s="79"/>
      <c r="AA125" s="79"/>
      <c r="AB125" s="79"/>
      <c r="AC125" s="79"/>
    </row>
    <row r="126" spans="1:29" ht="12.75" customHeight="1">
      <c r="A126" s="79"/>
      <c r="B126" s="119"/>
      <c r="C126" s="119"/>
      <c r="D126" s="119"/>
      <c r="E126" s="119"/>
      <c r="F126" s="119"/>
      <c r="G126" s="119"/>
      <c r="H126" s="119"/>
      <c r="I126" s="124"/>
      <c r="J126" s="119"/>
      <c r="K126" s="119"/>
      <c r="L126" s="119"/>
      <c r="M126" s="119"/>
      <c r="N126" s="119"/>
      <c r="O126" s="119"/>
      <c r="P126" s="119"/>
      <c r="Q126" s="119"/>
      <c r="R126" s="119"/>
      <c r="S126" s="79"/>
      <c r="T126" s="79"/>
      <c r="U126" s="79"/>
      <c r="V126" s="79"/>
      <c r="W126" s="79"/>
      <c r="X126" s="79"/>
      <c r="Y126" s="79"/>
      <c r="Z126" s="79"/>
      <c r="AA126" s="79"/>
      <c r="AB126" s="79"/>
      <c r="AC126" s="79"/>
    </row>
    <row r="127" spans="1:29" ht="12.75" customHeight="1">
      <c r="A127" s="79"/>
      <c r="B127" s="119"/>
      <c r="C127" s="119"/>
      <c r="D127" s="119"/>
      <c r="E127" s="119"/>
      <c r="F127" s="119"/>
      <c r="G127" s="119"/>
      <c r="H127" s="119"/>
      <c r="I127" s="124"/>
      <c r="J127" s="119"/>
      <c r="K127" s="119"/>
      <c r="L127" s="119"/>
      <c r="M127" s="119"/>
      <c r="N127" s="119"/>
      <c r="O127" s="119"/>
      <c r="P127" s="119"/>
      <c r="Q127" s="119"/>
      <c r="R127" s="119"/>
      <c r="S127" s="79"/>
      <c r="T127" s="79"/>
      <c r="U127" s="79"/>
      <c r="V127" s="79"/>
      <c r="W127" s="79"/>
      <c r="X127" s="79"/>
      <c r="Y127" s="79"/>
      <c r="Z127" s="79"/>
      <c r="AA127" s="79"/>
      <c r="AB127" s="79"/>
      <c r="AC127" s="79"/>
    </row>
    <row r="128" spans="1:29" ht="12.75" customHeight="1">
      <c r="A128" s="79"/>
      <c r="B128" s="119"/>
      <c r="C128" s="119"/>
      <c r="D128" s="119"/>
      <c r="E128" s="119"/>
      <c r="F128" s="119"/>
      <c r="G128" s="119"/>
      <c r="H128" s="119"/>
      <c r="I128" s="125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79"/>
      <c r="AB128" s="79"/>
      <c r="AC128" s="79"/>
    </row>
    <row r="129" spans="1:29" ht="12.75" customHeight="1">
      <c r="A129" s="79"/>
      <c r="B129" s="119"/>
      <c r="C129" s="119"/>
      <c r="D129" s="119"/>
      <c r="E129" s="119"/>
      <c r="F129" s="119"/>
      <c r="G129" s="119"/>
      <c r="H129" s="119"/>
      <c r="I129" s="124"/>
      <c r="J129" s="119"/>
      <c r="K129" s="119"/>
      <c r="L129" s="119"/>
      <c r="M129" s="119"/>
      <c r="N129" s="119"/>
      <c r="O129" s="119"/>
      <c r="P129" s="119"/>
      <c r="Q129" s="119"/>
      <c r="R129" s="119"/>
      <c r="S129" s="79"/>
      <c r="T129" s="79"/>
      <c r="U129" s="79"/>
      <c r="V129" s="79"/>
      <c r="W129" s="79"/>
      <c r="X129" s="79"/>
      <c r="Y129" s="79"/>
      <c r="Z129" s="79"/>
      <c r="AA129" s="79"/>
      <c r="AB129" s="79"/>
      <c r="AC129" s="79"/>
    </row>
    <row r="130" spans="1:29" ht="12.75" customHeight="1">
      <c r="A130" s="79"/>
      <c r="B130" s="119"/>
      <c r="C130" s="119"/>
      <c r="D130" s="119"/>
      <c r="E130" s="119"/>
      <c r="F130" s="119"/>
      <c r="G130" s="119"/>
      <c r="H130" s="119"/>
      <c r="I130" s="124"/>
      <c r="J130" s="126"/>
      <c r="K130" s="126"/>
      <c r="L130" s="126"/>
      <c r="M130" s="126"/>
      <c r="N130" s="126"/>
      <c r="O130" s="126"/>
      <c r="P130" s="126"/>
      <c r="Q130" s="126"/>
      <c r="R130" s="126"/>
      <c r="S130" s="79"/>
      <c r="T130" s="79"/>
      <c r="U130" s="79"/>
      <c r="V130" s="79"/>
      <c r="W130" s="79"/>
      <c r="X130" s="79"/>
      <c r="Y130" s="79"/>
      <c r="Z130" s="79"/>
      <c r="AA130" s="79"/>
      <c r="AB130" s="79"/>
      <c r="AC130" s="79"/>
    </row>
    <row r="131" spans="1:29" ht="12.75" customHeight="1">
      <c r="A131" s="79"/>
      <c r="B131" s="119"/>
      <c r="C131" s="119"/>
      <c r="D131" s="119"/>
      <c r="E131" s="119"/>
      <c r="F131" s="119"/>
      <c r="G131" s="119"/>
      <c r="H131" s="119"/>
      <c r="I131" s="124"/>
      <c r="J131" s="119"/>
      <c r="K131" s="119"/>
      <c r="L131" s="119"/>
      <c r="M131" s="119"/>
      <c r="N131" s="119"/>
      <c r="O131" s="119"/>
      <c r="P131" s="119"/>
      <c r="Q131" s="119"/>
      <c r="R131" s="119"/>
      <c r="S131" s="79"/>
      <c r="T131" s="79"/>
      <c r="U131" s="79"/>
      <c r="V131" s="79"/>
      <c r="W131" s="79"/>
      <c r="X131" s="79"/>
      <c r="Y131" s="79"/>
      <c r="Z131" s="79"/>
      <c r="AA131" s="79"/>
      <c r="AB131" s="79"/>
      <c r="AC131" s="79"/>
    </row>
    <row r="132" spans="1:29" ht="12.75" customHeight="1">
      <c r="A132" s="79"/>
      <c r="B132" s="119"/>
      <c r="C132" s="119"/>
      <c r="D132" s="119"/>
      <c r="E132" s="119"/>
      <c r="F132" s="119"/>
      <c r="G132" s="119"/>
      <c r="H132" s="119"/>
      <c r="I132" s="124"/>
      <c r="J132" s="127"/>
      <c r="K132" s="127"/>
      <c r="L132" s="127"/>
      <c r="M132" s="127"/>
      <c r="N132" s="127"/>
      <c r="O132" s="127"/>
      <c r="P132" s="127"/>
      <c r="Q132" s="127"/>
      <c r="R132" s="127"/>
      <c r="S132" s="79"/>
      <c r="T132" s="79"/>
      <c r="U132" s="79"/>
      <c r="V132" s="79"/>
      <c r="W132" s="79"/>
      <c r="X132" s="79"/>
      <c r="Y132" s="79"/>
      <c r="Z132" s="79"/>
      <c r="AA132" s="79"/>
      <c r="AB132" s="79"/>
      <c r="AC132" s="79"/>
    </row>
    <row r="133" spans="1:29" ht="12.75" customHeight="1">
      <c r="A133" s="79"/>
      <c r="B133" s="79"/>
      <c r="C133" s="79"/>
      <c r="D133" s="79"/>
      <c r="E133" s="79"/>
      <c r="F133" s="79"/>
      <c r="G133" s="79"/>
      <c r="H133" s="79"/>
      <c r="I133" s="122"/>
      <c r="J133" s="128"/>
      <c r="K133" s="128"/>
      <c r="L133" s="128"/>
      <c r="M133" s="128"/>
      <c r="N133" s="128"/>
      <c r="O133" s="128"/>
      <c r="P133" s="128"/>
      <c r="Q133" s="128"/>
      <c r="R133" s="128"/>
      <c r="S133" s="79"/>
      <c r="T133" s="79"/>
      <c r="U133" s="79"/>
      <c r="V133" s="79"/>
      <c r="W133" s="79"/>
      <c r="X133" s="79"/>
      <c r="Y133" s="79"/>
      <c r="Z133" s="79"/>
      <c r="AA133" s="79"/>
      <c r="AB133" s="79"/>
      <c r="AC133" s="79"/>
    </row>
    <row r="134" spans="1:29" ht="12.75" customHeight="1">
      <c r="A134" s="79"/>
      <c r="B134" s="79"/>
      <c r="C134" s="79"/>
      <c r="D134" s="79"/>
      <c r="E134" s="79"/>
      <c r="F134" s="79"/>
      <c r="G134" s="79"/>
      <c r="H134" s="79"/>
      <c r="I134" s="125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79"/>
      <c r="AB134" s="79"/>
      <c r="AC134" s="79"/>
    </row>
    <row r="135" spans="1:29" ht="12.75" customHeight="1">
      <c r="A135" s="79"/>
      <c r="B135" s="79"/>
      <c r="C135" s="79"/>
      <c r="D135" s="79"/>
      <c r="E135" s="79"/>
      <c r="F135" s="79"/>
      <c r="G135" s="79"/>
      <c r="H135" s="79"/>
      <c r="I135" s="125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79"/>
      <c r="AB135" s="79"/>
      <c r="AC135" s="79"/>
    </row>
    <row r="136" spans="1:29" ht="12.75" customHeight="1">
      <c r="A136" s="79"/>
      <c r="B136" s="79"/>
      <c r="C136" s="79"/>
      <c r="D136" s="79"/>
      <c r="E136" s="79"/>
      <c r="F136" s="79"/>
      <c r="G136" s="79"/>
      <c r="H136" s="79"/>
      <c r="I136" s="125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79"/>
      <c r="AB136" s="79"/>
      <c r="AC136" s="79"/>
    </row>
    <row r="137" spans="1:29" ht="12.75" customHeight="1">
      <c r="A137" s="79"/>
      <c r="B137" s="79"/>
      <c r="C137" s="79"/>
      <c r="D137" s="79"/>
      <c r="E137" s="79"/>
      <c r="F137" s="79"/>
      <c r="G137" s="79"/>
      <c r="H137" s="79"/>
      <c r="I137" s="125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79"/>
      <c r="AB137" s="79"/>
      <c r="AC137" s="79"/>
    </row>
    <row r="138" spans="1:29" ht="12.75" customHeight="1">
      <c r="A138" s="79"/>
      <c r="B138" s="79"/>
      <c r="C138" s="79"/>
      <c r="D138" s="79"/>
      <c r="E138" s="79"/>
      <c r="F138" s="79"/>
      <c r="G138" s="79"/>
      <c r="H138" s="79"/>
      <c r="I138" s="125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79"/>
      <c r="AB138" s="79"/>
      <c r="AC138" s="79"/>
    </row>
    <row r="139" spans="1:29" ht="12.75" customHeight="1">
      <c r="A139" s="79"/>
      <c r="B139" s="79"/>
      <c r="C139" s="79"/>
      <c r="D139" s="79"/>
      <c r="E139" s="79"/>
      <c r="F139" s="79"/>
      <c r="G139" s="79"/>
      <c r="H139" s="79"/>
      <c r="I139" s="125"/>
      <c r="J139" s="79"/>
      <c r="K139" s="79"/>
      <c r="L139" s="79"/>
      <c r="M139" s="79"/>
      <c r="N139" s="79"/>
      <c r="O139" s="79"/>
      <c r="P139" s="79"/>
      <c r="Q139" s="79"/>
      <c r="R139" s="79"/>
      <c r="S139" s="79"/>
      <c r="T139" s="79"/>
      <c r="U139" s="79"/>
      <c r="V139" s="79"/>
      <c r="W139" s="79"/>
      <c r="X139" s="79"/>
      <c r="Y139" s="79"/>
      <c r="Z139" s="79"/>
      <c r="AA139" s="79"/>
      <c r="AB139" s="79"/>
      <c r="AC139" s="79"/>
    </row>
    <row r="140" spans="1:29" ht="12.75" customHeight="1">
      <c r="A140" s="79"/>
      <c r="B140" s="79"/>
      <c r="C140" s="79"/>
      <c r="D140" s="79"/>
      <c r="E140" s="79"/>
      <c r="F140" s="79"/>
      <c r="G140" s="79"/>
      <c r="H140" s="79"/>
      <c r="I140" s="125"/>
      <c r="J140" s="79"/>
      <c r="K140" s="79"/>
      <c r="L140" s="79"/>
      <c r="M140" s="79"/>
      <c r="N140" s="79"/>
      <c r="O140" s="79"/>
      <c r="P140" s="79"/>
      <c r="Q140" s="79"/>
      <c r="R140" s="79"/>
      <c r="S140" s="79"/>
      <c r="T140" s="79"/>
      <c r="U140" s="79"/>
      <c r="V140" s="79"/>
      <c r="W140" s="79"/>
      <c r="X140" s="79"/>
      <c r="Y140" s="79"/>
      <c r="Z140" s="79"/>
      <c r="AA140" s="79"/>
      <c r="AB140" s="79"/>
      <c r="AC140" s="79"/>
    </row>
    <row r="141" spans="1:29" ht="12.75" customHeight="1">
      <c r="A141" s="79"/>
      <c r="B141" s="79"/>
      <c r="C141" s="79"/>
      <c r="D141" s="79"/>
      <c r="E141" s="79"/>
      <c r="F141" s="79"/>
      <c r="G141" s="79"/>
      <c r="H141" s="79"/>
      <c r="I141" s="125"/>
      <c r="J141" s="79"/>
      <c r="K141" s="79"/>
      <c r="L141" s="79"/>
      <c r="M141" s="79"/>
      <c r="N141" s="79"/>
      <c r="O141" s="79"/>
      <c r="P141" s="79"/>
      <c r="Q141" s="79"/>
      <c r="R141" s="79"/>
      <c r="S141" s="79"/>
      <c r="T141" s="79"/>
      <c r="U141" s="79"/>
      <c r="V141" s="79"/>
      <c r="W141" s="79"/>
      <c r="X141" s="79"/>
      <c r="Y141" s="79"/>
      <c r="Z141" s="79"/>
      <c r="AA141" s="79"/>
      <c r="AB141" s="79"/>
      <c r="AC141" s="79"/>
    </row>
    <row r="142" spans="1:29" ht="12.75" customHeight="1">
      <c r="A142" s="79"/>
      <c r="B142" s="79"/>
      <c r="C142" s="79"/>
      <c r="D142" s="79"/>
      <c r="E142" s="79"/>
      <c r="F142" s="79"/>
      <c r="G142" s="79"/>
      <c r="H142" s="79"/>
      <c r="I142" s="125"/>
      <c r="J142" s="79"/>
      <c r="K142" s="79"/>
      <c r="L142" s="79"/>
      <c r="M142" s="79"/>
      <c r="N142" s="79"/>
      <c r="O142" s="79"/>
      <c r="P142" s="79"/>
      <c r="Q142" s="79"/>
      <c r="R142" s="79"/>
      <c r="S142" s="79"/>
      <c r="T142" s="79"/>
      <c r="U142" s="79"/>
      <c r="V142" s="79"/>
      <c r="W142" s="79"/>
      <c r="X142" s="79"/>
      <c r="Y142" s="79"/>
      <c r="Z142" s="79"/>
      <c r="AA142" s="79"/>
      <c r="AB142" s="79"/>
      <c r="AC142" s="79"/>
    </row>
    <row r="143" spans="1:29" ht="12.75" customHeight="1">
      <c r="A143" s="79"/>
      <c r="B143" s="79"/>
      <c r="C143" s="79"/>
      <c r="D143" s="79"/>
      <c r="E143" s="79"/>
      <c r="F143" s="79"/>
      <c r="G143" s="79"/>
      <c r="H143" s="79"/>
      <c r="I143" s="125"/>
      <c r="J143" s="79"/>
      <c r="K143" s="79"/>
      <c r="L143" s="79"/>
      <c r="M143" s="79"/>
      <c r="N143" s="79"/>
      <c r="O143" s="79"/>
      <c r="P143" s="79"/>
      <c r="Q143" s="79"/>
      <c r="R143" s="79"/>
      <c r="S143" s="79"/>
      <c r="T143" s="79"/>
      <c r="U143" s="79"/>
      <c r="V143" s="79"/>
      <c r="W143" s="79"/>
      <c r="X143" s="79"/>
      <c r="Y143" s="79"/>
      <c r="Z143" s="79"/>
      <c r="AA143" s="79"/>
      <c r="AB143" s="79"/>
      <c r="AC143" s="79"/>
    </row>
    <row r="144" spans="1:29" ht="12.75" customHeight="1">
      <c r="A144" s="79"/>
      <c r="B144" s="79"/>
      <c r="C144" s="79"/>
      <c r="D144" s="79"/>
      <c r="E144" s="79"/>
      <c r="F144" s="79"/>
      <c r="G144" s="79"/>
      <c r="H144" s="79"/>
      <c r="I144" s="125"/>
      <c r="J144" s="79"/>
      <c r="K144" s="79"/>
      <c r="L144" s="79"/>
      <c r="M144" s="79"/>
      <c r="N144" s="79"/>
      <c r="O144" s="79"/>
      <c r="P144" s="79"/>
      <c r="Q144" s="79"/>
      <c r="R144" s="79"/>
      <c r="S144" s="79"/>
      <c r="T144" s="79"/>
      <c r="U144" s="79"/>
      <c r="V144" s="79"/>
      <c r="W144" s="79"/>
      <c r="X144" s="79"/>
      <c r="Y144" s="79"/>
      <c r="Z144" s="79"/>
      <c r="AA144" s="79"/>
      <c r="AB144" s="79"/>
      <c r="AC144" s="79"/>
    </row>
    <row r="145" spans="1:29" ht="12.75" customHeight="1">
      <c r="A145" s="79"/>
      <c r="B145" s="79"/>
      <c r="C145" s="79"/>
      <c r="D145" s="79"/>
      <c r="E145" s="79"/>
      <c r="F145" s="79"/>
      <c r="G145" s="79"/>
      <c r="H145" s="79"/>
      <c r="I145" s="125"/>
      <c r="J145" s="79"/>
      <c r="K145" s="79"/>
      <c r="L145" s="79"/>
      <c r="M145" s="79"/>
      <c r="N145" s="79"/>
      <c r="O145" s="79"/>
      <c r="P145" s="79"/>
      <c r="Q145" s="79"/>
      <c r="R145" s="79"/>
      <c r="S145" s="79"/>
      <c r="T145" s="79"/>
      <c r="U145" s="79"/>
      <c r="V145" s="79"/>
      <c r="W145" s="79"/>
      <c r="X145" s="79"/>
      <c r="Y145" s="79"/>
      <c r="Z145" s="79"/>
      <c r="AA145" s="79"/>
      <c r="AB145" s="79"/>
      <c r="AC145" s="79"/>
    </row>
    <row r="146" spans="1:29" ht="12.75" customHeight="1">
      <c r="A146" s="79"/>
      <c r="B146" s="79"/>
      <c r="C146" s="79"/>
      <c r="D146" s="79"/>
      <c r="E146" s="79"/>
      <c r="F146" s="79"/>
      <c r="G146" s="79"/>
      <c r="H146" s="79"/>
      <c r="I146" s="125"/>
      <c r="J146" s="79"/>
      <c r="K146" s="79"/>
      <c r="L146" s="79"/>
      <c r="M146" s="79"/>
      <c r="N146" s="79"/>
      <c r="O146" s="79"/>
      <c r="P146" s="79"/>
      <c r="Q146" s="79"/>
      <c r="R146" s="79"/>
      <c r="S146" s="79"/>
      <c r="T146" s="79"/>
      <c r="U146" s="79"/>
      <c r="V146" s="79"/>
      <c r="W146" s="79"/>
      <c r="X146" s="79"/>
      <c r="Y146" s="79"/>
      <c r="Z146" s="79"/>
      <c r="AA146" s="79"/>
      <c r="AB146" s="79"/>
      <c r="AC146" s="79"/>
    </row>
    <row r="147" spans="1:29" ht="12.75" customHeight="1">
      <c r="A147" s="79"/>
      <c r="B147" s="79"/>
      <c r="C147" s="79"/>
      <c r="D147" s="79"/>
      <c r="E147" s="79"/>
      <c r="F147" s="79"/>
      <c r="G147" s="79"/>
      <c r="H147" s="79"/>
      <c r="I147" s="125"/>
      <c r="J147" s="79"/>
      <c r="K147" s="79"/>
      <c r="L147" s="79"/>
      <c r="M147" s="79"/>
      <c r="N147" s="79"/>
      <c r="O147" s="79"/>
      <c r="P147" s="79"/>
      <c r="Q147" s="79"/>
      <c r="R147" s="79"/>
      <c r="S147" s="79"/>
      <c r="T147" s="79"/>
      <c r="U147" s="79"/>
      <c r="V147" s="79"/>
      <c r="W147" s="79"/>
      <c r="X147" s="79"/>
      <c r="Y147" s="79"/>
      <c r="Z147" s="79"/>
      <c r="AA147" s="79"/>
      <c r="AB147" s="79"/>
      <c r="AC147" s="79"/>
    </row>
    <row r="148" spans="1:29" ht="12.75" customHeight="1">
      <c r="A148" s="79"/>
      <c r="B148" s="79"/>
      <c r="C148" s="79"/>
      <c r="D148" s="79"/>
      <c r="E148" s="79"/>
      <c r="F148" s="79"/>
      <c r="G148" s="79"/>
      <c r="H148" s="79"/>
      <c r="I148" s="125"/>
      <c r="J148" s="79"/>
      <c r="K148" s="79"/>
      <c r="L148" s="79"/>
      <c r="M148" s="79"/>
      <c r="N148" s="79"/>
      <c r="O148" s="79"/>
      <c r="P148" s="79"/>
      <c r="Q148" s="79"/>
      <c r="R148" s="79"/>
      <c r="S148" s="79"/>
      <c r="T148" s="79"/>
      <c r="U148" s="79"/>
      <c r="V148" s="79"/>
      <c r="W148" s="79"/>
      <c r="X148" s="79"/>
      <c r="Y148" s="79"/>
      <c r="Z148" s="79"/>
      <c r="AA148" s="79"/>
      <c r="AB148" s="79"/>
      <c r="AC148" s="79"/>
    </row>
    <row r="149" spans="1:29" ht="12.75" customHeight="1">
      <c r="A149" s="79"/>
      <c r="B149" s="79"/>
      <c r="C149" s="79"/>
      <c r="D149" s="79"/>
      <c r="E149" s="79"/>
      <c r="F149" s="79"/>
      <c r="G149" s="79"/>
      <c r="H149" s="79"/>
      <c r="I149" s="125"/>
      <c r="J149" s="79"/>
      <c r="K149" s="79"/>
      <c r="L149" s="79"/>
      <c r="M149" s="79"/>
      <c r="N149" s="79"/>
      <c r="O149" s="79"/>
      <c r="P149" s="79"/>
      <c r="Q149" s="79"/>
      <c r="R149" s="79"/>
      <c r="S149" s="79"/>
      <c r="T149" s="79"/>
      <c r="U149" s="79"/>
      <c r="V149" s="79"/>
      <c r="W149" s="79"/>
      <c r="X149" s="79"/>
      <c r="Y149" s="79"/>
      <c r="Z149" s="79"/>
      <c r="AA149" s="79"/>
      <c r="AB149" s="79"/>
      <c r="AC149" s="79"/>
    </row>
    <row r="150" spans="1:29" ht="12.75" customHeight="1">
      <c r="A150" s="79"/>
      <c r="B150" s="79"/>
      <c r="C150" s="79"/>
      <c r="D150" s="79"/>
      <c r="E150" s="79"/>
      <c r="F150" s="79"/>
      <c r="G150" s="79"/>
      <c r="H150" s="79"/>
      <c r="I150" s="125"/>
      <c r="J150" s="79"/>
      <c r="K150" s="79"/>
      <c r="L150" s="79"/>
      <c r="M150" s="79"/>
      <c r="N150" s="79"/>
      <c r="O150" s="79"/>
      <c r="P150" s="79"/>
      <c r="Q150" s="79"/>
      <c r="R150" s="79"/>
      <c r="S150" s="79"/>
      <c r="T150" s="79"/>
      <c r="U150" s="79"/>
      <c r="V150" s="79"/>
      <c r="W150" s="79"/>
      <c r="X150" s="79"/>
      <c r="Y150" s="79"/>
      <c r="Z150" s="79"/>
      <c r="AA150" s="79"/>
      <c r="AB150" s="79"/>
      <c r="AC150" s="79"/>
    </row>
    <row r="151" spans="1:29" ht="12.75" customHeight="1">
      <c r="A151" s="79"/>
      <c r="B151" s="79"/>
      <c r="C151" s="79"/>
      <c r="D151" s="79"/>
      <c r="E151" s="79"/>
      <c r="F151" s="79"/>
      <c r="G151" s="79"/>
      <c r="H151" s="79"/>
      <c r="I151" s="125"/>
      <c r="J151" s="79"/>
      <c r="K151" s="79"/>
      <c r="L151" s="79"/>
      <c r="M151" s="79"/>
      <c r="N151" s="79"/>
      <c r="O151" s="79"/>
      <c r="P151" s="79"/>
      <c r="Q151" s="79"/>
      <c r="R151" s="79"/>
      <c r="S151" s="79"/>
      <c r="T151" s="79"/>
      <c r="U151" s="79"/>
      <c r="V151" s="79"/>
      <c r="W151" s="79"/>
      <c r="X151" s="79"/>
      <c r="Y151" s="79"/>
      <c r="Z151" s="79"/>
      <c r="AA151" s="79"/>
      <c r="AB151" s="79"/>
      <c r="AC151" s="79"/>
    </row>
    <row r="152" spans="1:29" ht="12.75" customHeight="1">
      <c r="A152" s="79"/>
      <c r="B152" s="79"/>
      <c r="C152" s="79"/>
      <c r="D152" s="79"/>
      <c r="E152" s="79"/>
      <c r="F152" s="79"/>
      <c r="G152" s="79"/>
      <c r="H152" s="79"/>
      <c r="I152" s="125"/>
      <c r="J152" s="79"/>
      <c r="K152" s="79"/>
      <c r="L152" s="79"/>
      <c r="M152" s="79"/>
      <c r="N152" s="79"/>
      <c r="O152" s="79"/>
      <c r="P152" s="79"/>
      <c r="Q152" s="79"/>
      <c r="R152" s="79"/>
      <c r="S152" s="79"/>
      <c r="T152" s="79"/>
      <c r="U152" s="79"/>
      <c r="V152" s="79"/>
      <c r="W152" s="79"/>
      <c r="X152" s="79"/>
      <c r="Y152" s="79"/>
      <c r="Z152" s="79"/>
      <c r="AA152" s="79"/>
      <c r="AB152" s="79"/>
      <c r="AC152" s="79"/>
    </row>
    <row r="153" spans="1:29" ht="12.75" customHeight="1">
      <c r="A153" s="79"/>
      <c r="B153" s="79"/>
      <c r="C153" s="79"/>
      <c r="D153" s="79"/>
      <c r="E153" s="79"/>
      <c r="F153" s="79"/>
      <c r="G153" s="79"/>
      <c r="H153" s="79"/>
      <c r="I153" s="125"/>
      <c r="J153" s="79"/>
      <c r="K153" s="79"/>
      <c r="L153" s="79"/>
      <c r="M153" s="79"/>
      <c r="N153" s="79"/>
      <c r="O153" s="79"/>
      <c r="P153" s="79"/>
      <c r="Q153" s="79"/>
      <c r="R153" s="79"/>
      <c r="S153" s="79"/>
      <c r="T153" s="79"/>
      <c r="U153" s="79"/>
      <c r="V153" s="79"/>
      <c r="W153" s="79"/>
      <c r="X153" s="79"/>
      <c r="Y153" s="79"/>
      <c r="Z153" s="79"/>
      <c r="AA153" s="79"/>
      <c r="AB153" s="79"/>
      <c r="AC153" s="79"/>
    </row>
    <row r="154" spans="1:29" ht="12.75" customHeight="1">
      <c r="A154" s="79"/>
      <c r="B154" s="79"/>
      <c r="C154" s="79"/>
      <c r="D154" s="79"/>
      <c r="E154" s="79"/>
      <c r="F154" s="79"/>
      <c r="G154" s="79"/>
      <c r="H154" s="79"/>
      <c r="I154" s="125"/>
      <c r="J154" s="79"/>
      <c r="K154" s="79"/>
      <c r="L154" s="79"/>
      <c r="M154" s="79"/>
      <c r="N154" s="79"/>
      <c r="O154" s="79"/>
      <c r="P154" s="79"/>
      <c r="Q154" s="79"/>
      <c r="R154" s="79"/>
      <c r="S154" s="79"/>
      <c r="T154" s="79"/>
      <c r="U154" s="79"/>
      <c r="V154" s="79"/>
      <c r="W154" s="79"/>
      <c r="X154" s="79"/>
      <c r="Y154" s="79"/>
      <c r="Z154" s="79"/>
      <c r="AA154" s="79"/>
      <c r="AB154" s="79"/>
      <c r="AC154" s="79"/>
    </row>
    <row r="155" spans="1:29" ht="12.75" customHeight="1">
      <c r="A155" s="79"/>
      <c r="B155" s="79"/>
      <c r="C155" s="79"/>
      <c r="D155" s="79"/>
      <c r="E155" s="79"/>
      <c r="F155" s="79"/>
      <c r="G155" s="79"/>
      <c r="H155" s="79"/>
      <c r="I155" s="125"/>
      <c r="J155" s="79"/>
      <c r="K155" s="79"/>
      <c r="L155" s="79"/>
      <c r="M155" s="79"/>
      <c r="N155" s="79"/>
      <c r="O155" s="79"/>
      <c r="P155" s="79"/>
      <c r="Q155" s="79"/>
      <c r="R155" s="79"/>
      <c r="S155" s="79"/>
      <c r="T155" s="79"/>
      <c r="U155" s="79"/>
      <c r="V155" s="79"/>
      <c r="W155" s="79"/>
      <c r="X155" s="79"/>
      <c r="Y155" s="79"/>
      <c r="Z155" s="79"/>
      <c r="AA155" s="79"/>
      <c r="AB155" s="79"/>
      <c r="AC155" s="79"/>
    </row>
    <row r="156" spans="1:29" ht="12.75" customHeight="1">
      <c r="A156" s="79"/>
      <c r="B156" s="79"/>
      <c r="C156" s="79"/>
      <c r="D156" s="79"/>
      <c r="E156" s="79"/>
      <c r="F156" s="79"/>
      <c r="G156" s="79"/>
      <c r="H156" s="79"/>
      <c r="I156" s="125"/>
      <c r="J156" s="79"/>
      <c r="K156" s="79"/>
      <c r="L156" s="79"/>
      <c r="M156" s="79"/>
      <c r="N156" s="79"/>
      <c r="O156" s="79"/>
      <c r="P156" s="79"/>
      <c r="Q156" s="79"/>
      <c r="R156" s="79"/>
      <c r="S156" s="79"/>
      <c r="T156" s="79"/>
      <c r="U156" s="79"/>
      <c r="V156" s="79"/>
      <c r="W156" s="79"/>
      <c r="X156" s="79"/>
      <c r="Y156" s="79"/>
      <c r="Z156" s="79"/>
      <c r="AA156" s="79"/>
      <c r="AB156" s="79"/>
      <c r="AC156" s="79"/>
    </row>
    <row r="157" spans="1:29" ht="12.75" customHeight="1">
      <c r="A157" s="79"/>
      <c r="B157" s="79"/>
      <c r="C157" s="79"/>
      <c r="D157" s="79"/>
      <c r="E157" s="79"/>
      <c r="F157" s="79"/>
      <c r="G157" s="79"/>
      <c r="H157" s="79"/>
      <c r="I157" s="125"/>
      <c r="J157" s="79"/>
      <c r="K157" s="79"/>
      <c r="L157" s="79"/>
      <c r="M157" s="79"/>
      <c r="N157" s="79"/>
      <c r="O157" s="79"/>
      <c r="P157" s="79"/>
      <c r="Q157" s="79"/>
      <c r="R157" s="79"/>
      <c r="S157" s="79"/>
      <c r="T157" s="79"/>
      <c r="U157" s="79"/>
      <c r="V157" s="79"/>
      <c r="W157" s="79"/>
      <c r="X157" s="79"/>
      <c r="Y157" s="79"/>
      <c r="Z157" s="79"/>
      <c r="AA157" s="79"/>
      <c r="AB157" s="79"/>
      <c r="AC157" s="79"/>
    </row>
    <row r="158" spans="1:29" ht="12.75" customHeight="1">
      <c r="A158" s="79"/>
      <c r="B158" s="79"/>
      <c r="C158" s="79"/>
      <c r="D158" s="79"/>
      <c r="E158" s="79"/>
      <c r="F158" s="79"/>
      <c r="G158" s="79"/>
      <c r="H158" s="79"/>
      <c r="I158" s="125"/>
      <c r="J158" s="79"/>
      <c r="K158" s="79"/>
      <c r="L158" s="79"/>
      <c r="M158" s="79"/>
      <c r="N158" s="79"/>
      <c r="O158" s="79"/>
      <c r="P158" s="79"/>
      <c r="Q158" s="79"/>
      <c r="R158" s="79"/>
      <c r="S158" s="79"/>
      <c r="T158" s="79"/>
      <c r="U158" s="79"/>
      <c r="V158" s="79"/>
      <c r="W158" s="79"/>
      <c r="X158" s="79"/>
      <c r="Y158" s="79"/>
      <c r="Z158" s="79"/>
      <c r="AA158" s="79"/>
      <c r="AB158" s="79"/>
      <c r="AC158" s="79"/>
    </row>
    <row r="159" spans="1:29" ht="12.75" customHeight="1">
      <c r="A159" s="79"/>
      <c r="B159" s="79"/>
      <c r="C159" s="79"/>
      <c r="D159" s="79"/>
      <c r="E159" s="79"/>
      <c r="F159" s="79"/>
      <c r="G159" s="79"/>
      <c r="H159" s="79"/>
      <c r="I159" s="125"/>
      <c r="J159" s="79"/>
      <c r="K159" s="79"/>
      <c r="L159" s="79"/>
      <c r="M159" s="79"/>
      <c r="N159" s="79"/>
      <c r="O159" s="79"/>
      <c r="P159" s="79"/>
      <c r="Q159" s="79"/>
      <c r="R159" s="79"/>
      <c r="S159" s="79"/>
      <c r="T159" s="79"/>
      <c r="U159" s="79"/>
      <c r="V159" s="79"/>
      <c r="W159" s="79"/>
      <c r="X159" s="79"/>
      <c r="Y159" s="79"/>
      <c r="Z159" s="79"/>
      <c r="AA159" s="79"/>
      <c r="AB159" s="79"/>
      <c r="AC159" s="79"/>
    </row>
    <row r="160" spans="1:29" ht="12.75" customHeight="1">
      <c r="A160" s="79"/>
      <c r="B160" s="79"/>
      <c r="C160" s="79"/>
      <c r="D160" s="79"/>
      <c r="E160" s="79"/>
      <c r="F160" s="79"/>
      <c r="G160" s="79"/>
      <c r="H160" s="79"/>
      <c r="I160" s="125"/>
      <c r="J160" s="79"/>
      <c r="K160" s="79"/>
      <c r="L160" s="79"/>
      <c r="M160" s="79"/>
      <c r="N160" s="79"/>
      <c r="O160" s="79"/>
      <c r="P160" s="79"/>
      <c r="Q160" s="79"/>
      <c r="R160" s="79"/>
      <c r="S160" s="79"/>
      <c r="T160" s="79"/>
      <c r="U160" s="79"/>
      <c r="V160" s="79"/>
      <c r="W160" s="79"/>
      <c r="X160" s="79"/>
      <c r="Y160" s="79"/>
      <c r="Z160" s="79"/>
      <c r="AA160" s="79"/>
      <c r="AB160" s="79"/>
      <c r="AC160" s="79"/>
    </row>
    <row r="161" spans="1:29" ht="12.75" customHeight="1">
      <c r="A161" s="79"/>
      <c r="B161" s="79"/>
      <c r="C161" s="79"/>
      <c r="D161" s="79"/>
      <c r="E161" s="79"/>
      <c r="F161" s="79"/>
      <c r="G161" s="79"/>
      <c r="H161" s="79"/>
      <c r="I161" s="125"/>
      <c r="J161" s="79"/>
      <c r="K161" s="79"/>
      <c r="L161" s="79"/>
      <c r="M161" s="79"/>
      <c r="N161" s="79"/>
      <c r="O161" s="79"/>
      <c r="P161" s="79"/>
      <c r="Q161" s="79"/>
      <c r="R161" s="79"/>
      <c r="S161" s="79"/>
      <c r="T161" s="79"/>
      <c r="U161" s="79"/>
      <c r="V161" s="79"/>
      <c r="W161" s="79"/>
      <c r="X161" s="79"/>
      <c r="Y161" s="79"/>
      <c r="Z161" s="79"/>
      <c r="AA161" s="79"/>
      <c r="AB161" s="79"/>
      <c r="AC161" s="79"/>
    </row>
    <row r="162" spans="1:29" ht="12.75" customHeight="1">
      <c r="A162" s="79"/>
      <c r="B162" s="79"/>
      <c r="C162" s="79"/>
      <c r="D162" s="79"/>
      <c r="E162" s="79"/>
      <c r="F162" s="79"/>
      <c r="G162" s="79"/>
      <c r="H162" s="79"/>
      <c r="I162" s="125"/>
      <c r="J162" s="79"/>
      <c r="K162" s="79"/>
      <c r="L162" s="79"/>
      <c r="M162" s="79"/>
      <c r="N162" s="79"/>
      <c r="O162" s="79"/>
      <c r="P162" s="79"/>
      <c r="Q162" s="79"/>
      <c r="R162" s="79"/>
      <c r="S162" s="79"/>
      <c r="T162" s="79"/>
      <c r="U162" s="79"/>
      <c r="V162" s="79"/>
      <c r="W162" s="79"/>
      <c r="X162" s="79"/>
      <c r="Y162" s="79"/>
      <c r="Z162" s="79"/>
      <c r="AA162" s="79"/>
      <c r="AB162" s="79"/>
      <c r="AC162" s="79"/>
    </row>
    <row r="163" spans="1:29" ht="12.75" customHeight="1">
      <c r="A163" s="79"/>
      <c r="B163" s="79"/>
      <c r="C163" s="79"/>
      <c r="D163" s="79"/>
      <c r="E163" s="79"/>
      <c r="F163" s="79"/>
      <c r="G163" s="79"/>
      <c r="H163" s="79"/>
      <c r="I163" s="125"/>
      <c r="J163" s="79"/>
      <c r="K163" s="79"/>
      <c r="L163" s="79"/>
      <c r="M163" s="79"/>
      <c r="N163" s="79"/>
      <c r="O163" s="79"/>
      <c r="P163" s="79"/>
      <c r="Q163" s="79"/>
      <c r="R163" s="79"/>
      <c r="S163" s="79"/>
      <c r="T163" s="79"/>
      <c r="U163" s="79"/>
      <c r="V163" s="79"/>
      <c r="W163" s="79"/>
      <c r="X163" s="79"/>
      <c r="Y163" s="79"/>
      <c r="Z163" s="79"/>
      <c r="AA163" s="79"/>
      <c r="AB163" s="79"/>
      <c r="AC163" s="79"/>
    </row>
    <row r="164" spans="1:29" ht="12.75" customHeight="1">
      <c r="A164" s="79"/>
      <c r="B164" s="79"/>
      <c r="C164" s="79"/>
      <c r="D164" s="79"/>
      <c r="E164" s="79"/>
      <c r="F164" s="79"/>
      <c r="G164" s="79"/>
      <c r="H164" s="79"/>
      <c r="I164" s="125"/>
      <c r="J164" s="79"/>
      <c r="K164" s="79"/>
      <c r="L164" s="79"/>
      <c r="M164" s="79"/>
      <c r="N164" s="79"/>
      <c r="O164" s="79"/>
      <c r="P164" s="79"/>
      <c r="Q164" s="79"/>
      <c r="R164" s="79"/>
      <c r="S164" s="79"/>
      <c r="T164" s="79"/>
      <c r="U164" s="79"/>
      <c r="V164" s="79"/>
      <c r="W164" s="79"/>
      <c r="X164" s="79"/>
      <c r="Y164" s="79"/>
      <c r="Z164" s="79"/>
      <c r="AA164" s="79"/>
      <c r="AB164" s="79"/>
      <c r="AC164" s="79"/>
    </row>
    <row r="165" spans="1:29" ht="12.75" customHeight="1">
      <c r="A165" s="79"/>
      <c r="B165" s="79"/>
      <c r="C165" s="79"/>
      <c r="D165" s="79"/>
      <c r="E165" s="79"/>
      <c r="F165" s="79"/>
      <c r="G165" s="79"/>
      <c r="H165" s="79"/>
      <c r="I165" s="125"/>
      <c r="J165" s="79"/>
      <c r="K165" s="79"/>
      <c r="L165" s="79"/>
      <c r="M165" s="79"/>
      <c r="N165" s="79"/>
      <c r="O165" s="79"/>
      <c r="P165" s="79"/>
      <c r="Q165" s="79"/>
      <c r="R165" s="79"/>
      <c r="S165" s="79"/>
      <c r="T165" s="79"/>
      <c r="U165" s="79"/>
      <c r="V165" s="79"/>
      <c r="W165" s="79"/>
      <c r="X165" s="79"/>
      <c r="Y165" s="79"/>
      <c r="Z165" s="79"/>
      <c r="AA165" s="79"/>
      <c r="AB165" s="79"/>
      <c r="AC165" s="79"/>
    </row>
    <row r="166" spans="1:29" ht="12.75" customHeight="1">
      <c r="A166" s="79"/>
      <c r="B166" s="79"/>
      <c r="C166" s="79"/>
      <c r="D166" s="79"/>
      <c r="E166" s="79"/>
      <c r="F166" s="79"/>
      <c r="G166" s="79"/>
      <c r="H166" s="79"/>
      <c r="I166" s="125"/>
      <c r="J166" s="79"/>
      <c r="K166" s="79"/>
      <c r="L166" s="79"/>
      <c r="M166" s="79"/>
      <c r="N166" s="79"/>
      <c r="O166" s="79"/>
      <c r="P166" s="79"/>
      <c r="Q166" s="79"/>
      <c r="R166" s="79"/>
      <c r="S166" s="79"/>
      <c r="T166" s="79"/>
      <c r="U166" s="79"/>
      <c r="V166" s="79"/>
      <c r="W166" s="79"/>
      <c r="X166" s="79"/>
      <c r="Y166" s="79"/>
      <c r="Z166" s="79"/>
      <c r="AA166" s="79"/>
      <c r="AB166" s="79"/>
      <c r="AC166" s="79"/>
    </row>
    <row r="167" spans="1:29" ht="12.75" customHeight="1">
      <c r="A167" s="79"/>
      <c r="B167" s="79"/>
      <c r="C167" s="79"/>
      <c r="D167" s="79"/>
      <c r="E167" s="79"/>
      <c r="F167" s="79"/>
      <c r="G167" s="79"/>
      <c r="H167" s="79"/>
      <c r="I167" s="125"/>
      <c r="J167" s="79"/>
      <c r="K167" s="79"/>
      <c r="L167" s="79"/>
      <c r="M167" s="79"/>
      <c r="N167" s="79"/>
      <c r="O167" s="79"/>
      <c r="P167" s="79"/>
      <c r="Q167" s="79"/>
      <c r="R167" s="79"/>
      <c r="S167" s="79"/>
      <c r="T167" s="79"/>
      <c r="U167" s="79"/>
      <c r="V167" s="79"/>
      <c r="W167" s="79"/>
      <c r="X167" s="79"/>
      <c r="Y167" s="79"/>
      <c r="Z167" s="79"/>
      <c r="AA167" s="79"/>
      <c r="AB167" s="79"/>
      <c r="AC167" s="79"/>
    </row>
    <row r="168" spans="1:29" ht="12.75" customHeight="1">
      <c r="A168" s="79"/>
      <c r="B168" s="79"/>
      <c r="C168" s="79"/>
      <c r="D168" s="79"/>
      <c r="E168" s="79"/>
      <c r="F168" s="79"/>
      <c r="G168" s="79"/>
      <c r="H168" s="79"/>
      <c r="I168" s="125"/>
      <c r="J168" s="79"/>
      <c r="K168" s="79"/>
      <c r="L168" s="79"/>
      <c r="M168" s="79"/>
      <c r="N168" s="79"/>
      <c r="O168" s="79"/>
      <c r="P168" s="79"/>
      <c r="Q168" s="79"/>
      <c r="R168" s="79"/>
      <c r="S168" s="79"/>
      <c r="T168" s="79"/>
      <c r="U168" s="79"/>
      <c r="V168" s="79"/>
      <c r="W168" s="79"/>
      <c r="X168" s="79"/>
      <c r="Y168" s="79"/>
      <c r="Z168" s="79"/>
      <c r="AA168" s="79"/>
      <c r="AB168" s="79"/>
      <c r="AC168" s="79"/>
    </row>
    <row r="169" spans="1:29" ht="12.75" customHeight="1">
      <c r="A169" s="79"/>
      <c r="B169" s="79"/>
      <c r="C169" s="79"/>
      <c r="D169" s="79"/>
      <c r="E169" s="79"/>
      <c r="F169" s="79"/>
      <c r="G169" s="79"/>
      <c r="H169" s="79"/>
      <c r="I169" s="125"/>
      <c r="J169" s="79"/>
      <c r="K169" s="79"/>
      <c r="L169" s="79"/>
      <c r="M169" s="79"/>
      <c r="N169" s="79"/>
      <c r="O169" s="79"/>
      <c r="P169" s="79"/>
      <c r="Q169" s="79"/>
      <c r="R169" s="79"/>
      <c r="S169" s="79"/>
      <c r="T169" s="79"/>
      <c r="U169" s="79"/>
      <c r="V169" s="79"/>
      <c r="W169" s="79"/>
      <c r="X169" s="79"/>
      <c r="Y169" s="79"/>
      <c r="Z169" s="79"/>
      <c r="AA169" s="79"/>
      <c r="AB169" s="79"/>
      <c r="AC169" s="79"/>
    </row>
    <row r="170" spans="1:29" ht="12.75" customHeight="1">
      <c r="A170" s="79"/>
      <c r="B170" s="79"/>
      <c r="C170" s="79"/>
      <c r="D170" s="79"/>
      <c r="E170" s="79"/>
      <c r="F170" s="79"/>
      <c r="G170" s="79"/>
      <c r="H170" s="79"/>
      <c r="I170" s="125"/>
      <c r="J170" s="79"/>
      <c r="K170" s="79"/>
      <c r="L170" s="79"/>
      <c r="M170" s="79"/>
      <c r="N170" s="79"/>
      <c r="O170" s="79"/>
      <c r="P170" s="79"/>
      <c r="Q170" s="79"/>
      <c r="R170" s="79"/>
      <c r="S170" s="79"/>
      <c r="T170" s="79"/>
      <c r="U170" s="79"/>
      <c r="V170" s="79"/>
      <c r="W170" s="79"/>
      <c r="X170" s="79"/>
      <c r="Y170" s="79"/>
      <c r="Z170" s="79"/>
      <c r="AA170" s="79"/>
      <c r="AB170" s="79"/>
      <c r="AC170" s="79"/>
    </row>
    <row r="171" spans="1:29" ht="12.75" customHeight="1">
      <c r="A171" s="79"/>
      <c r="B171" s="79"/>
      <c r="C171" s="79"/>
      <c r="D171" s="79"/>
      <c r="E171" s="79"/>
      <c r="F171" s="79"/>
      <c r="G171" s="79"/>
      <c r="H171" s="79"/>
      <c r="I171" s="125"/>
      <c r="J171" s="79"/>
      <c r="K171" s="79"/>
      <c r="L171" s="79"/>
      <c r="M171" s="79"/>
      <c r="N171" s="79"/>
      <c r="O171" s="79"/>
      <c r="P171" s="79"/>
      <c r="Q171" s="79"/>
      <c r="R171" s="79"/>
      <c r="S171" s="79"/>
      <c r="T171" s="79"/>
      <c r="U171" s="79"/>
      <c r="V171" s="79"/>
      <c r="W171" s="79"/>
      <c r="X171" s="79"/>
      <c r="Y171" s="79"/>
      <c r="Z171" s="79"/>
      <c r="AA171" s="79"/>
      <c r="AB171" s="79"/>
      <c r="AC171" s="79"/>
    </row>
    <row r="172" spans="1:29" ht="12.75" customHeight="1">
      <c r="A172" s="79"/>
      <c r="B172" s="79"/>
      <c r="C172" s="79"/>
      <c r="D172" s="79"/>
      <c r="E172" s="79"/>
      <c r="F172" s="79"/>
      <c r="G172" s="79"/>
      <c r="H172" s="79"/>
      <c r="I172" s="125"/>
      <c r="J172" s="79"/>
      <c r="K172" s="79"/>
      <c r="L172" s="79"/>
      <c r="M172" s="79"/>
      <c r="N172" s="79"/>
      <c r="O172" s="79"/>
      <c r="P172" s="79"/>
      <c r="Q172" s="79"/>
      <c r="R172" s="79"/>
      <c r="S172" s="79"/>
      <c r="T172" s="79"/>
      <c r="U172" s="79"/>
      <c r="V172" s="79"/>
      <c r="W172" s="79"/>
      <c r="X172" s="79"/>
      <c r="Y172" s="79"/>
      <c r="Z172" s="79"/>
      <c r="AA172" s="79"/>
      <c r="AB172" s="79"/>
      <c r="AC172" s="79"/>
    </row>
    <row r="173" spans="1:29" ht="12.75" customHeight="1">
      <c r="A173" s="79"/>
      <c r="B173" s="79"/>
      <c r="C173" s="79"/>
      <c r="D173" s="79"/>
      <c r="E173" s="79"/>
      <c r="F173" s="79"/>
      <c r="G173" s="79"/>
      <c r="H173" s="79"/>
      <c r="I173" s="125"/>
      <c r="J173" s="79"/>
      <c r="K173" s="79"/>
      <c r="L173" s="79"/>
      <c r="M173" s="79"/>
      <c r="N173" s="79"/>
      <c r="O173" s="79"/>
      <c r="P173" s="79"/>
      <c r="Q173" s="79"/>
      <c r="R173" s="79"/>
      <c r="S173" s="79"/>
      <c r="T173" s="79"/>
      <c r="U173" s="79"/>
      <c r="V173" s="79"/>
      <c r="W173" s="79"/>
      <c r="X173" s="79"/>
      <c r="Y173" s="79"/>
      <c r="Z173" s="79"/>
      <c r="AA173" s="79"/>
      <c r="AB173" s="79"/>
      <c r="AC173" s="79"/>
    </row>
    <row r="174" spans="1:29" ht="12.75" customHeight="1">
      <c r="A174" s="79"/>
      <c r="B174" s="79"/>
      <c r="C174" s="79"/>
      <c r="D174" s="79"/>
      <c r="E174" s="79"/>
      <c r="F174" s="79"/>
      <c r="G174" s="79"/>
      <c r="H174" s="79"/>
      <c r="I174" s="125"/>
      <c r="J174" s="79"/>
      <c r="K174" s="79"/>
      <c r="L174" s="79"/>
      <c r="M174" s="79"/>
      <c r="N174" s="79"/>
      <c r="O174" s="79"/>
      <c r="P174" s="79"/>
      <c r="Q174" s="79"/>
      <c r="R174" s="79"/>
      <c r="S174" s="79"/>
      <c r="T174" s="79"/>
      <c r="U174" s="79"/>
      <c r="V174" s="79"/>
      <c r="W174" s="79"/>
      <c r="X174" s="79"/>
      <c r="Y174" s="79"/>
      <c r="Z174" s="79"/>
      <c r="AA174" s="79"/>
      <c r="AB174" s="79"/>
      <c r="AC174" s="79"/>
    </row>
    <row r="175" spans="1:29" ht="12.75" customHeight="1">
      <c r="A175" s="79"/>
      <c r="B175" s="79"/>
      <c r="C175" s="79"/>
      <c r="D175" s="79"/>
      <c r="E175" s="79"/>
      <c r="F175" s="79"/>
      <c r="G175" s="79"/>
      <c r="H175" s="79"/>
      <c r="I175" s="125"/>
      <c r="J175" s="79"/>
      <c r="K175" s="79"/>
      <c r="L175" s="79"/>
      <c r="M175" s="79"/>
      <c r="N175" s="79"/>
      <c r="O175" s="79"/>
      <c r="P175" s="79"/>
      <c r="Q175" s="79"/>
      <c r="R175" s="79"/>
      <c r="S175" s="79"/>
      <c r="T175" s="79"/>
      <c r="U175" s="79"/>
      <c r="V175" s="79"/>
      <c r="W175" s="79"/>
      <c r="X175" s="79"/>
      <c r="Y175" s="79"/>
      <c r="Z175" s="79"/>
      <c r="AA175" s="79"/>
      <c r="AB175" s="79"/>
      <c r="AC175" s="79"/>
    </row>
    <row r="176" spans="1:29" ht="12.75" customHeight="1">
      <c r="A176" s="79"/>
      <c r="B176" s="79"/>
      <c r="C176" s="79"/>
      <c r="D176" s="79"/>
      <c r="E176" s="79"/>
      <c r="F176" s="79"/>
      <c r="G176" s="79"/>
      <c r="H176" s="79"/>
      <c r="I176" s="125"/>
      <c r="J176" s="79"/>
      <c r="K176" s="79"/>
      <c r="L176" s="79"/>
      <c r="M176" s="79"/>
      <c r="N176" s="79"/>
      <c r="O176" s="79"/>
      <c r="P176" s="79"/>
      <c r="Q176" s="79"/>
      <c r="R176" s="79"/>
      <c r="S176" s="79"/>
      <c r="T176" s="79"/>
      <c r="U176" s="79"/>
      <c r="V176" s="79"/>
      <c r="W176" s="79"/>
      <c r="X176" s="79"/>
      <c r="Y176" s="79"/>
      <c r="Z176" s="79"/>
      <c r="AA176" s="79"/>
      <c r="AB176" s="79"/>
      <c r="AC176" s="79"/>
    </row>
    <row r="177" spans="1:29" ht="12.75" customHeight="1">
      <c r="A177" s="79"/>
      <c r="B177" s="79"/>
      <c r="C177" s="79"/>
      <c r="D177" s="79"/>
      <c r="E177" s="79"/>
      <c r="F177" s="79"/>
      <c r="G177" s="79"/>
      <c r="H177" s="79"/>
      <c r="I177" s="125"/>
      <c r="J177" s="79"/>
      <c r="K177" s="79"/>
      <c r="L177" s="79"/>
      <c r="M177" s="79"/>
      <c r="N177" s="79"/>
      <c r="O177" s="79"/>
      <c r="P177" s="79"/>
      <c r="Q177" s="79"/>
      <c r="R177" s="79"/>
      <c r="S177" s="79"/>
      <c r="T177" s="79"/>
      <c r="U177" s="79"/>
      <c r="V177" s="79"/>
      <c r="W177" s="79"/>
      <c r="X177" s="79"/>
      <c r="Y177" s="79"/>
      <c r="Z177" s="79"/>
      <c r="AA177" s="79"/>
      <c r="AB177" s="79"/>
      <c r="AC177" s="79"/>
    </row>
    <row r="178" spans="1:29" ht="12.75" customHeight="1">
      <c r="A178" s="79"/>
      <c r="B178" s="79"/>
      <c r="C178" s="79"/>
      <c r="D178" s="79"/>
      <c r="E178" s="79"/>
      <c r="F178" s="79"/>
      <c r="G178" s="79"/>
      <c r="H178" s="79"/>
      <c r="I178" s="125"/>
      <c r="J178" s="79"/>
      <c r="K178" s="79"/>
      <c r="L178" s="79"/>
      <c r="M178" s="79"/>
      <c r="N178" s="79"/>
      <c r="O178" s="79"/>
      <c r="P178" s="79"/>
      <c r="Q178" s="79"/>
      <c r="R178" s="79"/>
      <c r="S178" s="79"/>
      <c r="T178" s="79"/>
      <c r="U178" s="79"/>
      <c r="V178" s="79"/>
      <c r="W178" s="79"/>
      <c r="X178" s="79"/>
      <c r="Y178" s="79"/>
      <c r="Z178" s="79"/>
      <c r="AA178" s="79"/>
      <c r="AB178" s="79"/>
      <c r="AC178" s="79"/>
    </row>
    <row r="179" spans="1:29" ht="12.75" customHeight="1">
      <c r="A179" s="79"/>
      <c r="B179" s="79"/>
      <c r="C179" s="79"/>
      <c r="D179" s="79"/>
      <c r="E179" s="79"/>
      <c r="F179" s="79"/>
      <c r="G179" s="79"/>
      <c r="H179" s="79"/>
      <c r="I179" s="125"/>
      <c r="J179" s="79"/>
      <c r="K179" s="79"/>
      <c r="L179" s="79"/>
      <c r="M179" s="79"/>
      <c r="N179" s="79"/>
      <c r="O179" s="79"/>
      <c r="P179" s="79"/>
      <c r="Q179" s="79"/>
      <c r="R179" s="79"/>
      <c r="S179" s="79"/>
      <c r="T179" s="79"/>
      <c r="U179" s="79"/>
      <c r="V179" s="79"/>
      <c r="W179" s="79"/>
      <c r="X179" s="79"/>
      <c r="Y179" s="79"/>
      <c r="Z179" s="79"/>
      <c r="AA179" s="79"/>
      <c r="AB179" s="79"/>
      <c r="AC179" s="79"/>
    </row>
    <row r="180" spans="1:29" ht="12.75" customHeight="1">
      <c r="A180" s="79"/>
      <c r="B180" s="79"/>
      <c r="C180" s="79"/>
      <c r="D180" s="79"/>
      <c r="E180" s="79"/>
      <c r="F180" s="79"/>
      <c r="G180" s="79"/>
      <c r="H180" s="79"/>
      <c r="I180" s="125"/>
      <c r="J180" s="79"/>
      <c r="K180" s="79"/>
      <c r="L180" s="79"/>
      <c r="M180" s="79"/>
      <c r="N180" s="79"/>
      <c r="O180" s="79"/>
      <c r="P180" s="79"/>
      <c r="Q180" s="79"/>
      <c r="R180" s="79"/>
      <c r="S180" s="79"/>
      <c r="T180" s="79"/>
      <c r="U180" s="79"/>
      <c r="V180" s="79"/>
      <c r="W180" s="79"/>
      <c r="X180" s="79"/>
      <c r="Y180" s="79"/>
      <c r="Z180" s="79"/>
      <c r="AA180" s="79"/>
      <c r="AB180" s="79"/>
      <c r="AC180" s="79"/>
    </row>
    <row r="181" spans="1:29" ht="12.75" customHeight="1">
      <c r="A181" s="79"/>
      <c r="B181" s="79"/>
      <c r="C181" s="79"/>
      <c r="D181" s="79"/>
      <c r="E181" s="79"/>
      <c r="F181" s="79"/>
      <c r="G181" s="79"/>
      <c r="H181" s="79"/>
      <c r="I181" s="125"/>
      <c r="J181" s="79"/>
      <c r="K181" s="79"/>
      <c r="L181" s="79"/>
      <c r="M181" s="79"/>
      <c r="N181" s="79"/>
      <c r="O181" s="79"/>
      <c r="P181" s="79"/>
      <c r="Q181" s="79"/>
      <c r="R181" s="79"/>
      <c r="S181" s="79"/>
      <c r="T181" s="79"/>
      <c r="U181" s="79"/>
      <c r="V181" s="79"/>
      <c r="W181" s="79"/>
      <c r="X181" s="79"/>
      <c r="Y181" s="79"/>
      <c r="Z181" s="79"/>
      <c r="AA181" s="79"/>
      <c r="AB181" s="79"/>
      <c r="AC181" s="79"/>
    </row>
    <row r="182" spans="1:29" ht="12.75" customHeight="1">
      <c r="A182" s="79"/>
      <c r="B182" s="79"/>
      <c r="C182" s="79"/>
      <c r="D182" s="79"/>
      <c r="E182" s="79"/>
      <c r="F182" s="79"/>
      <c r="G182" s="79"/>
      <c r="H182" s="79"/>
      <c r="I182" s="125"/>
      <c r="J182" s="79"/>
      <c r="K182" s="79"/>
      <c r="L182" s="79"/>
      <c r="M182" s="79"/>
      <c r="N182" s="79"/>
      <c r="O182" s="79"/>
      <c r="P182" s="79"/>
      <c r="Q182" s="79"/>
      <c r="R182" s="79"/>
      <c r="S182" s="79"/>
      <c r="T182" s="79"/>
      <c r="U182" s="79"/>
      <c r="V182" s="79"/>
      <c r="W182" s="79"/>
      <c r="X182" s="79"/>
      <c r="Y182" s="79"/>
      <c r="Z182" s="79"/>
      <c r="AA182" s="79"/>
      <c r="AB182" s="79"/>
      <c r="AC182" s="79"/>
    </row>
    <row r="183" spans="1:29" ht="12.75" customHeight="1">
      <c r="A183" s="79"/>
      <c r="B183" s="79"/>
      <c r="C183" s="79"/>
      <c r="D183" s="79"/>
      <c r="E183" s="79"/>
      <c r="F183" s="79"/>
      <c r="G183" s="79"/>
      <c r="H183" s="79"/>
      <c r="I183" s="125"/>
      <c r="J183" s="79"/>
      <c r="K183" s="79"/>
      <c r="L183" s="79"/>
      <c r="M183" s="79"/>
      <c r="N183" s="79"/>
      <c r="O183" s="79"/>
      <c r="P183" s="79"/>
      <c r="Q183" s="79"/>
      <c r="R183" s="79"/>
      <c r="S183" s="79"/>
      <c r="T183" s="79"/>
      <c r="U183" s="79"/>
      <c r="V183" s="79"/>
      <c r="W183" s="79"/>
      <c r="X183" s="79"/>
      <c r="Y183" s="79"/>
      <c r="Z183" s="79"/>
      <c r="AA183" s="79"/>
      <c r="AB183" s="79"/>
      <c r="AC183" s="79"/>
    </row>
    <row r="184" spans="1:29" ht="12.75" customHeight="1">
      <c r="A184" s="79"/>
      <c r="B184" s="79"/>
      <c r="C184" s="79"/>
      <c r="D184" s="79"/>
      <c r="E184" s="79"/>
      <c r="F184" s="79"/>
      <c r="G184" s="79"/>
      <c r="H184" s="79"/>
      <c r="I184" s="125"/>
      <c r="J184" s="79"/>
      <c r="K184" s="79"/>
      <c r="L184" s="79"/>
      <c r="M184" s="79"/>
      <c r="N184" s="79"/>
      <c r="O184" s="79"/>
      <c r="P184" s="79"/>
      <c r="Q184" s="79"/>
      <c r="R184" s="79"/>
      <c r="S184" s="79"/>
      <c r="T184" s="79"/>
      <c r="U184" s="79"/>
      <c r="V184" s="79"/>
      <c r="W184" s="79"/>
      <c r="X184" s="79"/>
      <c r="Y184" s="79"/>
      <c r="Z184" s="79"/>
      <c r="AA184" s="79"/>
      <c r="AB184" s="79"/>
      <c r="AC184" s="79"/>
    </row>
    <row r="185" spans="1:29" ht="12.75" customHeight="1">
      <c r="A185" s="79"/>
      <c r="B185" s="79"/>
      <c r="C185" s="79"/>
      <c r="D185" s="79"/>
      <c r="E185" s="79"/>
      <c r="F185" s="79"/>
      <c r="G185" s="79"/>
      <c r="H185" s="79"/>
      <c r="I185" s="125"/>
      <c r="J185" s="79"/>
      <c r="K185" s="79"/>
      <c r="L185" s="79"/>
      <c r="M185" s="79"/>
      <c r="N185" s="79"/>
      <c r="O185" s="79"/>
      <c r="P185" s="79"/>
      <c r="Q185" s="79"/>
      <c r="R185" s="79"/>
      <c r="S185" s="79"/>
      <c r="T185" s="79"/>
      <c r="U185" s="79"/>
      <c r="V185" s="79"/>
      <c r="W185" s="79"/>
      <c r="X185" s="79"/>
      <c r="Y185" s="79"/>
      <c r="Z185" s="79"/>
      <c r="AA185" s="79"/>
      <c r="AB185" s="79"/>
      <c r="AC185" s="79"/>
    </row>
    <row r="186" spans="1:29" ht="12.75" customHeight="1">
      <c r="A186" s="79"/>
      <c r="B186" s="79"/>
      <c r="C186" s="79"/>
      <c r="D186" s="79"/>
      <c r="E186" s="79"/>
      <c r="F186" s="79"/>
      <c r="G186" s="79"/>
      <c r="H186" s="79"/>
      <c r="I186" s="125"/>
      <c r="J186" s="79"/>
      <c r="K186" s="79"/>
      <c r="L186" s="79"/>
      <c r="M186" s="79"/>
      <c r="N186" s="79"/>
      <c r="O186" s="79"/>
      <c r="P186" s="79"/>
      <c r="Q186" s="79"/>
      <c r="R186" s="79"/>
      <c r="S186" s="79"/>
      <c r="T186" s="79"/>
      <c r="U186" s="79"/>
      <c r="V186" s="79"/>
      <c r="W186" s="79"/>
      <c r="X186" s="79"/>
      <c r="Y186" s="79"/>
      <c r="Z186" s="79"/>
      <c r="AA186" s="79"/>
      <c r="AB186" s="79"/>
      <c r="AC186" s="79"/>
    </row>
    <row r="187" spans="1:29" ht="12.75" customHeight="1">
      <c r="A187" s="79"/>
      <c r="B187" s="79"/>
      <c r="C187" s="79"/>
      <c r="D187" s="79"/>
      <c r="E187" s="79"/>
      <c r="F187" s="79"/>
      <c r="G187" s="79"/>
      <c r="H187" s="79"/>
      <c r="I187" s="125"/>
      <c r="J187" s="79"/>
      <c r="K187" s="79"/>
      <c r="L187" s="79"/>
      <c r="M187" s="79"/>
      <c r="N187" s="79"/>
      <c r="O187" s="79"/>
      <c r="P187" s="79"/>
      <c r="Q187" s="79"/>
      <c r="R187" s="79"/>
      <c r="S187" s="79"/>
      <c r="T187" s="79"/>
      <c r="U187" s="79"/>
      <c r="V187" s="79"/>
      <c r="W187" s="79"/>
      <c r="X187" s="79"/>
      <c r="Y187" s="79"/>
      <c r="Z187" s="79"/>
      <c r="AA187" s="79"/>
      <c r="AB187" s="79"/>
      <c r="AC187" s="79"/>
    </row>
    <row r="188" spans="1:29" ht="12.75" customHeight="1">
      <c r="A188" s="79"/>
      <c r="B188" s="79"/>
      <c r="C188" s="79"/>
      <c r="D188" s="79"/>
      <c r="E188" s="79"/>
      <c r="F188" s="79"/>
      <c r="G188" s="79"/>
      <c r="H188" s="79"/>
      <c r="I188" s="125"/>
      <c r="J188" s="79"/>
      <c r="K188" s="79"/>
      <c r="L188" s="79"/>
      <c r="M188" s="79"/>
      <c r="N188" s="79"/>
      <c r="O188" s="79"/>
      <c r="P188" s="79"/>
      <c r="Q188" s="79"/>
      <c r="R188" s="79"/>
      <c r="S188" s="79"/>
      <c r="T188" s="79"/>
      <c r="U188" s="79"/>
      <c r="V188" s="79"/>
      <c r="W188" s="79"/>
      <c r="X188" s="79"/>
      <c r="Y188" s="79"/>
      <c r="Z188" s="79"/>
      <c r="AA188" s="79"/>
      <c r="AB188" s="79"/>
      <c r="AC188" s="79"/>
    </row>
    <row r="189" spans="1:29" ht="12.75" customHeight="1">
      <c r="A189" s="79"/>
      <c r="B189" s="79"/>
      <c r="C189" s="79"/>
      <c r="D189" s="79"/>
      <c r="E189" s="79"/>
      <c r="F189" s="79"/>
      <c r="G189" s="79"/>
      <c r="H189" s="79"/>
      <c r="I189" s="125"/>
      <c r="J189" s="79"/>
      <c r="K189" s="79"/>
      <c r="L189" s="79"/>
      <c r="M189" s="79"/>
      <c r="N189" s="79"/>
      <c r="O189" s="79"/>
      <c r="P189" s="79"/>
      <c r="Q189" s="79"/>
      <c r="R189" s="79"/>
      <c r="S189" s="79"/>
      <c r="T189" s="79"/>
      <c r="U189" s="79"/>
      <c r="V189" s="79"/>
      <c r="W189" s="79"/>
      <c r="X189" s="79"/>
      <c r="Y189" s="79"/>
      <c r="Z189" s="79"/>
      <c r="AA189" s="79"/>
      <c r="AB189" s="79"/>
      <c r="AC189" s="79"/>
    </row>
    <row r="190" spans="1:29" ht="12.75" customHeight="1">
      <c r="A190" s="79"/>
      <c r="B190" s="79"/>
      <c r="C190" s="79"/>
      <c r="D190" s="79"/>
      <c r="E190" s="79"/>
      <c r="F190" s="79"/>
      <c r="G190" s="79"/>
      <c r="H190" s="79"/>
      <c r="I190" s="125"/>
      <c r="J190" s="79"/>
      <c r="K190" s="79"/>
      <c r="L190" s="79"/>
      <c r="M190" s="79"/>
      <c r="N190" s="79"/>
      <c r="O190" s="79"/>
      <c r="P190" s="79"/>
      <c r="Q190" s="79"/>
      <c r="R190" s="79"/>
      <c r="S190" s="79"/>
      <c r="T190" s="79"/>
      <c r="U190" s="79"/>
      <c r="V190" s="79"/>
      <c r="W190" s="79"/>
      <c r="X190" s="79"/>
      <c r="Y190" s="79"/>
      <c r="Z190" s="79"/>
      <c r="AA190" s="79"/>
      <c r="AB190" s="79"/>
      <c r="AC190" s="79"/>
    </row>
    <row r="191" spans="1:29" ht="12.75" customHeight="1">
      <c r="A191" s="79"/>
      <c r="B191" s="79"/>
      <c r="C191" s="79"/>
      <c r="D191" s="79"/>
      <c r="E191" s="79"/>
      <c r="F191" s="79"/>
      <c r="G191" s="79"/>
      <c r="H191" s="79"/>
      <c r="I191" s="125"/>
      <c r="J191" s="79"/>
      <c r="K191" s="79"/>
      <c r="L191" s="79"/>
      <c r="M191" s="79"/>
      <c r="N191" s="79"/>
      <c r="O191" s="79"/>
      <c r="P191" s="79"/>
      <c r="Q191" s="79"/>
      <c r="R191" s="79"/>
      <c r="S191" s="79"/>
      <c r="T191" s="79"/>
      <c r="U191" s="79"/>
      <c r="V191" s="79"/>
      <c r="W191" s="79"/>
      <c r="X191" s="79"/>
      <c r="Y191" s="79"/>
      <c r="Z191" s="79"/>
      <c r="AA191" s="79"/>
      <c r="AB191" s="79"/>
      <c r="AC191" s="79"/>
    </row>
    <row r="192" spans="1:29" ht="12.75" customHeight="1">
      <c r="A192" s="79"/>
      <c r="B192" s="79"/>
      <c r="C192" s="79"/>
      <c r="D192" s="79"/>
      <c r="E192" s="79"/>
      <c r="F192" s="79"/>
      <c r="G192" s="79"/>
      <c r="H192" s="79"/>
      <c r="I192" s="125"/>
      <c r="J192" s="79"/>
      <c r="K192" s="79"/>
      <c r="L192" s="79"/>
      <c r="M192" s="79"/>
      <c r="N192" s="79"/>
      <c r="O192" s="79"/>
      <c r="P192" s="79"/>
      <c r="Q192" s="79"/>
      <c r="R192" s="79"/>
      <c r="S192" s="79"/>
      <c r="T192" s="79"/>
      <c r="U192" s="79"/>
      <c r="V192" s="79"/>
      <c r="W192" s="79"/>
      <c r="X192" s="79"/>
      <c r="Y192" s="79"/>
      <c r="Z192" s="79"/>
      <c r="AA192" s="79"/>
      <c r="AB192" s="79"/>
      <c r="AC192" s="79"/>
    </row>
    <row r="193" spans="1:29" ht="12.75" customHeight="1">
      <c r="A193" s="79"/>
      <c r="B193" s="79"/>
      <c r="C193" s="79"/>
      <c r="D193" s="79"/>
      <c r="E193" s="79"/>
      <c r="F193" s="79"/>
      <c r="G193" s="79"/>
      <c r="H193" s="79"/>
      <c r="I193" s="125"/>
      <c r="J193" s="79"/>
      <c r="K193" s="79"/>
      <c r="L193" s="79"/>
      <c r="M193" s="79"/>
      <c r="N193" s="79"/>
      <c r="O193" s="79"/>
      <c r="P193" s="79"/>
      <c r="Q193" s="79"/>
      <c r="R193" s="79"/>
      <c r="S193" s="79"/>
      <c r="T193" s="79"/>
      <c r="U193" s="79"/>
      <c r="V193" s="79"/>
      <c r="W193" s="79"/>
      <c r="X193" s="79"/>
      <c r="Y193" s="79"/>
      <c r="Z193" s="79"/>
      <c r="AA193" s="79"/>
      <c r="AB193" s="79"/>
      <c r="AC193" s="79"/>
    </row>
    <row r="194" spans="1:29" ht="12.75" customHeight="1">
      <c r="A194" s="79"/>
      <c r="B194" s="79"/>
      <c r="C194" s="79"/>
      <c r="D194" s="79"/>
      <c r="E194" s="79"/>
      <c r="F194" s="79"/>
      <c r="G194" s="79"/>
      <c r="H194" s="79"/>
      <c r="I194" s="125"/>
      <c r="J194" s="79"/>
      <c r="K194" s="79"/>
      <c r="L194" s="79"/>
      <c r="M194" s="79"/>
      <c r="N194" s="79"/>
      <c r="O194" s="79"/>
      <c r="P194" s="79"/>
      <c r="Q194" s="79"/>
      <c r="R194" s="79"/>
      <c r="S194" s="79"/>
      <c r="T194" s="79"/>
      <c r="U194" s="79"/>
      <c r="V194" s="79"/>
      <c r="W194" s="79"/>
      <c r="X194" s="79"/>
      <c r="Y194" s="79"/>
      <c r="Z194" s="79"/>
      <c r="AA194" s="79"/>
      <c r="AB194" s="79"/>
      <c r="AC194" s="79"/>
    </row>
    <row r="195" spans="1:29" ht="12.75" customHeight="1">
      <c r="A195" s="79"/>
      <c r="B195" s="79"/>
      <c r="C195" s="79"/>
      <c r="D195" s="79"/>
      <c r="E195" s="79"/>
      <c r="F195" s="79"/>
      <c r="G195" s="79"/>
      <c r="H195" s="79"/>
      <c r="I195" s="125"/>
      <c r="J195" s="79"/>
      <c r="K195" s="79"/>
      <c r="L195" s="79"/>
      <c r="M195" s="79"/>
      <c r="N195" s="79"/>
      <c r="O195" s="79"/>
      <c r="P195" s="79"/>
      <c r="Q195" s="79"/>
      <c r="R195" s="79"/>
      <c r="S195" s="79"/>
      <c r="T195" s="79"/>
      <c r="U195" s="79"/>
      <c r="V195" s="79"/>
      <c r="W195" s="79"/>
      <c r="X195" s="79"/>
      <c r="Y195" s="79"/>
      <c r="Z195" s="79"/>
      <c r="AA195" s="79"/>
      <c r="AB195" s="79"/>
      <c r="AC195" s="79"/>
    </row>
    <row r="196" spans="1:29" ht="12.75" customHeight="1">
      <c r="A196" s="79"/>
      <c r="B196" s="79"/>
      <c r="C196" s="79"/>
      <c r="D196" s="79"/>
      <c r="E196" s="79"/>
      <c r="F196" s="79"/>
      <c r="G196" s="79"/>
      <c r="H196" s="79"/>
      <c r="I196" s="125"/>
      <c r="J196" s="79"/>
      <c r="K196" s="79"/>
      <c r="L196" s="79"/>
      <c r="M196" s="79"/>
      <c r="N196" s="79"/>
      <c r="O196" s="79"/>
      <c r="P196" s="79"/>
      <c r="Q196" s="79"/>
      <c r="R196" s="79"/>
      <c r="S196" s="79"/>
      <c r="T196" s="79"/>
      <c r="U196" s="79"/>
      <c r="V196" s="79"/>
      <c r="W196" s="79"/>
      <c r="X196" s="79"/>
      <c r="Y196" s="79"/>
      <c r="Z196" s="79"/>
      <c r="AA196" s="79"/>
      <c r="AB196" s="79"/>
      <c r="AC196" s="79"/>
    </row>
    <row r="197" spans="1:29" ht="12.75" customHeight="1">
      <c r="A197" s="79"/>
      <c r="B197" s="79"/>
      <c r="C197" s="79"/>
      <c r="D197" s="79"/>
      <c r="E197" s="79"/>
      <c r="F197" s="79"/>
      <c r="G197" s="79"/>
      <c r="H197" s="79"/>
      <c r="I197" s="125"/>
      <c r="J197" s="79"/>
      <c r="K197" s="79"/>
      <c r="L197" s="79"/>
      <c r="M197" s="79"/>
      <c r="N197" s="79"/>
      <c r="O197" s="79"/>
      <c r="P197" s="79"/>
      <c r="Q197" s="79"/>
      <c r="R197" s="79"/>
      <c r="S197" s="79"/>
      <c r="T197" s="79"/>
      <c r="U197" s="79"/>
      <c r="V197" s="79"/>
      <c r="W197" s="79"/>
      <c r="X197" s="79"/>
      <c r="Y197" s="79"/>
      <c r="Z197" s="79"/>
      <c r="AA197" s="79"/>
      <c r="AB197" s="79"/>
      <c r="AC197" s="79"/>
    </row>
    <row r="198" spans="1:29" ht="12.75" customHeight="1">
      <c r="A198" s="79"/>
      <c r="B198" s="79"/>
      <c r="C198" s="79"/>
      <c r="D198" s="79"/>
      <c r="E198" s="79"/>
      <c r="F198" s="79"/>
      <c r="G198" s="79"/>
      <c r="H198" s="79"/>
      <c r="I198" s="125"/>
      <c r="J198" s="79"/>
      <c r="K198" s="79"/>
      <c r="L198" s="79"/>
      <c r="M198" s="79"/>
      <c r="N198" s="79"/>
      <c r="O198" s="79"/>
      <c r="P198" s="79"/>
      <c r="Q198" s="79"/>
      <c r="R198" s="79"/>
      <c r="S198" s="79"/>
      <c r="T198" s="79"/>
      <c r="U198" s="79"/>
      <c r="V198" s="79"/>
      <c r="W198" s="79"/>
      <c r="X198" s="79"/>
      <c r="Y198" s="79"/>
      <c r="Z198" s="79"/>
      <c r="AA198" s="79"/>
      <c r="AB198" s="79"/>
      <c r="AC198" s="79"/>
    </row>
    <row r="199" spans="1:29" ht="12.75" customHeight="1">
      <c r="A199" s="79"/>
      <c r="B199" s="79"/>
      <c r="C199" s="79"/>
      <c r="D199" s="79"/>
      <c r="E199" s="79"/>
      <c r="F199" s="79"/>
      <c r="G199" s="79"/>
      <c r="H199" s="79"/>
      <c r="I199" s="125"/>
      <c r="J199" s="79"/>
      <c r="K199" s="79"/>
      <c r="L199" s="79"/>
      <c r="M199" s="79"/>
      <c r="N199" s="79"/>
      <c r="O199" s="79"/>
      <c r="P199" s="79"/>
      <c r="Q199" s="79"/>
      <c r="R199" s="79"/>
      <c r="S199" s="79"/>
      <c r="T199" s="79"/>
      <c r="U199" s="79"/>
      <c r="V199" s="79"/>
      <c r="W199" s="79"/>
      <c r="X199" s="79"/>
      <c r="Y199" s="79"/>
      <c r="Z199" s="79"/>
      <c r="AA199" s="79"/>
      <c r="AB199" s="79"/>
      <c r="AC199" s="79"/>
    </row>
    <row r="200" spans="1:29" ht="12.75" customHeight="1">
      <c r="A200" s="79"/>
      <c r="B200" s="79"/>
      <c r="C200" s="79"/>
      <c r="D200" s="79"/>
      <c r="E200" s="79"/>
      <c r="F200" s="79"/>
      <c r="G200" s="79"/>
      <c r="H200" s="79"/>
      <c r="I200" s="125"/>
      <c r="J200" s="79"/>
      <c r="K200" s="79"/>
      <c r="L200" s="79"/>
      <c r="M200" s="79"/>
      <c r="N200" s="79"/>
      <c r="O200" s="79"/>
      <c r="P200" s="79"/>
      <c r="Q200" s="79"/>
      <c r="R200" s="79"/>
      <c r="S200" s="79"/>
      <c r="T200" s="79"/>
      <c r="U200" s="79"/>
      <c r="V200" s="79"/>
      <c r="W200" s="79"/>
      <c r="X200" s="79"/>
      <c r="Y200" s="79"/>
      <c r="Z200" s="79"/>
      <c r="AA200" s="79"/>
      <c r="AB200" s="79"/>
      <c r="AC200" s="79"/>
    </row>
    <row r="201" spans="1:29" ht="12.75" customHeight="1">
      <c r="A201" s="79"/>
      <c r="B201" s="79"/>
      <c r="C201" s="79"/>
      <c r="D201" s="79"/>
      <c r="E201" s="79"/>
      <c r="F201" s="79"/>
      <c r="G201" s="79"/>
      <c r="H201" s="79"/>
      <c r="I201" s="125"/>
      <c r="J201" s="79"/>
      <c r="K201" s="79"/>
      <c r="L201" s="79"/>
      <c r="M201" s="79"/>
      <c r="N201" s="79"/>
      <c r="O201" s="79"/>
      <c r="P201" s="79"/>
      <c r="Q201" s="79"/>
      <c r="R201" s="79"/>
      <c r="S201" s="79"/>
      <c r="T201" s="79"/>
      <c r="U201" s="79"/>
      <c r="V201" s="79"/>
      <c r="W201" s="79"/>
      <c r="X201" s="79"/>
      <c r="Y201" s="79"/>
      <c r="Z201" s="79"/>
      <c r="AA201" s="79"/>
      <c r="AB201" s="79"/>
      <c r="AC201" s="79"/>
    </row>
    <row r="202" spans="1:29" ht="12.75" customHeight="1">
      <c r="A202" s="79"/>
      <c r="B202" s="79"/>
      <c r="C202" s="79"/>
      <c r="D202" s="79"/>
      <c r="E202" s="79"/>
      <c r="F202" s="79"/>
      <c r="G202" s="79"/>
      <c r="H202" s="79"/>
      <c r="I202" s="125"/>
      <c r="J202" s="79"/>
      <c r="K202" s="79"/>
      <c r="L202" s="79"/>
      <c r="M202" s="79"/>
      <c r="N202" s="79"/>
      <c r="O202" s="79"/>
      <c r="P202" s="79"/>
      <c r="Q202" s="79"/>
      <c r="R202" s="79"/>
      <c r="S202" s="79"/>
      <c r="T202" s="79"/>
      <c r="U202" s="79"/>
      <c r="V202" s="79"/>
      <c r="W202" s="79"/>
      <c r="X202" s="79"/>
      <c r="Y202" s="79"/>
      <c r="Z202" s="79"/>
      <c r="AA202" s="79"/>
      <c r="AB202" s="79"/>
      <c r="AC202" s="79"/>
    </row>
    <row r="203" spans="1:29" ht="12.75" customHeight="1">
      <c r="A203" s="79"/>
      <c r="B203" s="79"/>
      <c r="C203" s="79"/>
      <c r="D203" s="79"/>
      <c r="E203" s="79"/>
      <c r="F203" s="79"/>
      <c r="G203" s="79"/>
      <c r="H203" s="79"/>
      <c r="I203" s="125"/>
      <c r="J203" s="79"/>
      <c r="K203" s="79"/>
      <c r="L203" s="79"/>
      <c r="M203" s="79"/>
      <c r="N203" s="79"/>
      <c r="O203" s="79"/>
      <c r="P203" s="79"/>
      <c r="Q203" s="79"/>
      <c r="R203" s="79"/>
      <c r="S203" s="79"/>
      <c r="T203" s="79"/>
      <c r="U203" s="79"/>
      <c r="V203" s="79"/>
      <c r="W203" s="79"/>
      <c r="X203" s="79"/>
      <c r="Y203" s="79"/>
      <c r="Z203" s="79"/>
      <c r="AA203" s="79"/>
      <c r="AB203" s="79"/>
      <c r="AC203" s="79"/>
    </row>
    <row r="204" spans="1:29" ht="12.75" customHeight="1">
      <c r="A204" s="79"/>
      <c r="B204" s="79"/>
      <c r="C204" s="79"/>
      <c r="D204" s="79"/>
      <c r="E204" s="79"/>
      <c r="F204" s="79"/>
      <c r="G204" s="79"/>
      <c r="H204" s="79"/>
      <c r="I204" s="125"/>
      <c r="J204" s="79"/>
      <c r="K204" s="79"/>
      <c r="L204" s="79"/>
      <c r="M204" s="79"/>
      <c r="N204" s="79"/>
      <c r="O204" s="79"/>
      <c r="P204" s="79"/>
      <c r="Q204" s="79"/>
      <c r="R204" s="79"/>
      <c r="S204" s="79"/>
      <c r="T204" s="79"/>
      <c r="U204" s="79"/>
      <c r="V204" s="79"/>
      <c r="W204" s="79"/>
      <c r="X204" s="79"/>
      <c r="Y204" s="79"/>
      <c r="Z204" s="79"/>
      <c r="AA204" s="79"/>
      <c r="AB204" s="79"/>
      <c r="AC204" s="79"/>
    </row>
    <row r="205" spans="1:29" ht="12.75" customHeight="1">
      <c r="A205" s="79"/>
      <c r="B205" s="79"/>
      <c r="C205" s="79"/>
      <c r="D205" s="79"/>
      <c r="E205" s="79"/>
      <c r="F205" s="79"/>
      <c r="G205" s="79"/>
      <c r="H205" s="79"/>
      <c r="I205" s="125"/>
      <c r="J205" s="79"/>
      <c r="K205" s="79"/>
      <c r="L205" s="79"/>
      <c r="M205" s="79"/>
      <c r="N205" s="79"/>
      <c r="O205" s="79"/>
      <c r="P205" s="79"/>
      <c r="Q205" s="79"/>
      <c r="R205" s="79"/>
      <c r="S205" s="79"/>
      <c r="T205" s="79"/>
      <c r="U205" s="79"/>
      <c r="V205" s="79"/>
      <c r="W205" s="79"/>
      <c r="X205" s="79"/>
      <c r="Y205" s="79"/>
      <c r="Z205" s="79"/>
      <c r="AA205" s="79"/>
      <c r="AB205" s="79"/>
      <c r="AC205" s="79"/>
    </row>
    <row r="206" spans="1:29" ht="12.75" customHeight="1">
      <c r="A206" s="79"/>
      <c r="B206" s="79"/>
      <c r="C206" s="79"/>
      <c r="D206" s="79"/>
      <c r="E206" s="79"/>
      <c r="F206" s="79"/>
      <c r="G206" s="79"/>
      <c r="H206" s="79"/>
      <c r="I206" s="125"/>
      <c r="J206" s="79"/>
      <c r="K206" s="79"/>
      <c r="L206" s="79"/>
      <c r="M206" s="79"/>
      <c r="N206" s="79"/>
      <c r="O206" s="79"/>
      <c r="P206" s="79"/>
      <c r="Q206" s="79"/>
      <c r="R206" s="79"/>
      <c r="S206" s="79"/>
      <c r="T206" s="79"/>
      <c r="U206" s="79"/>
      <c r="V206" s="79"/>
      <c r="W206" s="79"/>
      <c r="X206" s="79"/>
      <c r="Y206" s="79"/>
      <c r="Z206" s="79"/>
      <c r="AA206" s="79"/>
      <c r="AB206" s="79"/>
      <c r="AC206" s="79"/>
    </row>
    <row r="207" spans="1:29" ht="12.75" customHeight="1">
      <c r="A207" s="79"/>
      <c r="B207" s="79"/>
      <c r="C207" s="79"/>
      <c r="D207" s="79"/>
      <c r="E207" s="79"/>
      <c r="F207" s="79"/>
      <c r="G207" s="79"/>
      <c r="H207" s="79"/>
      <c r="I207" s="125"/>
      <c r="J207" s="79"/>
      <c r="K207" s="79"/>
      <c r="L207" s="79"/>
      <c r="M207" s="79"/>
      <c r="N207" s="79"/>
      <c r="O207" s="79"/>
      <c r="P207" s="79"/>
      <c r="Q207" s="79"/>
      <c r="R207" s="79"/>
      <c r="S207" s="79"/>
      <c r="T207" s="79"/>
      <c r="U207" s="79"/>
      <c r="V207" s="79"/>
      <c r="W207" s="79"/>
      <c r="X207" s="79"/>
      <c r="Y207" s="79"/>
      <c r="Z207" s="79"/>
      <c r="AA207" s="79"/>
      <c r="AB207" s="79"/>
      <c r="AC207" s="79"/>
    </row>
    <row r="208" spans="1:29" ht="12.75" customHeight="1">
      <c r="A208" s="79"/>
      <c r="B208" s="79"/>
      <c r="C208" s="79"/>
      <c r="D208" s="79"/>
      <c r="E208" s="79"/>
      <c r="F208" s="79"/>
      <c r="G208" s="79"/>
      <c r="H208" s="79"/>
      <c r="I208" s="125"/>
      <c r="J208" s="79"/>
      <c r="K208" s="79"/>
      <c r="L208" s="79"/>
      <c r="M208" s="79"/>
      <c r="N208" s="79"/>
      <c r="O208" s="79"/>
      <c r="P208" s="79"/>
      <c r="Q208" s="79"/>
      <c r="R208" s="79"/>
      <c r="S208" s="79"/>
      <c r="T208" s="79"/>
      <c r="U208" s="79"/>
      <c r="V208" s="79"/>
      <c r="W208" s="79"/>
      <c r="X208" s="79"/>
      <c r="Y208" s="79"/>
      <c r="Z208" s="79"/>
      <c r="AA208" s="79"/>
      <c r="AB208" s="79"/>
      <c r="AC208" s="79"/>
    </row>
    <row r="209" spans="1:29" ht="12.75" customHeight="1">
      <c r="A209" s="79"/>
      <c r="B209" s="79"/>
      <c r="C209" s="79"/>
      <c r="D209" s="79"/>
      <c r="E209" s="79"/>
      <c r="F209" s="79"/>
      <c r="G209" s="79"/>
      <c r="H209" s="79"/>
      <c r="I209" s="125"/>
      <c r="J209" s="79"/>
      <c r="K209" s="79"/>
      <c r="L209" s="79"/>
      <c r="M209" s="79"/>
      <c r="N209" s="79"/>
      <c r="O209" s="79"/>
      <c r="P209" s="79"/>
      <c r="Q209" s="79"/>
      <c r="R209" s="79"/>
      <c r="S209" s="79"/>
      <c r="T209" s="79"/>
      <c r="U209" s="79"/>
      <c r="V209" s="79"/>
      <c r="W209" s="79"/>
      <c r="X209" s="79"/>
      <c r="Y209" s="79"/>
      <c r="Z209" s="79"/>
      <c r="AA209" s="79"/>
      <c r="AB209" s="79"/>
      <c r="AC209" s="79"/>
    </row>
    <row r="210" spans="1:29" ht="12.75" customHeight="1">
      <c r="A210" s="79"/>
      <c r="B210" s="79"/>
      <c r="C210" s="79"/>
      <c r="D210" s="79"/>
      <c r="E210" s="79"/>
      <c r="F210" s="79"/>
      <c r="G210" s="79"/>
      <c r="H210" s="79"/>
      <c r="I210" s="125"/>
      <c r="J210" s="79"/>
      <c r="K210" s="79"/>
      <c r="L210" s="79"/>
      <c r="M210" s="79"/>
      <c r="N210" s="79"/>
      <c r="O210" s="79"/>
      <c r="P210" s="79"/>
      <c r="Q210" s="79"/>
      <c r="R210" s="79"/>
      <c r="S210" s="79"/>
      <c r="T210" s="79"/>
      <c r="U210" s="79"/>
      <c r="V210" s="79"/>
      <c r="W210" s="79"/>
      <c r="X210" s="79"/>
      <c r="Y210" s="79"/>
      <c r="Z210" s="79"/>
      <c r="AA210" s="79"/>
      <c r="AB210" s="79"/>
      <c r="AC210" s="79"/>
    </row>
    <row r="211" spans="1:29" ht="12.75" customHeight="1">
      <c r="A211" s="79"/>
      <c r="B211" s="79"/>
      <c r="C211" s="79"/>
      <c r="D211" s="79"/>
      <c r="E211" s="79"/>
      <c r="F211" s="79"/>
      <c r="G211" s="79"/>
      <c r="H211" s="79"/>
      <c r="I211" s="125"/>
      <c r="J211" s="79"/>
      <c r="K211" s="79"/>
      <c r="L211" s="79"/>
      <c r="M211" s="79"/>
      <c r="N211" s="79"/>
      <c r="O211" s="79"/>
      <c r="P211" s="79"/>
      <c r="Q211" s="79"/>
      <c r="R211" s="79"/>
      <c r="S211" s="79"/>
      <c r="T211" s="79"/>
      <c r="U211" s="79"/>
      <c r="V211" s="79"/>
      <c r="W211" s="79"/>
      <c r="X211" s="79"/>
      <c r="Y211" s="79"/>
      <c r="Z211" s="79"/>
      <c r="AA211" s="79"/>
      <c r="AB211" s="79"/>
      <c r="AC211" s="79"/>
    </row>
    <row r="212" spans="1:29" ht="12.75" customHeight="1">
      <c r="A212" s="79"/>
      <c r="B212" s="79"/>
      <c r="C212" s="79"/>
      <c r="D212" s="79"/>
      <c r="E212" s="79"/>
      <c r="F212" s="79"/>
      <c r="G212" s="79"/>
      <c r="H212" s="79"/>
      <c r="I212" s="125"/>
      <c r="J212" s="79"/>
      <c r="K212" s="79"/>
      <c r="L212" s="79"/>
      <c r="M212" s="79"/>
      <c r="N212" s="79"/>
      <c r="O212" s="79"/>
      <c r="P212" s="79"/>
      <c r="Q212" s="79"/>
      <c r="R212" s="79"/>
      <c r="S212" s="79"/>
      <c r="T212" s="79"/>
      <c r="U212" s="79"/>
      <c r="V212" s="79"/>
      <c r="W212" s="79"/>
      <c r="X212" s="79"/>
      <c r="Y212" s="79"/>
      <c r="Z212" s="79"/>
      <c r="AA212" s="79"/>
      <c r="AB212" s="79"/>
      <c r="AC212" s="79"/>
    </row>
    <row r="213" spans="1:29" ht="12.75" customHeight="1">
      <c r="A213" s="79"/>
      <c r="B213" s="79"/>
      <c r="C213" s="79"/>
      <c r="D213" s="79"/>
      <c r="E213" s="79"/>
      <c r="F213" s="79"/>
      <c r="G213" s="79"/>
      <c r="H213" s="79"/>
      <c r="I213" s="125"/>
      <c r="J213" s="79"/>
      <c r="K213" s="79"/>
      <c r="L213" s="79"/>
      <c r="M213" s="79"/>
      <c r="N213" s="79"/>
      <c r="O213" s="79"/>
      <c r="P213" s="79"/>
      <c r="Q213" s="79"/>
      <c r="R213" s="79"/>
      <c r="S213" s="79"/>
      <c r="T213" s="79"/>
      <c r="U213" s="79"/>
      <c r="V213" s="79"/>
      <c r="W213" s="79"/>
      <c r="X213" s="79"/>
      <c r="Y213" s="79"/>
      <c r="Z213" s="79"/>
      <c r="AA213" s="79"/>
      <c r="AB213" s="79"/>
      <c r="AC213" s="79"/>
    </row>
    <row r="214" spans="1:29" ht="12.75" customHeight="1">
      <c r="A214" s="79"/>
      <c r="B214" s="79"/>
      <c r="C214" s="79"/>
      <c r="D214" s="79"/>
      <c r="E214" s="79"/>
      <c r="F214" s="79"/>
      <c r="G214" s="79"/>
      <c r="H214" s="79"/>
      <c r="I214" s="125"/>
      <c r="J214" s="79"/>
      <c r="K214" s="79"/>
      <c r="L214" s="79"/>
      <c r="M214" s="79"/>
      <c r="N214" s="79"/>
      <c r="O214" s="79"/>
      <c r="P214" s="79"/>
      <c r="Q214" s="79"/>
      <c r="R214" s="79"/>
      <c r="S214" s="79"/>
      <c r="T214" s="79"/>
      <c r="U214" s="79"/>
      <c r="V214" s="79"/>
      <c r="W214" s="79"/>
      <c r="X214" s="79"/>
      <c r="Y214" s="79"/>
      <c r="Z214" s="79"/>
      <c r="AA214" s="79"/>
      <c r="AB214" s="79"/>
      <c r="AC214" s="79"/>
    </row>
    <row r="215" spans="1:29" ht="12.75" customHeight="1">
      <c r="A215" s="79"/>
      <c r="B215" s="79"/>
      <c r="C215" s="79"/>
      <c r="D215" s="79"/>
      <c r="E215" s="79"/>
      <c r="F215" s="79"/>
      <c r="G215" s="79"/>
      <c r="H215" s="79"/>
      <c r="I215" s="125"/>
      <c r="J215" s="79"/>
      <c r="K215" s="79"/>
      <c r="L215" s="79"/>
      <c r="M215" s="79"/>
      <c r="N215" s="79"/>
      <c r="O215" s="79"/>
      <c r="P215" s="79"/>
      <c r="Q215" s="79"/>
      <c r="R215" s="79"/>
      <c r="S215" s="79"/>
      <c r="T215" s="79"/>
      <c r="U215" s="79"/>
      <c r="V215" s="79"/>
      <c r="W215" s="79"/>
      <c r="X215" s="79"/>
      <c r="Y215" s="79"/>
      <c r="Z215" s="79"/>
      <c r="AA215" s="79"/>
      <c r="AB215" s="79"/>
      <c r="AC215" s="79"/>
    </row>
    <row r="216" spans="1:29" ht="12.75" customHeight="1">
      <c r="A216" s="79"/>
      <c r="B216" s="79"/>
      <c r="C216" s="79"/>
      <c r="D216" s="79"/>
      <c r="E216" s="79"/>
      <c r="F216" s="79"/>
      <c r="G216" s="79"/>
      <c r="H216" s="79"/>
      <c r="I216" s="125"/>
      <c r="J216" s="79"/>
      <c r="K216" s="79"/>
      <c r="L216" s="79"/>
      <c r="M216" s="79"/>
      <c r="N216" s="79"/>
      <c r="O216" s="79"/>
      <c r="P216" s="79"/>
      <c r="Q216" s="79"/>
      <c r="R216" s="79"/>
      <c r="S216" s="79"/>
      <c r="T216" s="79"/>
      <c r="U216" s="79"/>
      <c r="V216" s="79"/>
      <c r="W216" s="79"/>
      <c r="X216" s="79"/>
      <c r="Y216" s="79"/>
      <c r="Z216" s="79"/>
      <c r="AA216" s="79"/>
      <c r="AB216" s="79"/>
      <c r="AC216" s="79"/>
    </row>
    <row r="217" spans="1:29" ht="12.75" customHeight="1">
      <c r="A217" s="79"/>
      <c r="B217" s="79"/>
      <c r="C217" s="79"/>
      <c r="D217" s="79"/>
      <c r="E217" s="79"/>
      <c r="F217" s="79"/>
      <c r="G217" s="79"/>
      <c r="H217" s="79"/>
      <c r="I217" s="125"/>
      <c r="J217" s="79"/>
      <c r="K217" s="79"/>
      <c r="L217" s="79"/>
      <c r="M217" s="79"/>
      <c r="N217" s="79"/>
      <c r="O217" s="79"/>
      <c r="P217" s="79"/>
      <c r="Q217" s="79"/>
      <c r="R217" s="79"/>
      <c r="S217" s="79"/>
      <c r="T217" s="79"/>
      <c r="U217" s="79"/>
      <c r="V217" s="79"/>
      <c r="W217" s="79"/>
      <c r="X217" s="79"/>
      <c r="Y217" s="79"/>
      <c r="Z217" s="79"/>
      <c r="AA217" s="79"/>
      <c r="AB217" s="79"/>
      <c r="AC217" s="79"/>
    </row>
    <row r="218" spans="1:29" ht="12.75" customHeight="1">
      <c r="A218" s="79"/>
      <c r="B218" s="79"/>
      <c r="C218" s="79"/>
      <c r="D218" s="79"/>
      <c r="E218" s="79"/>
      <c r="F218" s="79"/>
      <c r="G218" s="79"/>
      <c r="H218" s="79"/>
      <c r="I218" s="125"/>
      <c r="J218" s="79"/>
      <c r="K218" s="79"/>
      <c r="L218" s="79"/>
      <c r="M218" s="79"/>
      <c r="N218" s="79"/>
      <c r="O218" s="79"/>
      <c r="P218" s="79"/>
      <c r="Q218" s="79"/>
      <c r="R218" s="79"/>
      <c r="S218" s="79"/>
      <c r="T218" s="79"/>
      <c r="U218" s="79"/>
      <c r="V218" s="79"/>
      <c r="W218" s="79"/>
      <c r="X218" s="79"/>
      <c r="Y218" s="79"/>
      <c r="Z218" s="79"/>
      <c r="AA218" s="79"/>
      <c r="AB218" s="79"/>
      <c r="AC218" s="79"/>
    </row>
    <row r="219" spans="1:29" ht="12.75" customHeight="1">
      <c r="A219" s="79"/>
      <c r="B219" s="79"/>
      <c r="C219" s="79"/>
      <c r="D219" s="79"/>
      <c r="E219" s="79"/>
      <c r="F219" s="79"/>
      <c r="G219" s="79"/>
      <c r="H219" s="79"/>
      <c r="I219" s="125"/>
      <c r="J219" s="79"/>
      <c r="K219" s="79"/>
      <c r="L219" s="79"/>
      <c r="M219" s="79"/>
      <c r="N219" s="79"/>
      <c r="O219" s="79"/>
      <c r="P219" s="79"/>
      <c r="Q219" s="79"/>
      <c r="R219" s="79"/>
      <c r="S219" s="79"/>
      <c r="T219" s="79"/>
      <c r="U219" s="79"/>
      <c r="V219" s="79"/>
      <c r="W219" s="79"/>
      <c r="X219" s="79"/>
      <c r="Y219" s="79"/>
      <c r="Z219" s="79"/>
      <c r="AA219" s="79"/>
      <c r="AB219" s="79"/>
      <c r="AC219" s="79"/>
    </row>
    <row r="220" spans="1:29" ht="12.75" customHeight="1">
      <c r="A220" s="79"/>
      <c r="B220" s="79"/>
      <c r="C220" s="79"/>
      <c r="D220" s="79"/>
      <c r="E220" s="79"/>
      <c r="F220" s="79"/>
      <c r="G220" s="79"/>
      <c r="H220" s="79"/>
      <c r="I220" s="125"/>
      <c r="J220" s="79"/>
      <c r="K220" s="79"/>
      <c r="L220" s="79"/>
      <c r="M220" s="79"/>
      <c r="N220" s="79"/>
      <c r="O220" s="79"/>
      <c r="P220" s="79"/>
      <c r="Q220" s="79"/>
      <c r="R220" s="79"/>
      <c r="S220" s="79"/>
      <c r="T220" s="79"/>
      <c r="U220" s="79"/>
      <c r="V220" s="79"/>
      <c r="W220" s="79"/>
      <c r="X220" s="79"/>
      <c r="Y220" s="79"/>
      <c r="Z220" s="79"/>
      <c r="AA220" s="79"/>
      <c r="AB220" s="79"/>
      <c r="AC220" s="79"/>
    </row>
    <row r="221" spans="1:29" ht="12.75" customHeight="1">
      <c r="A221" s="79"/>
      <c r="B221" s="79"/>
      <c r="C221" s="79"/>
      <c r="D221" s="79"/>
      <c r="E221" s="79"/>
      <c r="F221" s="79"/>
      <c r="G221" s="79"/>
      <c r="H221" s="79"/>
      <c r="I221" s="125"/>
      <c r="J221" s="79"/>
      <c r="K221" s="79"/>
      <c r="L221" s="79"/>
      <c r="M221" s="79"/>
      <c r="N221" s="79"/>
      <c r="O221" s="79"/>
      <c r="P221" s="79"/>
      <c r="Q221" s="79"/>
      <c r="R221" s="79"/>
      <c r="S221" s="79"/>
      <c r="T221" s="79"/>
      <c r="U221" s="79"/>
      <c r="V221" s="79"/>
      <c r="W221" s="79"/>
      <c r="X221" s="79"/>
      <c r="Y221" s="79"/>
      <c r="Z221" s="79"/>
      <c r="AA221" s="79"/>
      <c r="AB221" s="79"/>
      <c r="AC221" s="79"/>
    </row>
    <row r="222" spans="1:29" ht="12.75" customHeight="1">
      <c r="A222" s="79"/>
      <c r="B222" s="79"/>
      <c r="C222" s="79"/>
      <c r="D222" s="79"/>
      <c r="E222" s="79"/>
      <c r="F222" s="79"/>
      <c r="G222" s="79"/>
      <c r="H222" s="79"/>
      <c r="I222" s="125"/>
      <c r="J222" s="79"/>
      <c r="K222" s="79"/>
      <c r="L222" s="79"/>
      <c r="M222" s="79"/>
      <c r="N222" s="79"/>
      <c r="O222" s="79"/>
      <c r="P222" s="79"/>
      <c r="Q222" s="79"/>
      <c r="R222" s="79"/>
      <c r="S222" s="79"/>
      <c r="T222" s="79"/>
      <c r="U222" s="79"/>
      <c r="V222" s="79"/>
      <c r="W222" s="79"/>
      <c r="X222" s="79"/>
      <c r="Y222" s="79"/>
      <c r="Z222" s="79"/>
      <c r="AA222" s="79"/>
      <c r="AB222" s="79"/>
      <c r="AC222" s="79"/>
    </row>
    <row r="223" spans="1:29" ht="12.75" customHeight="1">
      <c r="A223" s="79"/>
      <c r="B223" s="79"/>
      <c r="C223" s="79"/>
      <c r="D223" s="79"/>
      <c r="E223" s="79"/>
      <c r="F223" s="79"/>
      <c r="G223" s="79"/>
      <c r="H223" s="79"/>
      <c r="I223" s="125"/>
      <c r="J223" s="79"/>
      <c r="K223" s="79"/>
      <c r="L223" s="79"/>
      <c r="M223" s="79"/>
      <c r="N223" s="79"/>
      <c r="O223" s="79"/>
      <c r="P223" s="79"/>
      <c r="Q223" s="79"/>
      <c r="R223" s="79"/>
      <c r="S223" s="79"/>
      <c r="T223" s="79"/>
      <c r="U223" s="79"/>
      <c r="V223" s="79"/>
      <c r="W223" s="79"/>
      <c r="X223" s="79"/>
      <c r="Y223" s="79"/>
      <c r="Z223" s="79"/>
      <c r="AA223" s="79"/>
      <c r="AB223" s="79"/>
      <c r="AC223" s="79"/>
    </row>
    <row r="224" spans="1:29" ht="12.75" customHeight="1">
      <c r="A224" s="79"/>
      <c r="B224" s="79"/>
      <c r="C224" s="79"/>
      <c r="D224" s="79"/>
      <c r="E224" s="79"/>
      <c r="F224" s="79"/>
      <c r="G224" s="79"/>
      <c r="H224" s="79"/>
      <c r="I224" s="125"/>
      <c r="J224" s="79"/>
      <c r="K224" s="79"/>
      <c r="L224" s="79"/>
      <c r="M224" s="79"/>
      <c r="N224" s="79"/>
      <c r="O224" s="79"/>
      <c r="P224" s="79"/>
      <c r="Q224" s="79"/>
      <c r="R224" s="79"/>
      <c r="S224" s="79"/>
      <c r="T224" s="79"/>
      <c r="U224" s="79"/>
      <c r="V224" s="79"/>
      <c r="W224" s="79"/>
      <c r="X224" s="79"/>
      <c r="Y224" s="79"/>
      <c r="Z224" s="79"/>
      <c r="AA224" s="79"/>
      <c r="AB224" s="79"/>
      <c r="AC224" s="79"/>
    </row>
    <row r="225" spans="1:29" ht="12.75" customHeight="1">
      <c r="A225" s="79"/>
      <c r="B225" s="79"/>
      <c r="C225" s="79"/>
      <c r="D225" s="79"/>
      <c r="E225" s="79"/>
      <c r="F225" s="79"/>
      <c r="G225" s="79"/>
      <c r="H225" s="79"/>
      <c r="I225" s="125"/>
      <c r="J225" s="79"/>
      <c r="K225" s="79"/>
      <c r="L225" s="79"/>
      <c r="M225" s="79"/>
      <c r="N225" s="79"/>
      <c r="O225" s="79"/>
      <c r="P225" s="79"/>
      <c r="Q225" s="79"/>
      <c r="R225" s="79"/>
      <c r="S225" s="79"/>
      <c r="T225" s="79"/>
      <c r="U225" s="79"/>
      <c r="V225" s="79"/>
      <c r="W225" s="79"/>
      <c r="X225" s="79"/>
      <c r="Y225" s="79"/>
      <c r="Z225" s="79"/>
      <c r="AA225" s="79"/>
      <c r="AB225" s="79"/>
      <c r="AC225" s="79"/>
    </row>
    <row r="226" spans="1:29" ht="12.75" customHeight="1">
      <c r="A226" s="79"/>
      <c r="B226" s="79"/>
      <c r="C226" s="79"/>
      <c r="D226" s="79"/>
      <c r="E226" s="79"/>
      <c r="F226" s="79"/>
      <c r="G226" s="79"/>
      <c r="H226" s="79"/>
      <c r="I226" s="125"/>
      <c r="J226" s="79"/>
      <c r="K226" s="79"/>
      <c r="L226" s="79"/>
      <c r="M226" s="79"/>
      <c r="N226" s="79"/>
      <c r="O226" s="79"/>
      <c r="P226" s="79"/>
      <c r="Q226" s="79"/>
      <c r="R226" s="79"/>
      <c r="S226" s="79"/>
      <c r="T226" s="79"/>
      <c r="U226" s="79"/>
      <c r="V226" s="79"/>
      <c r="W226" s="79"/>
      <c r="X226" s="79"/>
      <c r="Y226" s="79"/>
      <c r="Z226" s="79"/>
      <c r="AA226" s="79"/>
      <c r="AB226" s="79"/>
      <c r="AC226" s="79"/>
    </row>
    <row r="227" spans="1:29" ht="12.75" customHeight="1">
      <c r="A227" s="79"/>
      <c r="B227" s="79"/>
      <c r="C227" s="79"/>
      <c r="D227" s="79"/>
      <c r="E227" s="79"/>
      <c r="F227" s="79"/>
      <c r="G227" s="79"/>
      <c r="H227" s="79"/>
      <c r="I227" s="125"/>
      <c r="J227" s="79"/>
      <c r="K227" s="79"/>
      <c r="L227" s="79"/>
      <c r="M227" s="79"/>
      <c r="N227" s="79"/>
      <c r="O227" s="79"/>
      <c r="P227" s="79"/>
      <c r="Q227" s="79"/>
      <c r="R227" s="79"/>
      <c r="S227" s="79"/>
      <c r="T227" s="79"/>
      <c r="U227" s="79"/>
      <c r="V227" s="79"/>
      <c r="W227" s="79"/>
      <c r="X227" s="79"/>
      <c r="Y227" s="79"/>
      <c r="Z227" s="79"/>
      <c r="AA227" s="79"/>
      <c r="AB227" s="79"/>
      <c r="AC227" s="79"/>
    </row>
    <row r="228" spans="1:29" ht="12.75" customHeight="1">
      <c r="A228" s="79"/>
      <c r="B228" s="79"/>
      <c r="C228" s="79"/>
      <c r="D228" s="79"/>
      <c r="E228" s="79"/>
      <c r="F228" s="79"/>
      <c r="G228" s="79"/>
      <c r="H228" s="79"/>
      <c r="I228" s="125"/>
      <c r="J228" s="79"/>
      <c r="K228" s="79"/>
      <c r="L228" s="79"/>
      <c r="M228" s="79"/>
      <c r="N228" s="79"/>
      <c r="O228" s="79"/>
      <c r="P228" s="79"/>
      <c r="Q228" s="79"/>
      <c r="R228" s="79"/>
      <c r="S228" s="79"/>
      <c r="T228" s="79"/>
      <c r="U228" s="79"/>
      <c r="V228" s="79"/>
      <c r="W228" s="79"/>
      <c r="X228" s="79"/>
      <c r="Y228" s="79"/>
      <c r="Z228" s="79"/>
      <c r="AA228" s="79"/>
      <c r="AB228" s="79"/>
      <c r="AC228" s="79"/>
    </row>
    <row r="229" spans="1:29" ht="12.75" customHeight="1">
      <c r="A229" s="79"/>
      <c r="B229" s="79"/>
      <c r="C229" s="79"/>
      <c r="D229" s="79"/>
      <c r="E229" s="79"/>
      <c r="F229" s="79"/>
      <c r="G229" s="79"/>
      <c r="H229" s="79"/>
      <c r="I229" s="125"/>
      <c r="J229" s="79"/>
      <c r="K229" s="79"/>
      <c r="L229" s="79"/>
      <c r="M229" s="79"/>
      <c r="N229" s="79"/>
      <c r="O229" s="79"/>
      <c r="P229" s="79"/>
      <c r="Q229" s="79"/>
      <c r="R229" s="79"/>
      <c r="S229" s="79"/>
      <c r="T229" s="79"/>
      <c r="U229" s="79"/>
      <c r="V229" s="79"/>
      <c r="W229" s="79"/>
      <c r="X229" s="79"/>
      <c r="Y229" s="79"/>
      <c r="Z229" s="79"/>
      <c r="AA229" s="79"/>
      <c r="AB229" s="79"/>
      <c r="AC229" s="79"/>
    </row>
    <row r="230" spans="1:29" ht="12.75" customHeight="1">
      <c r="A230" s="79"/>
      <c r="B230" s="79"/>
      <c r="C230" s="79"/>
      <c r="D230" s="79"/>
      <c r="E230" s="79"/>
      <c r="F230" s="79"/>
      <c r="G230" s="79"/>
      <c r="H230" s="79"/>
      <c r="I230" s="125"/>
      <c r="J230" s="79"/>
      <c r="K230" s="79"/>
      <c r="L230" s="79"/>
      <c r="M230" s="79"/>
      <c r="N230" s="79"/>
      <c r="O230" s="79"/>
      <c r="P230" s="79"/>
      <c r="Q230" s="79"/>
      <c r="R230" s="79"/>
      <c r="S230" s="79"/>
      <c r="T230" s="79"/>
      <c r="U230" s="79"/>
      <c r="V230" s="79"/>
      <c r="W230" s="79"/>
      <c r="X230" s="79"/>
      <c r="Y230" s="79"/>
      <c r="Z230" s="79"/>
      <c r="AA230" s="79"/>
      <c r="AB230" s="79"/>
      <c r="AC230" s="79"/>
    </row>
    <row r="231" spans="1:29" ht="12.75" customHeight="1">
      <c r="A231" s="79"/>
      <c r="B231" s="79"/>
      <c r="C231" s="79"/>
      <c r="D231" s="79"/>
      <c r="E231" s="79"/>
      <c r="F231" s="79"/>
      <c r="G231" s="79"/>
      <c r="H231" s="79"/>
      <c r="I231" s="125"/>
      <c r="J231" s="79"/>
      <c r="K231" s="79"/>
      <c r="L231" s="79"/>
      <c r="M231" s="79"/>
      <c r="N231" s="79"/>
      <c r="O231" s="79"/>
      <c r="P231" s="79"/>
      <c r="Q231" s="79"/>
      <c r="R231" s="79"/>
      <c r="S231" s="79"/>
      <c r="T231" s="79"/>
      <c r="U231" s="79"/>
      <c r="V231" s="79"/>
      <c r="W231" s="79"/>
      <c r="X231" s="79"/>
      <c r="Y231" s="79"/>
      <c r="Z231" s="79"/>
      <c r="AA231" s="79"/>
      <c r="AB231" s="79"/>
      <c r="AC231" s="79"/>
    </row>
    <row r="232" spans="1:29" ht="12.75" customHeight="1">
      <c r="A232" s="79"/>
      <c r="B232" s="79"/>
      <c r="C232" s="79"/>
      <c r="D232" s="79"/>
      <c r="E232" s="79"/>
      <c r="F232" s="79"/>
      <c r="G232" s="79"/>
      <c r="H232" s="79"/>
      <c r="I232" s="125"/>
      <c r="J232" s="79"/>
      <c r="K232" s="79"/>
      <c r="L232" s="79"/>
      <c r="M232" s="79"/>
      <c r="N232" s="79"/>
      <c r="O232" s="79"/>
      <c r="P232" s="79"/>
      <c r="Q232" s="79"/>
      <c r="R232" s="79"/>
      <c r="S232" s="79"/>
      <c r="T232" s="79"/>
      <c r="U232" s="79"/>
      <c r="V232" s="79"/>
      <c r="W232" s="79"/>
      <c r="X232" s="79"/>
      <c r="Y232" s="79"/>
      <c r="Z232" s="79"/>
      <c r="AA232" s="79"/>
      <c r="AB232" s="79"/>
      <c r="AC232" s="79"/>
    </row>
    <row r="233" spans="1:29" ht="12.75" customHeight="1">
      <c r="A233" s="79"/>
      <c r="B233" s="79"/>
      <c r="C233" s="79"/>
      <c r="D233" s="79"/>
      <c r="E233" s="79"/>
      <c r="F233" s="79"/>
      <c r="G233" s="79"/>
      <c r="H233" s="79"/>
      <c r="I233" s="125"/>
      <c r="J233" s="79"/>
      <c r="K233" s="79"/>
      <c r="L233" s="79"/>
      <c r="M233" s="79"/>
      <c r="N233" s="79"/>
      <c r="O233" s="79"/>
      <c r="P233" s="79"/>
      <c r="Q233" s="79"/>
      <c r="R233" s="79"/>
      <c r="S233" s="79"/>
      <c r="T233" s="79"/>
      <c r="U233" s="79"/>
      <c r="V233" s="79"/>
      <c r="W233" s="79"/>
      <c r="X233" s="79"/>
      <c r="Y233" s="79"/>
      <c r="Z233" s="79"/>
      <c r="AA233" s="79"/>
      <c r="AB233" s="79"/>
      <c r="AC233" s="79"/>
    </row>
    <row r="234" spans="1:29" ht="12.75" customHeight="1">
      <c r="A234" s="79"/>
      <c r="B234" s="79"/>
      <c r="C234" s="79"/>
      <c r="D234" s="79"/>
      <c r="E234" s="79"/>
      <c r="F234" s="79"/>
      <c r="G234" s="79"/>
      <c r="H234" s="79"/>
      <c r="I234" s="125"/>
      <c r="J234" s="79"/>
      <c r="K234" s="79"/>
      <c r="L234" s="79"/>
      <c r="M234" s="79"/>
      <c r="N234" s="79"/>
      <c r="O234" s="79"/>
      <c r="P234" s="79"/>
      <c r="Q234" s="79"/>
      <c r="R234" s="79"/>
      <c r="S234" s="79"/>
      <c r="T234" s="79"/>
      <c r="U234" s="79"/>
      <c r="V234" s="79"/>
      <c r="W234" s="79"/>
      <c r="X234" s="79"/>
      <c r="Y234" s="79"/>
      <c r="Z234" s="79"/>
      <c r="AA234" s="79"/>
      <c r="AB234" s="79"/>
      <c r="AC234" s="79"/>
    </row>
    <row r="235" spans="1:29" ht="12.75" customHeight="1">
      <c r="A235" s="79"/>
      <c r="B235" s="79"/>
      <c r="C235" s="79"/>
      <c r="D235" s="79"/>
      <c r="E235" s="79"/>
      <c r="F235" s="79"/>
      <c r="G235" s="79"/>
      <c r="H235" s="79"/>
      <c r="I235" s="125"/>
      <c r="J235" s="79"/>
      <c r="K235" s="79"/>
      <c r="L235" s="79"/>
      <c r="M235" s="79"/>
      <c r="N235" s="79"/>
      <c r="O235" s="79"/>
      <c r="P235" s="79"/>
      <c r="Q235" s="79"/>
      <c r="R235" s="79"/>
      <c r="S235" s="79"/>
      <c r="T235" s="79"/>
      <c r="U235" s="79"/>
      <c r="V235" s="79"/>
      <c r="W235" s="79"/>
      <c r="X235" s="79"/>
      <c r="Y235" s="79"/>
      <c r="Z235" s="79"/>
      <c r="AA235" s="79"/>
      <c r="AB235" s="79"/>
      <c r="AC235" s="79"/>
    </row>
    <row r="236" spans="1:29" ht="12.75" customHeight="1">
      <c r="A236" s="79"/>
      <c r="B236" s="79"/>
      <c r="C236" s="79"/>
      <c r="D236" s="79"/>
      <c r="E236" s="79"/>
      <c r="F236" s="79"/>
      <c r="G236" s="79"/>
      <c r="H236" s="79"/>
      <c r="I236" s="125"/>
      <c r="J236" s="79"/>
      <c r="K236" s="79"/>
      <c r="L236" s="79"/>
      <c r="M236" s="79"/>
      <c r="N236" s="79"/>
      <c r="O236" s="79"/>
      <c r="P236" s="79"/>
      <c r="Q236" s="79"/>
      <c r="R236" s="79"/>
      <c r="S236" s="79"/>
      <c r="T236" s="79"/>
      <c r="U236" s="79"/>
      <c r="V236" s="79"/>
      <c r="W236" s="79"/>
      <c r="X236" s="79"/>
      <c r="Y236" s="79"/>
      <c r="Z236" s="79"/>
      <c r="AA236" s="79"/>
      <c r="AB236" s="79"/>
      <c r="AC236" s="79"/>
    </row>
    <row r="237" spans="1:29" ht="12.75" customHeight="1">
      <c r="A237" s="79"/>
      <c r="B237" s="79"/>
      <c r="C237" s="79"/>
      <c r="D237" s="79"/>
      <c r="E237" s="79"/>
      <c r="F237" s="79"/>
      <c r="G237" s="79"/>
      <c r="H237" s="79"/>
      <c r="I237" s="125"/>
      <c r="J237" s="79"/>
      <c r="K237" s="79"/>
      <c r="L237" s="79"/>
      <c r="M237" s="79"/>
      <c r="N237" s="79"/>
      <c r="O237" s="79"/>
      <c r="P237" s="79"/>
      <c r="Q237" s="79"/>
      <c r="R237" s="79"/>
      <c r="S237" s="79"/>
      <c r="T237" s="79"/>
      <c r="U237" s="79"/>
      <c r="V237" s="79"/>
      <c r="W237" s="79"/>
      <c r="X237" s="79"/>
      <c r="Y237" s="79"/>
      <c r="Z237" s="79"/>
      <c r="AA237" s="79"/>
      <c r="AB237" s="79"/>
      <c r="AC237" s="79"/>
    </row>
    <row r="238" spans="1:29" ht="12.75" customHeight="1">
      <c r="A238" s="79"/>
      <c r="B238" s="79"/>
      <c r="C238" s="79"/>
      <c r="D238" s="79"/>
      <c r="E238" s="79"/>
      <c r="F238" s="79"/>
      <c r="G238" s="79"/>
      <c r="H238" s="79"/>
      <c r="I238" s="125"/>
      <c r="J238" s="79"/>
      <c r="K238" s="79"/>
      <c r="L238" s="79"/>
      <c r="M238" s="79"/>
      <c r="N238" s="79"/>
      <c r="O238" s="79"/>
      <c r="P238" s="79"/>
      <c r="Q238" s="79"/>
      <c r="R238" s="79"/>
      <c r="S238" s="79"/>
      <c r="T238" s="79"/>
      <c r="U238" s="79"/>
      <c r="V238" s="79"/>
      <c r="W238" s="79"/>
      <c r="X238" s="79"/>
      <c r="Y238" s="79"/>
      <c r="Z238" s="79"/>
      <c r="AA238" s="79"/>
      <c r="AB238" s="79"/>
      <c r="AC238" s="79"/>
    </row>
    <row r="239" spans="1:29" ht="12.75" customHeight="1">
      <c r="A239" s="79"/>
      <c r="B239" s="79"/>
      <c r="C239" s="79"/>
      <c r="D239" s="79"/>
      <c r="E239" s="79"/>
      <c r="F239" s="79"/>
      <c r="G239" s="79"/>
      <c r="H239" s="79"/>
      <c r="I239" s="125"/>
      <c r="J239" s="79"/>
      <c r="K239" s="79"/>
      <c r="L239" s="79"/>
      <c r="M239" s="79"/>
      <c r="N239" s="79"/>
      <c r="O239" s="79"/>
      <c r="P239" s="79"/>
      <c r="Q239" s="79"/>
      <c r="R239" s="79"/>
      <c r="S239" s="79"/>
      <c r="T239" s="79"/>
      <c r="U239" s="79"/>
      <c r="V239" s="79"/>
      <c r="W239" s="79"/>
      <c r="X239" s="79"/>
      <c r="Y239" s="79"/>
      <c r="Z239" s="79"/>
      <c r="AA239" s="79"/>
      <c r="AB239" s="79"/>
      <c r="AC239" s="79"/>
    </row>
    <row r="240" spans="1:29" ht="12.75" customHeight="1">
      <c r="A240" s="79"/>
      <c r="B240" s="79"/>
      <c r="C240" s="79"/>
      <c r="D240" s="79"/>
      <c r="E240" s="79"/>
      <c r="F240" s="79"/>
      <c r="G240" s="79"/>
      <c r="H240" s="79"/>
      <c r="I240" s="125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  <c r="U240" s="79"/>
      <c r="V240" s="79"/>
      <c r="W240" s="79"/>
      <c r="X240" s="79"/>
      <c r="Y240" s="79"/>
      <c r="Z240" s="79"/>
      <c r="AA240" s="79"/>
      <c r="AB240" s="79"/>
      <c r="AC240" s="79"/>
    </row>
    <row r="241" spans="1:29" ht="12.75" customHeight="1">
      <c r="A241" s="79"/>
      <c r="B241" s="79"/>
      <c r="C241" s="79"/>
      <c r="D241" s="79"/>
      <c r="E241" s="79"/>
      <c r="F241" s="79"/>
      <c r="G241" s="79"/>
      <c r="H241" s="79"/>
      <c r="I241" s="125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  <c r="U241" s="79"/>
      <c r="V241" s="79"/>
      <c r="W241" s="79"/>
      <c r="X241" s="79"/>
      <c r="Y241" s="79"/>
      <c r="Z241" s="79"/>
      <c r="AA241" s="79"/>
      <c r="AB241" s="79"/>
      <c r="AC241" s="79"/>
    </row>
    <row r="242" spans="1:29" ht="12.75" customHeight="1">
      <c r="A242" s="79"/>
      <c r="B242" s="79"/>
      <c r="C242" s="79"/>
      <c r="D242" s="79"/>
      <c r="E242" s="79"/>
      <c r="F242" s="79"/>
      <c r="G242" s="79"/>
      <c r="H242" s="79"/>
      <c r="I242" s="125"/>
      <c r="J242" s="79"/>
      <c r="K242" s="79"/>
      <c r="L242" s="79"/>
      <c r="M242" s="79"/>
      <c r="N242" s="79"/>
      <c r="O242" s="79"/>
      <c r="P242" s="79"/>
      <c r="Q242" s="79"/>
      <c r="R242" s="79"/>
      <c r="S242" s="79"/>
      <c r="T242" s="79"/>
      <c r="U242" s="79"/>
      <c r="V242" s="79"/>
      <c r="W242" s="79"/>
      <c r="X242" s="79"/>
      <c r="Y242" s="79"/>
      <c r="Z242" s="79"/>
      <c r="AA242" s="79"/>
      <c r="AB242" s="79"/>
      <c r="AC242" s="79"/>
    </row>
    <row r="243" spans="1:29" ht="12.75" customHeight="1">
      <c r="A243" s="79"/>
      <c r="B243" s="79"/>
      <c r="C243" s="79"/>
      <c r="D243" s="79"/>
      <c r="E243" s="79"/>
      <c r="F243" s="79"/>
      <c r="G243" s="79"/>
      <c r="H243" s="79"/>
      <c r="I243" s="125"/>
      <c r="J243" s="79"/>
      <c r="K243" s="79"/>
      <c r="L243" s="79"/>
      <c r="M243" s="79"/>
      <c r="N243" s="79"/>
      <c r="O243" s="79"/>
      <c r="P243" s="79"/>
      <c r="Q243" s="79"/>
      <c r="R243" s="79"/>
      <c r="S243" s="79"/>
      <c r="T243" s="79"/>
      <c r="U243" s="79"/>
      <c r="V243" s="79"/>
      <c r="W243" s="79"/>
      <c r="X243" s="79"/>
      <c r="Y243" s="79"/>
      <c r="Z243" s="79"/>
      <c r="AA243" s="79"/>
      <c r="AB243" s="79"/>
      <c r="AC243" s="79"/>
    </row>
    <row r="244" spans="1:29" ht="12.75" customHeight="1">
      <c r="A244" s="79"/>
      <c r="B244" s="79"/>
      <c r="C244" s="79"/>
      <c r="D244" s="79"/>
      <c r="E244" s="79"/>
      <c r="F244" s="79"/>
      <c r="G244" s="79"/>
      <c r="H244" s="79"/>
      <c r="I244" s="125"/>
      <c r="J244" s="79"/>
      <c r="K244" s="79"/>
      <c r="L244" s="79"/>
      <c r="M244" s="79"/>
      <c r="N244" s="79"/>
      <c r="O244" s="79"/>
      <c r="P244" s="79"/>
      <c r="Q244" s="79"/>
      <c r="R244" s="79"/>
      <c r="S244" s="79"/>
      <c r="T244" s="79"/>
      <c r="U244" s="79"/>
      <c r="V244" s="79"/>
      <c r="W244" s="79"/>
      <c r="X244" s="79"/>
      <c r="Y244" s="79"/>
      <c r="Z244" s="79"/>
      <c r="AA244" s="79"/>
      <c r="AB244" s="79"/>
      <c r="AC244" s="79"/>
    </row>
    <row r="245" spans="1:29" ht="12.75" customHeight="1">
      <c r="A245" s="79"/>
      <c r="B245" s="79"/>
      <c r="C245" s="79"/>
      <c r="D245" s="79"/>
      <c r="E245" s="79"/>
      <c r="F245" s="79"/>
      <c r="G245" s="79"/>
      <c r="H245" s="79"/>
      <c r="I245" s="125"/>
      <c r="J245" s="79"/>
      <c r="K245" s="79"/>
      <c r="L245" s="79"/>
      <c r="M245" s="79"/>
      <c r="N245" s="79"/>
      <c r="O245" s="79"/>
      <c r="P245" s="79"/>
      <c r="Q245" s="79"/>
      <c r="R245" s="79"/>
      <c r="S245" s="79"/>
      <c r="T245" s="79"/>
      <c r="U245" s="79"/>
      <c r="V245" s="79"/>
      <c r="W245" s="79"/>
      <c r="X245" s="79"/>
      <c r="Y245" s="79"/>
      <c r="Z245" s="79"/>
      <c r="AA245" s="79"/>
      <c r="AB245" s="79"/>
      <c r="AC245" s="79"/>
    </row>
    <row r="246" spans="1:29" ht="12.75" customHeight="1">
      <c r="A246" s="79"/>
      <c r="B246" s="79"/>
      <c r="C246" s="79"/>
      <c r="D246" s="79"/>
      <c r="E246" s="79"/>
      <c r="F246" s="79"/>
      <c r="G246" s="79"/>
      <c r="H246" s="79"/>
      <c r="I246" s="125"/>
      <c r="J246" s="79"/>
      <c r="K246" s="79"/>
      <c r="L246" s="79"/>
      <c r="M246" s="79"/>
      <c r="N246" s="79"/>
      <c r="O246" s="79"/>
      <c r="P246" s="79"/>
      <c r="Q246" s="79"/>
      <c r="R246" s="79"/>
      <c r="S246" s="79"/>
      <c r="T246" s="79"/>
      <c r="U246" s="79"/>
      <c r="V246" s="79"/>
      <c r="W246" s="79"/>
      <c r="X246" s="79"/>
      <c r="Y246" s="79"/>
      <c r="Z246" s="79"/>
      <c r="AA246" s="79"/>
      <c r="AB246" s="79"/>
      <c r="AC246" s="79"/>
    </row>
    <row r="247" spans="1:29" ht="12.75" customHeight="1">
      <c r="A247" s="79"/>
      <c r="B247" s="79"/>
      <c r="C247" s="79"/>
      <c r="D247" s="79"/>
      <c r="E247" s="79"/>
      <c r="F247" s="79"/>
      <c r="G247" s="79"/>
      <c r="H247" s="79"/>
      <c r="I247" s="125"/>
      <c r="J247" s="79"/>
      <c r="K247" s="79"/>
      <c r="L247" s="79"/>
      <c r="M247" s="79"/>
      <c r="N247" s="79"/>
      <c r="O247" s="79"/>
      <c r="P247" s="79"/>
      <c r="Q247" s="79"/>
      <c r="R247" s="79"/>
      <c r="S247" s="79"/>
      <c r="T247" s="79"/>
      <c r="U247" s="79"/>
      <c r="V247" s="79"/>
      <c r="W247" s="79"/>
      <c r="X247" s="79"/>
      <c r="Y247" s="79"/>
      <c r="Z247" s="79"/>
      <c r="AA247" s="79"/>
      <c r="AB247" s="79"/>
      <c r="AC247" s="79"/>
    </row>
    <row r="248" spans="1:29" ht="12.75" customHeight="1">
      <c r="A248" s="79"/>
      <c r="B248" s="79"/>
      <c r="C248" s="79"/>
      <c r="D248" s="79"/>
      <c r="E248" s="79"/>
      <c r="F248" s="79"/>
      <c r="G248" s="79"/>
      <c r="H248" s="79"/>
      <c r="I248" s="125"/>
      <c r="J248" s="79"/>
      <c r="K248" s="79"/>
      <c r="L248" s="79"/>
      <c r="M248" s="79"/>
      <c r="N248" s="79"/>
      <c r="O248" s="79"/>
      <c r="P248" s="79"/>
      <c r="Q248" s="79"/>
      <c r="R248" s="79"/>
      <c r="S248" s="79"/>
      <c r="T248" s="79"/>
      <c r="U248" s="79"/>
      <c r="V248" s="79"/>
      <c r="W248" s="79"/>
      <c r="X248" s="79"/>
      <c r="Y248" s="79"/>
      <c r="Z248" s="79"/>
      <c r="AA248" s="79"/>
      <c r="AB248" s="79"/>
      <c r="AC248" s="79"/>
    </row>
    <row r="249" spans="1:29" ht="12.75" customHeight="1">
      <c r="A249" s="79"/>
      <c r="B249" s="79"/>
      <c r="C249" s="79"/>
      <c r="D249" s="79"/>
      <c r="E249" s="79"/>
      <c r="F249" s="79"/>
      <c r="G249" s="79"/>
      <c r="H249" s="79"/>
      <c r="I249" s="125"/>
      <c r="J249" s="79"/>
      <c r="K249" s="79"/>
      <c r="L249" s="79"/>
      <c r="M249" s="79"/>
      <c r="N249" s="79"/>
      <c r="O249" s="79"/>
      <c r="P249" s="79"/>
      <c r="Q249" s="79"/>
      <c r="R249" s="79"/>
      <c r="S249" s="79"/>
      <c r="T249" s="79"/>
      <c r="U249" s="79"/>
      <c r="V249" s="79"/>
      <c r="W249" s="79"/>
      <c r="X249" s="79"/>
      <c r="Y249" s="79"/>
      <c r="Z249" s="79"/>
      <c r="AA249" s="79"/>
      <c r="AB249" s="79"/>
      <c r="AC249" s="79"/>
    </row>
    <row r="250" spans="1:29" ht="12.75" customHeight="1">
      <c r="A250" s="79"/>
      <c r="B250" s="79"/>
      <c r="C250" s="79"/>
      <c r="D250" s="79"/>
      <c r="E250" s="79"/>
      <c r="F250" s="79"/>
      <c r="G250" s="79"/>
      <c r="H250" s="79"/>
      <c r="I250" s="125"/>
      <c r="J250" s="79"/>
      <c r="K250" s="79"/>
      <c r="L250" s="79"/>
      <c r="M250" s="79"/>
      <c r="N250" s="79"/>
      <c r="O250" s="79"/>
      <c r="P250" s="79"/>
      <c r="Q250" s="79"/>
      <c r="R250" s="79"/>
      <c r="S250" s="79"/>
      <c r="T250" s="79"/>
      <c r="U250" s="79"/>
      <c r="V250" s="79"/>
      <c r="W250" s="79"/>
      <c r="X250" s="79"/>
      <c r="Y250" s="79"/>
      <c r="Z250" s="79"/>
      <c r="AA250" s="79"/>
      <c r="AB250" s="79"/>
      <c r="AC250" s="79"/>
    </row>
    <row r="251" spans="1:29" ht="12.75" customHeight="1">
      <c r="A251" s="79"/>
      <c r="B251" s="79"/>
      <c r="C251" s="79"/>
      <c r="D251" s="79"/>
      <c r="E251" s="79"/>
      <c r="F251" s="79"/>
      <c r="G251" s="79"/>
      <c r="H251" s="79"/>
      <c r="I251" s="125"/>
      <c r="J251" s="79"/>
      <c r="K251" s="79"/>
      <c r="L251" s="79"/>
      <c r="M251" s="79"/>
      <c r="N251" s="79"/>
      <c r="O251" s="79"/>
      <c r="P251" s="79"/>
      <c r="Q251" s="79"/>
      <c r="R251" s="79"/>
      <c r="S251" s="79"/>
      <c r="T251" s="79"/>
      <c r="U251" s="79"/>
      <c r="V251" s="79"/>
      <c r="W251" s="79"/>
      <c r="X251" s="79"/>
      <c r="Y251" s="79"/>
      <c r="Z251" s="79"/>
      <c r="AA251" s="79"/>
      <c r="AB251" s="79"/>
      <c r="AC251" s="79"/>
    </row>
    <row r="252" spans="1:29" ht="12.75" customHeight="1">
      <c r="A252" s="79"/>
      <c r="B252" s="79"/>
      <c r="C252" s="79"/>
      <c r="D252" s="79"/>
      <c r="E252" s="79"/>
      <c r="F252" s="79"/>
      <c r="G252" s="79"/>
      <c r="H252" s="79"/>
      <c r="I252" s="125"/>
      <c r="J252" s="79"/>
      <c r="K252" s="79"/>
      <c r="L252" s="79"/>
      <c r="M252" s="79"/>
      <c r="N252" s="79"/>
      <c r="O252" s="79"/>
      <c r="P252" s="79"/>
      <c r="Q252" s="79"/>
      <c r="R252" s="79"/>
      <c r="S252" s="79"/>
      <c r="T252" s="79"/>
      <c r="U252" s="79"/>
      <c r="V252" s="79"/>
      <c r="W252" s="79"/>
      <c r="X252" s="79"/>
      <c r="Y252" s="79"/>
      <c r="Z252" s="79"/>
      <c r="AA252" s="79"/>
      <c r="AB252" s="79"/>
      <c r="AC252" s="79"/>
    </row>
    <row r="253" spans="1:29" ht="12.75" customHeight="1">
      <c r="A253" s="79"/>
      <c r="B253" s="79"/>
      <c r="C253" s="79"/>
      <c r="D253" s="79"/>
      <c r="E253" s="79"/>
      <c r="F253" s="79"/>
      <c r="G253" s="79"/>
      <c r="H253" s="79"/>
      <c r="I253" s="125"/>
      <c r="J253" s="79"/>
      <c r="K253" s="79"/>
      <c r="L253" s="79"/>
      <c r="M253" s="79"/>
      <c r="N253" s="79"/>
      <c r="O253" s="79"/>
      <c r="P253" s="79"/>
      <c r="Q253" s="79"/>
      <c r="R253" s="79"/>
      <c r="S253" s="79"/>
      <c r="T253" s="79"/>
      <c r="U253" s="79"/>
      <c r="V253" s="79"/>
      <c r="W253" s="79"/>
      <c r="X253" s="79"/>
      <c r="Y253" s="79"/>
      <c r="Z253" s="79"/>
      <c r="AA253" s="79"/>
      <c r="AB253" s="79"/>
      <c r="AC253" s="79"/>
    </row>
    <row r="254" spans="1:29" ht="12.75" customHeight="1">
      <c r="A254" s="79"/>
      <c r="B254" s="79"/>
      <c r="C254" s="79"/>
      <c r="D254" s="79"/>
      <c r="E254" s="79"/>
      <c r="F254" s="79"/>
      <c r="G254" s="79"/>
      <c r="H254" s="79"/>
      <c r="I254" s="125"/>
      <c r="J254" s="79"/>
      <c r="K254" s="79"/>
      <c r="L254" s="79"/>
      <c r="M254" s="79"/>
      <c r="N254" s="79"/>
      <c r="O254" s="79"/>
      <c r="P254" s="79"/>
      <c r="Q254" s="79"/>
      <c r="R254" s="79"/>
      <c r="S254" s="79"/>
      <c r="T254" s="79"/>
      <c r="U254" s="79"/>
      <c r="V254" s="79"/>
      <c r="W254" s="79"/>
      <c r="X254" s="79"/>
      <c r="Y254" s="79"/>
      <c r="Z254" s="79"/>
      <c r="AA254" s="79"/>
      <c r="AB254" s="79"/>
      <c r="AC254" s="79"/>
    </row>
    <row r="255" spans="1:29" ht="12.75" customHeight="1">
      <c r="A255" s="79"/>
      <c r="B255" s="79"/>
      <c r="C255" s="79"/>
      <c r="D255" s="79"/>
      <c r="E255" s="79"/>
      <c r="F255" s="79"/>
      <c r="G255" s="79"/>
      <c r="H255" s="79"/>
      <c r="I255" s="125"/>
      <c r="J255" s="79"/>
      <c r="K255" s="79"/>
      <c r="L255" s="79"/>
      <c r="M255" s="79"/>
      <c r="N255" s="79"/>
      <c r="O255" s="79"/>
      <c r="P255" s="79"/>
      <c r="Q255" s="79"/>
      <c r="R255" s="79"/>
      <c r="S255" s="79"/>
      <c r="T255" s="79"/>
      <c r="U255" s="79"/>
      <c r="V255" s="79"/>
      <c r="W255" s="79"/>
      <c r="X255" s="79"/>
      <c r="Y255" s="79"/>
      <c r="Z255" s="79"/>
      <c r="AA255" s="79"/>
      <c r="AB255" s="79"/>
      <c r="AC255" s="79"/>
    </row>
    <row r="256" spans="1:29" ht="12.75" customHeight="1">
      <c r="A256" s="79"/>
      <c r="B256" s="79"/>
      <c r="C256" s="79"/>
      <c r="D256" s="79"/>
      <c r="E256" s="79"/>
      <c r="F256" s="79"/>
      <c r="G256" s="79"/>
      <c r="H256" s="79"/>
      <c r="I256" s="125"/>
      <c r="J256" s="79"/>
      <c r="K256" s="79"/>
      <c r="L256" s="79"/>
      <c r="M256" s="79"/>
      <c r="N256" s="79"/>
      <c r="O256" s="79"/>
      <c r="P256" s="79"/>
      <c r="Q256" s="79"/>
      <c r="R256" s="79"/>
      <c r="S256" s="79"/>
      <c r="T256" s="79"/>
      <c r="U256" s="79"/>
      <c r="V256" s="79"/>
      <c r="W256" s="79"/>
      <c r="X256" s="79"/>
      <c r="Y256" s="79"/>
      <c r="Z256" s="79"/>
      <c r="AA256" s="79"/>
      <c r="AB256" s="79"/>
      <c r="AC256" s="79"/>
    </row>
    <row r="257" spans="1:29" ht="12.75" customHeight="1">
      <c r="A257" s="79"/>
      <c r="B257" s="79"/>
      <c r="C257" s="79"/>
      <c r="D257" s="79"/>
      <c r="E257" s="79"/>
      <c r="F257" s="79"/>
      <c r="G257" s="79"/>
      <c r="H257" s="79"/>
      <c r="I257" s="125"/>
      <c r="J257" s="79"/>
      <c r="K257" s="79"/>
      <c r="L257" s="79"/>
      <c r="M257" s="79"/>
      <c r="N257" s="79"/>
      <c r="O257" s="79"/>
      <c r="P257" s="79"/>
      <c r="Q257" s="79"/>
      <c r="R257" s="79"/>
      <c r="S257" s="79"/>
      <c r="T257" s="79"/>
      <c r="U257" s="79"/>
      <c r="V257" s="79"/>
      <c r="W257" s="79"/>
      <c r="X257" s="79"/>
      <c r="Y257" s="79"/>
      <c r="Z257" s="79"/>
      <c r="AA257" s="79"/>
      <c r="AB257" s="79"/>
      <c r="AC257" s="79"/>
    </row>
    <row r="258" spans="1:29" ht="12.75" customHeight="1">
      <c r="A258" s="79"/>
      <c r="B258" s="79"/>
      <c r="C258" s="79"/>
      <c r="D258" s="79"/>
      <c r="E258" s="79"/>
      <c r="F258" s="79"/>
      <c r="G258" s="79"/>
      <c r="H258" s="79"/>
      <c r="I258" s="125"/>
      <c r="J258" s="79"/>
      <c r="K258" s="79"/>
      <c r="L258" s="79"/>
      <c r="M258" s="79"/>
      <c r="N258" s="79"/>
      <c r="O258" s="79"/>
      <c r="P258" s="79"/>
      <c r="Q258" s="79"/>
      <c r="R258" s="79"/>
      <c r="S258" s="79"/>
      <c r="T258" s="79"/>
      <c r="U258" s="79"/>
      <c r="V258" s="79"/>
      <c r="W258" s="79"/>
      <c r="X258" s="79"/>
      <c r="Y258" s="79"/>
      <c r="Z258" s="79"/>
      <c r="AA258" s="79"/>
      <c r="AB258" s="79"/>
      <c r="AC258" s="79"/>
    </row>
    <row r="259" spans="1:29" ht="12.75" customHeight="1">
      <c r="A259" s="79"/>
      <c r="B259" s="79"/>
      <c r="C259" s="79"/>
      <c r="D259" s="79"/>
      <c r="E259" s="79"/>
      <c r="F259" s="79"/>
      <c r="G259" s="79"/>
      <c r="H259" s="79"/>
      <c r="I259" s="125"/>
      <c r="J259" s="79"/>
      <c r="K259" s="79"/>
      <c r="L259" s="79"/>
      <c r="M259" s="79"/>
      <c r="N259" s="79"/>
      <c r="O259" s="79"/>
      <c r="P259" s="79"/>
      <c r="Q259" s="79"/>
      <c r="R259" s="79"/>
      <c r="S259" s="79"/>
      <c r="T259" s="79"/>
      <c r="U259" s="79"/>
      <c r="V259" s="79"/>
      <c r="W259" s="79"/>
      <c r="X259" s="79"/>
      <c r="Y259" s="79"/>
      <c r="Z259" s="79"/>
      <c r="AA259" s="79"/>
      <c r="AB259" s="79"/>
      <c r="AC259" s="79"/>
    </row>
    <row r="260" spans="1:29" ht="12.75" customHeight="1">
      <c r="A260" s="79"/>
      <c r="B260" s="79"/>
      <c r="C260" s="79"/>
      <c r="D260" s="79"/>
      <c r="E260" s="79"/>
      <c r="F260" s="79"/>
      <c r="G260" s="79"/>
      <c r="H260" s="79"/>
      <c r="I260" s="125"/>
      <c r="J260" s="79"/>
      <c r="K260" s="79"/>
      <c r="L260" s="79"/>
      <c r="M260" s="79"/>
      <c r="N260" s="79"/>
      <c r="O260" s="79"/>
      <c r="P260" s="79"/>
      <c r="Q260" s="79"/>
      <c r="R260" s="79"/>
      <c r="S260" s="79"/>
      <c r="T260" s="79"/>
      <c r="U260" s="79"/>
      <c r="V260" s="79"/>
      <c r="W260" s="79"/>
      <c r="X260" s="79"/>
      <c r="Y260" s="79"/>
      <c r="Z260" s="79"/>
      <c r="AA260" s="79"/>
      <c r="AB260" s="79"/>
      <c r="AC260" s="79"/>
    </row>
    <row r="261" spans="1:29" ht="12.75" customHeight="1">
      <c r="A261" s="79"/>
      <c r="B261" s="79"/>
      <c r="C261" s="79"/>
      <c r="D261" s="79"/>
      <c r="E261" s="79"/>
      <c r="F261" s="79"/>
      <c r="G261" s="79"/>
      <c r="H261" s="79"/>
      <c r="I261" s="125"/>
      <c r="J261" s="79"/>
      <c r="K261" s="79"/>
      <c r="L261" s="79"/>
      <c r="M261" s="79"/>
      <c r="N261" s="79"/>
      <c r="O261" s="79"/>
      <c r="P261" s="79"/>
      <c r="Q261" s="79"/>
      <c r="R261" s="79"/>
      <c r="S261" s="79"/>
      <c r="T261" s="79"/>
      <c r="U261" s="79"/>
      <c r="V261" s="79"/>
      <c r="W261" s="79"/>
      <c r="X261" s="79"/>
      <c r="Y261" s="79"/>
      <c r="Z261" s="79"/>
      <c r="AA261" s="79"/>
      <c r="AB261" s="79"/>
      <c r="AC261" s="79"/>
    </row>
    <row r="262" spans="1:29" ht="12.75" customHeight="1">
      <c r="A262" s="79"/>
      <c r="B262" s="79"/>
      <c r="C262" s="79"/>
      <c r="D262" s="79"/>
      <c r="E262" s="79"/>
      <c r="F262" s="79"/>
      <c r="G262" s="79"/>
      <c r="H262" s="79"/>
      <c r="I262" s="125"/>
      <c r="J262" s="79"/>
      <c r="K262" s="79"/>
      <c r="L262" s="79"/>
      <c r="M262" s="79"/>
      <c r="N262" s="79"/>
      <c r="O262" s="79"/>
      <c r="P262" s="79"/>
      <c r="Q262" s="79"/>
      <c r="R262" s="79"/>
      <c r="S262" s="79"/>
      <c r="T262" s="79"/>
      <c r="U262" s="79"/>
      <c r="V262" s="79"/>
      <c r="W262" s="79"/>
      <c r="X262" s="79"/>
      <c r="Y262" s="79"/>
      <c r="Z262" s="79"/>
      <c r="AA262" s="79"/>
      <c r="AB262" s="79"/>
      <c r="AC262" s="79"/>
    </row>
    <row r="263" spans="1:29" ht="12.75" customHeight="1">
      <c r="A263" s="79"/>
      <c r="B263" s="79"/>
      <c r="C263" s="79"/>
      <c r="D263" s="79"/>
      <c r="E263" s="79"/>
      <c r="F263" s="79"/>
      <c r="G263" s="79"/>
      <c r="H263" s="79"/>
      <c r="I263" s="125"/>
      <c r="J263" s="79"/>
      <c r="K263" s="79"/>
      <c r="L263" s="79"/>
      <c r="M263" s="79"/>
      <c r="N263" s="79"/>
      <c r="O263" s="79"/>
      <c r="P263" s="79"/>
      <c r="Q263" s="79"/>
      <c r="R263" s="79"/>
      <c r="S263" s="79"/>
      <c r="T263" s="79"/>
      <c r="U263" s="79"/>
      <c r="V263" s="79"/>
      <c r="W263" s="79"/>
      <c r="X263" s="79"/>
      <c r="Y263" s="79"/>
      <c r="Z263" s="79"/>
      <c r="AA263" s="79"/>
      <c r="AB263" s="79"/>
      <c r="AC263" s="79"/>
    </row>
    <row r="264" spans="1:29" ht="12.75" customHeight="1">
      <c r="A264" s="79"/>
      <c r="B264" s="79"/>
      <c r="C264" s="79"/>
      <c r="D264" s="79"/>
      <c r="E264" s="79"/>
      <c r="F264" s="79"/>
      <c r="G264" s="79"/>
      <c r="H264" s="79"/>
      <c r="I264" s="125"/>
      <c r="J264" s="79"/>
      <c r="K264" s="79"/>
      <c r="L264" s="79"/>
      <c r="M264" s="79"/>
      <c r="N264" s="79"/>
      <c r="O264" s="79"/>
      <c r="P264" s="79"/>
      <c r="Q264" s="79"/>
      <c r="R264" s="79"/>
      <c r="S264" s="79"/>
      <c r="T264" s="79"/>
      <c r="U264" s="79"/>
      <c r="V264" s="79"/>
      <c r="W264" s="79"/>
      <c r="X264" s="79"/>
      <c r="Y264" s="79"/>
      <c r="Z264" s="79"/>
      <c r="AA264" s="79"/>
      <c r="AB264" s="79"/>
      <c r="AC264" s="79"/>
    </row>
    <row r="265" spans="1:29" ht="12.75" customHeight="1">
      <c r="A265" s="79"/>
      <c r="B265" s="79"/>
      <c r="C265" s="79"/>
      <c r="D265" s="79"/>
      <c r="E265" s="79"/>
      <c r="F265" s="79"/>
      <c r="G265" s="79"/>
      <c r="H265" s="79"/>
      <c r="I265" s="125"/>
      <c r="J265" s="79"/>
      <c r="K265" s="79"/>
      <c r="L265" s="79"/>
      <c r="M265" s="79"/>
      <c r="N265" s="79"/>
      <c r="O265" s="79"/>
      <c r="P265" s="79"/>
      <c r="Q265" s="79"/>
      <c r="R265" s="79"/>
      <c r="S265" s="79"/>
      <c r="T265" s="79"/>
      <c r="U265" s="79"/>
      <c r="V265" s="79"/>
      <c r="W265" s="79"/>
      <c r="X265" s="79"/>
      <c r="Y265" s="79"/>
      <c r="Z265" s="79"/>
      <c r="AA265" s="79"/>
      <c r="AB265" s="79"/>
      <c r="AC265" s="79"/>
    </row>
    <row r="266" spans="1:29" ht="12.75" customHeight="1">
      <c r="A266" s="79"/>
      <c r="B266" s="79"/>
      <c r="C266" s="79"/>
      <c r="D266" s="79"/>
      <c r="E266" s="79"/>
      <c r="F266" s="79"/>
      <c r="G266" s="79"/>
      <c r="H266" s="79"/>
      <c r="I266" s="125"/>
      <c r="J266" s="79"/>
      <c r="K266" s="79"/>
      <c r="L266" s="79"/>
      <c r="M266" s="79"/>
      <c r="N266" s="79"/>
      <c r="O266" s="79"/>
      <c r="P266" s="79"/>
      <c r="Q266" s="79"/>
      <c r="R266" s="79"/>
      <c r="S266" s="79"/>
      <c r="T266" s="79"/>
      <c r="U266" s="79"/>
      <c r="V266" s="79"/>
      <c r="W266" s="79"/>
      <c r="X266" s="79"/>
      <c r="Y266" s="79"/>
      <c r="Z266" s="79"/>
      <c r="AA266" s="79"/>
      <c r="AB266" s="79"/>
      <c r="AC266" s="79"/>
    </row>
    <row r="267" spans="1:29" ht="12.75" customHeight="1">
      <c r="A267" s="79"/>
      <c r="B267" s="79"/>
      <c r="C267" s="79"/>
      <c r="D267" s="79"/>
      <c r="E267" s="79"/>
      <c r="F267" s="79"/>
      <c r="G267" s="79"/>
      <c r="H267" s="79"/>
      <c r="I267" s="125"/>
      <c r="J267" s="79"/>
      <c r="K267" s="79"/>
      <c r="L267" s="79"/>
      <c r="M267" s="79"/>
      <c r="N267" s="79"/>
      <c r="O267" s="79"/>
      <c r="P267" s="79"/>
      <c r="Q267" s="79"/>
      <c r="R267" s="79"/>
      <c r="S267" s="79"/>
      <c r="T267" s="79"/>
      <c r="U267" s="79"/>
      <c r="V267" s="79"/>
      <c r="W267" s="79"/>
      <c r="X267" s="79"/>
      <c r="Y267" s="79"/>
      <c r="Z267" s="79"/>
      <c r="AA267" s="79"/>
      <c r="AB267" s="79"/>
      <c r="AC267" s="79"/>
    </row>
    <row r="268" spans="1:29" ht="12.75" customHeight="1">
      <c r="A268" s="79"/>
      <c r="B268" s="79"/>
      <c r="C268" s="79"/>
      <c r="D268" s="79"/>
      <c r="E268" s="79"/>
      <c r="F268" s="79"/>
      <c r="G268" s="79"/>
      <c r="H268" s="79"/>
      <c r="I268" s="125"/>
      <c r="J268" s="79"/>
      <c r="K268" s="79"/>
      <c r="L268" s="79"/>
      <c r="M268" s="79"/>
      <c r="N268" s="79"/>
      <c r="O268" s="79"/>
      <c r="P268" s="79"/>
      <c r="Q268" s="79"/>
      <c r="R268" s="79"/>
      <c r="S268" s="79"/>
      <c r="T268" s="79"/>
      <c r="U268" s="79"/>
      <c r="V268" s="79"/>
      <c r="W268" s="79"/>
      <c r="X268" s="79"/>
      <c r="Y268" s="79"/>
      <c r="Z268" s="79"/>
      <c r="AA268" s="79"/>
      <c r="AB268" s="79"/>
      <c r="AC268" s="79"/>
    </row>
    <row r="269" spans="1:29" ht="12.75" customHeight="1">
      <c r="A269" s="79"/>
      <c r="B269" s="79"/>
      <c r="C269" s="79"/>
      <c r="D269" s="79"/>
      <c r="E269" s="79"/>
      <c r="F269" s="79"/>
      <c r="G269" s="79"/>
      <c r="H269" s="79"/>
      <c r="I269" s="125"/>
      <c r="J269" s="79"/>
      <c r="K269" s="79"/>
      <c r="L269" s="79"/>
      <c r="M269" s="79"/>
      <c r="N269" s="79"/>
      <c r="O269" s="79"/>
      <c r="P269" s="79"/>
      <c r="Q269" s="79"/>
      <c r="R269" s="79"/>
      <c r="S269" s="79"/>
      <c r="T269" s="79"/>
      <c r="U269" s="79"/>
      <c r="V269" s="79"/>
      <c r="W269" s="79"/>
      <c r="X269" s="79"/>
      <c r="Y269" s="79"/>
      <c r="Z269" s="79"/>
      <c r="AA269" s="79"/>
      <c r="AB269" s="79"/>
      <c r="AC269" s="79"/>
    </row>
    <row r="270" spans="1:29" ht="12.75" customHeight="1">
      <c r="A270" s="79"/>
      <c r="B270" s="79"/>
      <c r="C270" s="79"/>
      <c r="D270" s="79"/>
      <c r="E270" s="79"/>
      <c r="F270" s="79"/>
      <c r="G270" s="79"/>
      <c r="H270" s="79"/>
      <c r="I270" s="125"/>
      <c r="J270" s="79"/>
      <c r="K270" s="79"/>
      <c r="L270" s="79"/>
      <c r="M270" s="79"/>
      <c r="N270" s="79"/>
      <c r="O270" s="79"/>
      <c r="P270" s="79"/>
      <c r="Q270" s="79"/>
      <c r="R270" s="79"/>
      <c r="S270" s="79"/>
      <c r="T270" s="79"/>
      <c r="U270" s="79"/>
      <c r="V270" s="79"/>
      <c r="W270" s="79"/>
      <c r="X270" s="79"/>
      <c r="Y270" s="79"/>
      <c r="Z270" s="79"/>
      <c r="AA270" s="79"/>
      <c r="AB270" s="79"/>
      <c r="AC270" s="79"/>
    </row>
    <row r="271" spans="1:29" ht="12.75" customHeight="1">
      <c r="A271" s="79"/>
      <c r="B271" s="79"/>
      <c r="C271" s="79"/>
      <c r="D271" s="79"/>
      <c r="E271" s="79"/>
      <c r="F271" s="79"/>
      <c r="G271" s="79"/>
      <c r="H271" s="79"/>
      <c r="I271" s="125"/>
      <c r="J271" s="79"/>
      <c r="K271" s="79"/>
      <c r="L271" s="79"/>
      <c r="M271" s="79"/>
      <c r="N271" s="79"/>
      <c r="O271" s="79"/>
      <c r="P271" s="79"/>
      <c r="Q271" s="79"/>
      <c r="R271" s="79"/>
      <c r="S271" s="79"/>
      <c r="T271" s="79"/>
      <c r="U271" s="79"/>
      <c r="V271" s="79"/>
      <c r="W271" s="79"/>
      <c r="X271" s="79"/>
      <c r="Y271" s="79"/>
      <c r="Z271" s="79"/>
      <c r="AA271" s="79"/>
      <c r="AB271" s="79"/>
      <c r="AC271" s="79"/>
    </row>
    <row r="272" spans="1:29" ht="12.75" customHeight="1">
      <c r="A272" s="79"/>
      <c r="B272" s="79"/>
      <c r="C272" s="79"/>
      <c r="D272" s="79"/>
      <c r="E272" s="79"/>
      <c r="F272" s="79"/>
      <c r="G272" s="79"/>
      <c r="H272" s="79"/>
      <c r="I272" s="125"/>
      <c r="J272" s="79"/>
      <c r="K272" s="79"/>
      <c r="L272" s="79"/>
      <c r="M272" s="79"/>
      <c r="N272" s="79"/>
      <c r="O272" s="79"/>
      <c r="P272" s="79"/>
      <c r="Q272" s="79"/>
      <c r="R272" s="79"/>
      <c r="S272" s="79"/>
      <c r="T272" s="79"/>
      <c r="U272" s="79"/>
      <c r="V272" s="79"/>
      <c r="W272" s="79"/>
      <c r="X272" s="79"/>
      <c r="Y272" s="79"/>
      <c r="Z272" s="79"/>
      <c r="AA272" s="79"/>
      <c r="AB272" s="79"/>
      <c r="AC272" s="79"/>
    </row>
    <row r="273" spans="1:29" ht="12.75" customHeight="1">
      <c r="A273" s="79"/>
      <c r="B273" s="79"/>
      <c r="C273" s="79"/>
      <c r="D273" s="79"/>
      <c r="E273" s="79"/>
      <c r="F273" s="79"/>
      <c r="G273" s="79"/>
      <c r="H273" s="79"/>
      <c r="I273" s="125"/>
      <c r="J273" s="79"/>
      <c r="K273" s="79"/>
      <c r="L273" s="79"/>
      <c r="M273" s="79"/>
      <c r="N273" s="79"/>
      <c r="O273" s="79"/>
      <c r="P273" s="79"/>
      <c r="Q273" s="79"/>
      <c r="R273" s="79"/>
      <c r="S273" s="79"/>
      <c r="T273" s="79"/>
      <c r="U273" s="79"/>
      <c r="V273" s="79"/>
      <c r="W273" s="79"/>
      <c r="X273" s="79"/>
      <c r="Y273" s="79"/>
      <c r="Z273" s="79"/>
      <c r="AA273" s="79"/>
      <c r="AB273" s="79"/>
      <c r="AC273" s="79"/>
    </row>
    <row r="274" spans="1:29" ht="12.75" customHeight="1">
      <c r="A274" s="79"/>
      <c r="B274" s="79"/>
      <c r="C274" s="79"/>
      <c r="D274" s="79"/>
      <c r="E274" s="79"/>
      <c r="F274" s="79"/>
      <c r="G274" s="79"/>
      <c r="H274" s="79"/>
      <c r="I274" s="125"/>
      <c r="J274" s="79"/>
      <c r="K274" s="79"/>
      <c r="L274" s="79"/>
      <c r="M274" s="79"/>
      <c r="N274" s="79"/>
      <c r="O274" s="79"/>
      <c r="P274" s="79"/>
      <c r="Q274" s="79"/>
      <c r="R274" s="79"/>
      <c r="S274" s="79"/>
      <c r="T274" s="79"/>
      <c r="U274" s="79"/>
      <c r="V274" s="79"/>
      <c r="W274" s="79"/>
      <c r="X274" s="79"/>
      <c r="Y274" s="79"/>
      <c r="Z274" s="79"/>
      <c r="AA274" s="79"/>
      <c r="AB274" s="79"/>
      <c r="AC274" s="79"/>
    </row>
    <row r="275" spans="1:29" ht="12.75" customHeight="1">
      <c r="A275" s="79"/>
      <c r="B275" s="79"/>
      <c r="C275" s="79"/>
      <c r="D275" s="79"/>
      <c r="E275" s="79"/>
      <c r="F275" s="79"/>
      <c r="G275" s="79"/>
      <c r="H275" s="79"/>
      <c r="I275" s="125"/>
      <c r="J275" s="79"/>
      <c r="K275" s="79"/>
      <c r="L275" s="79"/>
      <c r="M275" s="79"/>
      <c r="N275" s="79"/>
      <c r="O275" s="79"/>
      <c r="P275" s="79"/>
      <c r="Q275" s="79"/>
      <c r="R275" s="79"/>
      <c r="S275" s="79"/>
      <c r="T275" s="79"/>
      <c r="U275" s="79"/>
      <c r="V275" s="79"/>
      <c r="W275" s="79"/>
      <c r="X275" s="79"/>
      <c r="Y275" s="79"/>
      <c r="Z275" s="79"/>
      <c r="AA275" s="79"/>
      <c r="AB275" s="79"/>
      <c r="AC275" s="79"/>
    </row>
    <row r="276" spans="1:29" ht="12.75" customHeight="1">
      <c r="A276" s="79"/>
      <c r="B276" s="79"/>
      <c r="C276" s="79"/>
      <c r="D276" s="79"/>
      <c r="E276" s="79"/>
      <c r="F276" s="79"/>
      <c r="G276" s="79"/>
      <c r="H276" s="79"/>
      <c r="I276" s="125"/>
      <c r="J276" s="79"/>
      <c r="K276" s="79"/>
      <c r="L276" s="79"/>
      <c r="M276" s="79"/>
      <c r="N276" s="79"/>
      <c r="O276" s="79"/>
      <c r="P276" s="79"/>
      <c r="Q276" s="79"/>
      <c r="R276" s="79"/>
      <c r="S276" s="79"/>
      <c r="T276" s="79"/>
      <c r="U276" s="79"/>
      <c r="V276" s="79"/>
      <c r="W276" s="79"/>
      <c r="X276" s="79"/>
      <c r="Y276" s="79"/>
      <c r="Z276" s="79"/>
      <c r="AA276" s="79"/>
      <c r="AB276" s="79"/>
      <c r="AC276" s="79"/>
    </row>
    <row r="277" spans="1:29" ht="12.75" customHeight="1">
      <c r="A277" s="79"/>
      <c r="B277" s="79"/>
      <c r="C277" s="79"/>
      <c r="D277" s="79"/>
      <c r="E277" s="79"/>
      <c r="F277" s="79"/>
      <c r="G277" s="79"/>
      <c r="H277" s="79"/>
      <c r="I277" s="125"/>
      <c r="J277" s="79"/>
      <c r="K277" s="79"/>
      <c r="L277" s="79"/>
      <c r="M277" s="79"/>
      <c r="N277" s="79"/>
      <c r="O277" s="79"/>
      <c r="P277" s="79"/>
      <c r="Q277" s="79"/>
      <c r="R277" s="79"/>
      <c r="S277" s="79"/>
      <c r="T277" s="79"/>
      <c r="U277" s="79"/>
      <c r="V277" s="79"/>
      <c r="W277" s="79"/>
      <c r="X277" s="79"/>
      <c r="Y277" s="79"/>
      <c r="Z277" s="79"/>
      <c r="AA277" s="79"/>
      <c r="AB277" s="79"/>
      <c r="AC277" s="79"/>
    </row>
    <row r="278" spans="1:29" ht="12.75" customHeight="1">
      <c r="A278" s="79"/>
      <c r="B278" s="79"/>
      <c r="C278" s="79"/>
      <c r="D278" s="79"/>
      <c r="E278" s="79"/>
      <c r="F278" s="79"/>
      <c r="G278" s="79"/>
      <c r="H278" s="79"/>
      <c r="I278" s="125"/>
      <c r="J278" s="79"/>
      <c r="K278" s="79"/>
      <c r="L278" s="79"/>
      <c r="M278" s="79"/>
      <c r="N278" s="79"/>
      <c r="O278" s="79"/>
      <c r="P278" s="79"/>
      <c r="Q278" s="79"/>
      <c r="R278" s="79"/>
      <c r="S278" s="79"/>
      <c r="T278" s="79"/>
      <c r="U278" s="79"/>
      <c r="V278" s="79"/>
      <c r="W278" s="79"/>
      <c r="X278" s="79"/>
      <c r="Y278" s="79"/>
      <c r="Z278" s="79"/>
      <c r="AA278" s="79"/>
      <c r="AB278" s="79"/>
      <c r="AC278" s="79"/>
    </row>
    <row r="279" spans="1:29" ht="12.75" customHeight="1">
      <c r="A279" s="79"/>
      <c r="B279" s="79"/>
      <c r="C279" s="79"/>
      <c r="D279" s="79"/>
      <c r="E279" s="79"/>
      <c r="F279" s="79"/>
      <c r="G279" s="79"/>
      <c r="H279" s="79"/>
      <c r="I279" s="125"/>
      <c r="J279" s="79"/>
      <c r="K279" s="79"/>
      <c r="L279" s="79"/>
      <c r="M279" s="79"/>
      <c r="N279" s="79"/>
      <c r="O279" s="79"/>
      <c r="P279" s="79"/>
      <c r="Q279" s="79"/>
      <c r="R279" s="79"/>
      <c r="S279" s="79"/>
      <c r="T279" s="79"/>
      <c r="U279" s="79"/>
      <c r="V279" s="79"/>
      <c r="W279" s="79"/>
      <c r="X279" s="79"/>
      <c r="Y279" s="79"/>
      <c r="Z279" s="79"/>
      <c r="AA279" s="79"/>
      <c r="AB279" s="79"/>
      <c r="AC279" s="79"/>
    </row>
    <row r="280" spans="1:29" ht="12.75" customHeight="1">
      <c r="A280" s="79"/>
      <c r="B280" s="79"/>
      <c r="C280" s="79"/>
      <c r="D280" s="79"/>
      <c r="E280" s="79"/>
      <c r="F280" s="79"/>
      <c r="G280" s="79"/>
      <c r="H280" s="79"/>
      <c r="I280" s="125"/>
      <c r="J280" s="79"/>
      <c r="K280" s="79"/>
      <c r="L280" s="79"/>
      <c r="M280" s="79"/>
      <c r="N280" s="79"/>
      <c r="O280" s="79"/>
      <c r="P280" s="79"/>
      <c r="Q280" s="79"/>
      <c r="R280" s="79"/>
      <c r="S280" s="79"/>
      <c r="T280" s="79"/>
      <c r="U280" s="79"/>
      <c r="V280" s="79"/>
      <c r="W280" s="79"/>
      <c r="X280" s="79"/>
      <c r="Y280" s="79"/>
      <c r="Z280" s="79"/>
      <c r="AA280" s="79"/>
      <c r="AB280" s="79"/>
      <c r="AC280" s="79"/>
    </row>
    <row r="281" spans="1:29" ht="12.75" customHeight="1">
      <c r="A281" s="79"/>
      <c r="B281" s="79"/>
      <c r="C281" s="79"/>
      <c r="D281" s="79"/>
      <c r="E281" s="79"/>
      <c r="F281" s="79"/>
      <c r="G281" s="79"/>
      <c r="H281" s="79"/>
      <c r="I281" s="125"/>
      <c r="J281" s="79"/>
      <c r="K281" s="79"/>
      <c r="L281" s="79"/>
      <c r="M281" s="79"/>
      <c r="N281" s="79"/>
      <c r="O281" s="79"/>
      <c r="P281" s="79"/>
      <c r="Q281" s="79"/>
      <c r="R281" s="79"/>
      <c r="S281" s="79"/>
      <c r="T281" s="79"/>
      <c r="U281" s="79"/>
      <c r="V281" s="79"/>
      <c r="W281" s="79"/>
      <c r="X281" s="79"/>
      <c r="Y281" s="79"/>
      <c r="Z281" s="79"/>
      <c r="AA281" s="79"/>
      <c r="AB281" s="79"/>
      <c r="AC281" s="79"/>
    </row>
    <row r="282" spans="1:29" ht="12.75" customHeight="1">
      <c r="A282" s="79"/>
      <c r="B282" s="79"/>
      <c r="C282" s="79"/>
      <c r="D282" s="79"/>
      <c r="E282" s="79"/>
      <c r="F282" s="79"/>
      <c r="G282" s="79"/>
      <c r="H282" s="79"/>
      <c r="I282" s="125"/>
      <c r="J282" s="79"/>
      <c r="K282" s="79"/>
      <c r="L282" s="79"/>
      <c r="M282" s="79"/>
      <c r="N282" s="79"/>
      <c r="O282" s="79"/>
      <c r="P282" s="79"/>
      <c r="Q282" s="79"/>
      <c r="R282" s="79"/>
      <c r="S282" s="79"/>
      <c r="T282" s="79"/>
      <c r="U282" s="79"/>
      <c r="V282" s="79"/>
      <c r="W282" s="79"/>
      <c r="X282" s="79"/>
      <c r="Y282" s="79"/>
      <c r="Z282" s="79"/>
      <c r="AA282" s="79"/>
      <c r="AB282" s="79"/>
      <c r="AC282" s="79"/>
    </row>
    <row r="283" spans="1:29" ht="12.75" customHeight="1">
      <c r="A283" s="79"/>
      <c r="B283" s="79"/>
      <c r="C283" s="79"/>
      <c r="D283" s="79"/>
      <c r="E283" s="79"/>
      <c r="F283" s="79"/>
      <c r="G283" s="79"/>
      <c r="H283" s="79"/>
      <c r="I283" s="125"/>
      <c r="J283" s="79"/>
      <c r="K283" s="79"/>
      <c r="L283" s="79"/>
      <c r="M283" s="79"/>
      <c r="N283" s="79"/>
      <c r="O283" s="79"/>
      <c r="P283" s="79"/>
      <c r="Q283" s="79"/>
      <c r="R283" s="79"/>
      <c r="S283" s="79"/>
      <c r="T283" s="79"/>
      <c r="U283" s="79"/>
      <c r="V283" s="79"/>
      <c r="W283" s="79"/>
      <c r="X283" s="79"/>
      <c r="Y283" s="79"/>
      <c r="Z283" s="79"/>
      <c r="AA283" s="79"/>
      <c r="AB283" s="79"/>
      <c r="AC283" s="79"/>
    </row>
    <row r="284" spans="1:29" ht="12.75" customHeight="1">
      <c r="A284" s="79"/>
      <c r="B284" s="79"/>
      <c r="C284" s="79"/>
      <c r="D284" s="79"/>
      <c r="E284" s="79"/>
      <c r="F284" s="79"/>
      <c r="G284" s="79"/>
      <c r="H284" s="79"/>
      <c r="I284" s="125"/>
      <c r="J284" s="79"/>
      <c r="K284" s="79"/>
      <c r="L284" s="79"/>
      <c r="M284" s="79"/>
      <c r="N284" s="79"/>
      <c r="O284" s="79"/>
      <c r="P284" s="79"/>
      <c r="Q284" s="79"/>
      <c r="R284" s="79"/>
      <c r="S284" s="79"/>
      <c r="T284" s="79"/>
      <c r="U284" s="79"/>
      <c r="V284" s="79"/>
      <c r="W284" s="79"/>
      <c r="X284" s="79"/>
      <c r="Y284" s="79"/>
      <c r="Z284" s="79"/>
      <c r="AA284" s="79"/>
      <c r="AB284" s="79"/>
      <c r="AC284" s="79"/>
    </row>
    <row r="285" spans="1:29" ht="12.75" customHeight="1">
      <c r="A285" s="79"/>
      <c r="B285" s="79"/>
      <c r="C285" s="79"/>
      <c r="D285" s="79"/>
      <c r="E285" s="79"/>
      <c r="F285" s="79"/>
      <c r="G285" s="79"/>
      <c r="H285" s="79"/>
      <c r="I285" s="125"/>
      <c r="J285" s="79"/>
      <c r="K285" s="79"/>
      <c r="L285" s="79"/>
      <c r="M285" s="79"/>
      <c r="N285" s="79"/>
      <c r="O285" s="79"/>
      <c r="P285" s="79"/>
      <c r="Q285" s="79"/>
      <c r="R285" s="79"/>
      <c r="S285" s="79"/>
      <c r="T285" s="79"/>
      <c r="U285" s="79"/>
      <c r="V285" s="79"/>
      <c r="W285" s="79"/>
      <c r="X285" s="79"/>
      <c r="Y285" s="79"/>
      <c r="Z285" s="79"/>
      <c r="AA285" s="79"/>
      <c r="AB285" s="79"/>
      <c r="AC285" s="79"/>
    </row>
    <row r="286" spans="1:29" ht="12.75" customHeight="1">
      <c r="A286" s="79"/>
      <c r="B286" s="79"/>
      <c r="C286" s="79"/>
      <c r="D286" s="79"/>
      <c r="E286" s="79"/>
      <c r="F286" s="79"/>
      <c r="G286" s="79"/>
      <c r="H286" s="79"/>
      <c r="I286" s="125"/>
      <c r="J286" s="79"/>
      <c r="K286" s="79"/>
      <c r="L286" s="79"/>
      <c r="M286" s="79"/>
      <c r="N286" s="79"/>
      <c r="O286" s="79"/>
      <c r="P286" s="79"/>
      <c r="Q286" s="79"/>
      <c r="R286" s="79"/>
      <c r="S286" s="79"/>
      <c r="T286" s="79"/>
      <c r="U286" s="79"/>
      <c r="V286" s="79"/>
      <c r="W286" s="79"/>
      <c r="X286" s="79"/>
      <c r="Y286" s="79"/>
      <c r="Z286" s="79"/>
      <c r="AA286" s="79"/>
      <c r="AB286" s="79"/>
      <c r="AC286" s="79"/>
    </row>
    <row r="287" spans="1:29" ht="12.75" customHeight="1">
      <c r="A287" s="79"/>
      <c r="B287" s="79"/>
      <c r="C287" s="79"/>
      <c r="D287" s="79"/>
      <c r="E287" s="79"/>
      <c r="F287" s="79"/>
      <c r="G287" s="79"/>
      <c r="H287" s="79"/>
      <c r="I287" s="125"/>
      <c r="J287" s="79"/>
      <c r="K287" s="79"/>
      <c r="L287" s="79"/>
      <c r="M287" s="79"/>
      <c r="N287" s="79"/>
      <c r="O287" s="79"/>
      <c r="P287" s="79"/>
      <c r="Q287" s="79"/>
      <c r="R287" s="79"/>
      <c r="S287" s="79"/>
      <c r="T287" s="79"/>
      <c r="U287" s="79"/>
      <c r="V287" s="79"/>
      <c r="W287" s="79"/>
      <c r="X287" s="79"/>
      <c r="Y287" s="79"/>
      <c r="Z287" s="79"/>
      <c r="AA287" s="79"/>
      <c r="AB287" s="79"/>
      <c r="AC287" s="79"/>
    </row>
    <row r="288" spans="1:29" ht="12.75" customHeight="1">
      <c r="A288" s="79"/>
      <c r="B288" s="79"/>
      <c r="C288" s="79"/>
      <c r="D288" s="79"/>
      <c r="E288" s="79"/>
      <c r="F288" s="79"/>
      <c r="G288" s="79"/>
      <c r="H288" s="79"/>
      <c r="I288" s="125"/>
      <c r="J288" s="79"/>
      <c r="K288" s="79"/>
      <c r="L288" s="79"/>
      <c r="M288" s="79"/>
      <c r="N288" s="79"/>
      <c r="O288" s="79"/>
      <c r="P288" s="79"/>
      <c r="Q288" s="79"/>
      <c r="R288" s="79"/>
      <c r="S288" s="79"/>
      <c r="T288" s="79"/>
      <c r="U288" s="79"/>
      <c r="V288" s="79"/>
      <c r="W288" s="79"/>
      <c r="X288" s="79"/>
      <c r="Y288" s="79"/>
      <c r="Z288" s="79"/>
      <c r="AA288" s="79"/>
      <c r="AB288" s="79"/>
      <c r="AC288" s="79"/>
    </row>
    <row r="289" spans="1:29" ht="12.75" customHeight="1">
      <c r="A289" s="79"/>
      <c r="B289" s="79"/>
      <c r="C289" s="79"/>
      <c r="D289" s="79"/>
      <c r="E289" s="79"/>
      <c r="F289" s="79"/>
      <c r="G289" s="79"/>
      <c r="H289" s="79"/>
      <c r="I289" s="125"/>
      <c r="J289" s="79"/>
      <c r="K289" s="79"/>
      <c r="L289" s="79"/>
      <c r="M289" s="79"/>
      <c r="N289" s="79"/>
      <c r="O289" s="79"/>
      <c r="P289" s="79"/>
      <c r="Q289" s="79"/>
      <c r="R289" s="79"/>
      <c r="S289" s="79"/>
      <c r="T289" s="79"/>
      <c r="U289" s="79"/>
      <c r="V289" s="79"/>
      <c r="W289" s="79"/>
      <c r="X289" s="79"/>
      <c r="Y289" s="79"/>
      <c r="Z289" s="79"/>
      <c r="AA289" s="79"/>
      <c r="AB289" s="79"/>
      <c r="AC289" s="79"/>
    </row>
    <row r="290" spans="1:29" ht="12.75" customHeight="1">
      <c r="A290" s="79"/>
      <c r="B290" s="79"/>
      <c r="C290" s="79"/>
      <c r="D290" s="79"/>
      <c r="E290" s="79"/>
      <c r="F290" s="79"/>
      <c r="G290" s="79"/>
      <c r="H290" s="79"/>
      <c r="I290" s="125"/>
      <c r="J290" s="79"/>
      <c r="K290" s="79"/>
      <c r="L290" s="79"/>
      <c r="M290" s="79"/>
      <c r="N290" s="79"/>
      <c r="O290" s="79"/>
      <c r="P290" s="79"/>
      <c r="Q290" s="79"/>
      <c r="R290" s="79"/>
      <c r="S290" s="79"/>
      <c r="T290" s="79"/>
      <c r="U290" s="79"/>
      <c r="V290" s="79"/>
      <c r="W290" s="79"/>
      <c r="X290" s="79"/>
      <c r="Y290" s="79"/>
      <c r="Z290" s="79"/>
      <c r="AA290" s="79"/>
      <c r="AB290" s="79"/>
      <c r="AC290" s="79"/>
    </row>
    <row r="291" spans="1:29" ht="12.75" customHeight="1">
      <c r="A291" s="79"/>
      <c r="B291" s="79"/>
      <c r="C291" s="79"/>
      <c r="D291" s="79"/>
      <c r="E291" s="79"/>
      <c r="F291" s="79"/>
      <c r="G291" s="79"/>
      <c r="H291" s="79"/>
      <c r="I291" s="125"/>
      <c r="J291" s="79"/>
      <c r="K291" s="79"/>
      <c r="L291" s="79"/>
      <c r="M291" s="79"/>
      <c r="N291" s="79"/>
      <c r="O291" s="79"/>
      <c r="P291" s="79"/>
      <c r="Q291" s="79"/>
      <c r="R291" s="79"/>
      <c r="S291" s="79"/>
      <c r="T291" s="79"/>
      <c r="U291" s="79"/>
      <c r="V291" s="79"/>
      <c r="W291" s="79"/>
      <c r="X291" s="79"/>
      <c r="Y291" s="79"/>
      <c r="Z291" s="79"/>
      <c r="AA291" s="79"/>
      <c r="AB291" s="79"/>
      <c r="AC291" s="79"/>
    </row>
    <row r="292" spans="1:29" ht="12.75" customHeight="1">
      <c r="A292" s="79"/>
      <c r="B292" s="79"/>
      <c r="C292" s="79"/>
      <c r="D292" s="79"/>
      <c r="E292" s="79"/>
      <c r="F292" s="79"/>
      <c r="G292" s="79"/>
      <c r="H292" s="79"/>
      <c r="I292" s="125"/>
      <c r="J292" s="79"/>
      <c r="K292" s="79"/>
      <c r="L292" s="79"/>
      <c r="M292" s="79"/>
      <c r="N292" s="79"/>
      <c r="O292" s="79"/>
      <c r="P292" s="79"/>
      <c r="Q292" s="79"/>
      <c r="R292" s="79"/>
      <c r="S292" s="79"/>
      <c r="T292" s="79"/>
      <c r="U292" s="79"/>
      <c r="V292" s="79"/>
      <c r="W292" s="79"/>
      <c r="X292" s="79"/>
      <c r="Y292" s="79"/>
      <c r="Z292" s="79"/>
      <c r="AA292" s="79"/>
      <c r="AB292" s="79"/>
      <c r="AC292" s="79"/>
    </row>
    <row r="293" spans="1:29" ht="12.75" customHeight="1">
      <c r="A293" s="79"/>
      <c r="B293" s="79"/>
      <c r="C293" s="79"/>
      <c r="D293" s="79"/>
      <c r="E293" s="79"/>
      <c r="F293" s="79"/>
      <c r="G293" s="79"/>
      <c r="H293" s="79"/>
      <c r="I293" s="125"/>
      <c r="J293" s="79"/>
      <c r="K293" s="79"/>
      <c r="L293" s="79"/>
      <c r="M293" s="79"/>
      <c r="N293" s="79"/>
      <c r="O293" s="79"/>
      <c r="P293" s="79"/>
      <c r="Q293" s="79"/>
      <c r="R293" s="79"/>
      <c r="S293" s="79"/>
      <c r="T293" s="79"/>
      <c r="U293" s="79"/>
      <c r="V293" s="79"/>
      <c r="W293" s="79"/>
      <c r="X293" s="79"/>
      <c r="Y293" s="79"/>
      <c r="Z293" s="79"/>
      <c r="AA293" s="79"/>
      <c r="AB293" s="79"/>
      <c r="AC293" s="79"/>
    </row>
    <row r="294" spans="1:29" ht="12.75" customHeight="1">
      <c r="A294" s="79"/>
      <c r="B294" s="79"/>
      <c r="C294" s="79"/>
      <c r="D294" s="79"/>
      <c r="E294" s="79"/>
      <c r="F294" s="79"/>
      <c r="G294" s="79"/>
      <c r="H294" s="79"/>
      <c r="I294" s="125"/>
      <c r="J294" s="79"/>
      <c r="K294" s="79"/>
      <c r="L294" s="79"/>
      <c r="M294" s="79"/>
      <c r="N294" s="79"/>
      <c r="O294" s="79"/>
      <c r="P294" s="79"/>
      <c r="Q294" s="79"/>
      <c r="R294" s="79"/>
      <c r="S294" s="79"/>
      <c r="T294" s="79"/>
      <c r="U294" s="79"/>
      <c r="V294" s="79"/>
      <c r="W294" s="79"/>
      <c r="X294" s="79"/>
      <c r="Y294" s="79"/>
      <c r="Z294" s="79"/>
      <c r="AA294" s="79"/>
      <c r="AB294" s="79"/>
      <c r="AC294" s="79"/>
    </row>
    <row r="295" spans="1:29" ht="12.75" customHeight="1">
      <c r="A295" s="79"/>
      <c r="B295" s="79"/>
      <c r="C295" s="79"/>
      <c r="D295" s="79"/>
      <c r="E295" s="79"/>
      <c r="F295" s="79"/>
      <c r="G295" s="79"/>
      <c r="H295" s="79"/>
      <c r="I295" s="125"/>
      <c r="J295" s="79"/>
      <c r="K295" s="79"/>
      <c r="L295" s="79"/>
      <c r="M295" s="79"/>
      <c r="N295" s="79"/>
      <c r="O295" s="79"/>
      <c r="P295" s="79"/>
      <c r="Q295" s="79"/>
      <c r="R295" s="79"/>
      <c r="S295" s="79"/>
      <c r="T295" s="79"/>
      <c r="U295" s="79"/>
      <c r="V295" s="79"/>
      <c r="W295" s="79"/>
      <c r="X295" s="79"/>
      <c r="Y295" s="79"/>
      <c r="Z295" s="79"/>
      <c r="AA295" s="79"/>
      <c r="AB295" s="79"/>
      <c r="AC295" s="79"/>
    </row>
    <row r="296" spans="1:29" ht="12.75" customHeight="1">
      <c r="A296" s="79"/>
      <c r="B296" s="79"/>
      <c r="C296" s="79"/>
      <c r="D296" s="79"/>
      <c r="E296" s="79"/>
      <c r="F296" s="79"/>
      <c r="G296" s="79"/>
      <c r="H296" s="79"/>
      <c r="I296" s="125"/>
      <c r="J296" s="79"/>
      <c r="K296" s="79"/>
      <c r="L296" s="79"/>
      <c r="M296" s="79"/>
      <c r="N296" s="79"/>
      <c r="O296" s="79"/>
      <c r="P296" s="79"/>
      <c r="Q296" s="79"/>
      <c r="R296" s="79"/>
      <c r="S296" s="79"/>
      <c r="T296" s="79"/>
      <c r="U296" s="79"/>
      <c r="V296" s="79"/>
      <c r="W296" s="79"/>
      <c r="X296" s="79"/>
      <c r="Y296" s="79"/>
      <c r="Z296" s="79"/>
      <c r="AA296" s="79"/>
      <c r="AB296" s="79"/>
      <c r="AC296" s="79"/>
    </row>
    <row r="297" spans="1:29" ht="12.75" customHeight="1">
      <c r="A297" s="79"/>
      <c r="B297" s="79"/>
      <c r="C297" s="79"/>
      <c r="D297" s="79"/>
      <c r="E297" s="79"/>
      <c r="F297" s="79"/>
      <c r="G297" s="79"/>
      <c r="H297" s="79"/>
      <c r="I297" s="125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  <c r="U297" s="79"/>
      <c r="V297" s="79"/>
      <c r="W297" s="79"/>
      <c r="X297" s="79"/>
      <c r="Y297" s="79"/>
      <c r="Z297" s="79"/>
      <c r="AA297" s="79"/>
      <c r="AB297" s="79"/>
      <c r="AC297" s="79"/>
    </row>
    <row r="298" spans="1:29" ht="12.75" customHeight="1">
      <c r="A298" s="79"/>
      <c r="B298" s="79"/>
      <c r="C298" s="79"/>
      <c r="D298" s="79"/>
      <c r="E298" s="79"/>
      <c r="F298" s="79"/>
      <c r="G298" s="79"/>
      <c r="H298" s="79"/>
      <c r="I298" s="125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  <c r="U298" s="79"/>
      <c r="V298" s="79"/>
      <c r="W298" s="79"/>
      <c r="X298" s="79"/>
      <c r="Y298" s="79"/>
      <c r="Z298" s="79"/>
      <c r="AA298" s="79"/>
      <c r="AB298" s="79"/>
      <c r="AC298" s="79"/>
    </row>
    <row r="299" spans="1:29" ht="12.75" customHeight="1">
      <c r="A299" s="79"/>
      <c r="B299" s="79"/>
      <c r="C299" s="79"/>
      <c r="D299" s="79"/>
      <c r="E299" s="79"/>
      <c r="F299" s="79"/>
      <c r="G299" s="79"/>
      <c r="H299" s="79"/>
      <c r="I299" s="125"/>
      <c r="J299" s="79"/>
      <c r="K299" s="79"/>
      <c r="L299" s="79"/>
      <c r="M299" s="79"/>
      <c r="N299" s="79"/>
      <c r="O299" s="79"/>
      <c r="P299" s="79"/>
      <c r="Q299" s="79"/>
      <c r="R299" s="79"/>
      <c r="S299" s="79"/>
      <c r="T299" s="79"/>
      <c r="U299" s="79"/>
      <c r="V299" s="79"/>
      <c r="W299" s="79"/>
      <c r="X299" s="79"/>
      <c r="Y299" s="79"/>
      <c r="Z299" s="79"/>
      <c r="AA299" s="79"/>
      <c r="AB299" s="79"/>
      <c r="AC299" s="79"/>
    </row>
    <row r="300" spans="1:29" ht="12.75" customHeight="1">
      <c r="A300" s="79"/>
      <c r="B300" s="79"/>
      <c r="C300" s="79"/>
      <c r="D300" s="79"/>
      <c r="E300" s="79"/>
      <c r="F300" s="79"/>
      <c r="G300" s="79"/>
      <c r="H300" s="79"/>
      <c r="I300" s="125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  <c r="U300" s="79"/>
      <c r="V300" s="79"/>
      <c r="W300" s="79"/>
      <c r="X300" s="79"/>
      <c r="Y300" s="79"/>
      <c r="Z300" s="79"/>
      <c r="AA300" s="79"/>
      <c r="AB300" s="79"/>
      <c r="AC300" s="79"/>
    </row>
    <row r="301" spans="1:29" ht="12.75" customHeight="1">
      <c r="A301" s="79"/>
      <c r="B301" s="79"/>
      <c r="C301" s="79"/>
      <c r="D301" s="79"/>
      <c r="E301" s="79"/>
      <c r="F301" s="79"/>
      <c r="G301" s="79"/>
      <c r="H301" s="79"/>
      <c r="I301" s="125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  <c r="U301" s="79"/>
      <c r="V301" s="79"/>
      <c r="W301" s="79"/>
      <c r="X301" s="79"/>
      <c r="Y301" s="79"/>
      <c r="Z301" s="79"/>
      <c r="AA301" s="79"/>
      <c r="AB301" s="79"/>
      <c r="AC301" s="79"/>
    </row>
    <row r="302" spans="1:29" ht="12.75" customHeight="1">
      <c r="A302" s="79"/>
      <c r="B302" s="79"/>
      <c r="C302" s="79"/>
      <c r="D302" s="79"/>
      <c r="E302" s="79"/>
      <c r="F302" s="79"/>
      <c r="G302" s="79"/>
      <c r="H302" s="79"/>
      <c r="I302" s="125"/>
      <c r="J302" s="79"/>
      <c r="K302" s="79"/>
      <c r="L302" s="79"/>
      <c r="M302" s="79"/>
      <c r="N302" s="79"/>
      <c r="O302" s="79"/>
      <c r="P302" s="79"/>
      <c r="Q302" s="79"/>
      <c r="R302" s="79"/>
      <c r="S302" s="79"/>
      <c r="T302" s="79"/>
      <c r="U302" s="79"/>
      <c r="V302" s="79"/>
      <c r="W302" s="79"/>
      <c r="X302" s="79"/>
      <c r="Y302" s="79"/>
      <c r="Z302" s="79"/>
      <c r="AA302" s="79"/>
      <c r="AB302" s="79"/>
      <c r="AC302" s="79"/>
    </row>
    <row r="303" spans="1:29" ht="12.75" customHeight="1">
      <c r="A303" s="79"/>
      <c r="B303" s="79"/>
      <c r="C303" s="79"/>
      <c r="D303" s="79"/>
      <c r="E303" s="79"/>
      <c r="F303" s="79"/>
      <c r="G303" s="79"/>
      <c r="H303" s="79"/>
      <c r="I303" s="125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  <c r="U303" s="79"/>
      <c r="V303" s="79"/>
      <c r="W303" s="79"/>
      <c r="X303" s="79"/>
      <c r="Y303" s="79"/>
      <c r="Z303" s="79"/>
      <c r="AA303" s="79"/>
      <c r="AB303" s="79"/>
      <c r="AC303" s="79"/>
    </row>
    <row r="304" spans="1:29" ht="12.75" customHeight="1">
      <c r="A304" s="79"/>
      <c r="B304" s="79"/>
      <c r="C304" s="79"/>
      <c r="D304" s="79"/>
      <c r="E304" s="79"/>
      <c r="F304" s="79"/>
      <c r="G304" s="79"/>
      <c r="H304" s="79"/>
      <c r="I304" s="125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  <c r="U304" s="79"/>
      <c r="V304" s="79"/>
      <c r="W304" s="79"/>
      <c r="X304" s="79"/>
      <c r="Y304" s="79"/>
      <c r="Z304" s="79"/>
      <c r="AA304" s="79"/>
      <c r="AB304" s="79"/>
      <c r="AC304" s="79"/>
    </row>
    <row r="305" spans="1:29" ht="12.75" customHeight="1">
      <c r="A305" s="79"/>
      <c r="B305" s="79"/>
      <c r="C305" s="79"/>
      <c r="D305" s="79"/>
      <c r="E305" s="79"/>
      <c r="F305" s="79"/>
      <c r="G305" s="79"/>
      <c r="H305" s="79"/>
      <c r="I305" s="125"/>
      <c r="J305" s="79"/>
      <c r="K305" s="79"/>
      <c r="L305" s="79"/>
      <c r="M305" s="79"/>
      <c r="N305" s="79"/>
      <c r="O305" s="79"/>
      <c r="P305" s="79"/>
      <c r="Q305" s="79"/>
      <c r="R305" s="79"/>
      <c r="S305" s="79"/>
      <c r="T305" s="79"/>
      <c r="U305" s="79"/>
      <c r="V305" s="79"/>
      <c r="W305" s="79"/>
      <c r="X305" s="79"/>
      <c r="Y305" s="79"/>
      <c r="Z305" s="79"/>
      <c r="AA305" s="79"/>
      <c r="AB305" s="79"/>
      <c r="AC305" s="79"/>
    </row>
    <row r="306" spans="1:29" ht="12.75" customHeight="1">
      <c r="A306" s="79"/>
      <c r="B306" s="79"/>
      <c r="C306" s="79"/>
      <c r="D306" s="79"/>
      <c r="E306" s="79"/>
      <c r="F306" s="79"/>
      <c r="G306" s="79"/>
      <c r="H306" s="79"/>
      <c r="I306" s="125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  <c r="U306" s="79"/>
      <c r="V306" s="79"/>
      <c r="W306" s="79"/>
      <c r="X306" s="79"/>
      <c r="Y306" s="79"/>
      <c r="Z306" s="79"/>
      <c r="AA306" s="79"/>
      <c r="AB306" s="79"/>
      <c r="AC306" s="79"/>
    </row>
    <row r="307" spans="1:29" ht="12.75" customHeight="1">
      <c r="A307" s="79"/>
      <c r="B307" s="79"/>
      <c r="C307" s="79"/>
      <c r="D307" s="79"/>
      <c r="E307" s="79"/>
      <c r="F307" s="79"/>
      <c r="G307" s="79"/>
      <c r="H307" s="79"/>
      <c r="I307" s="125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  <c r="U307" s="79"/>
      <c r="V307" s="79"/>
      <c r="W307" s="79"/>
      <c r="X307" s="79"/>
      <c r="Y307" s="79"/>
      <c r="Z307" s="79"/>
      <c r="AA307" s="79"/>
      <c r="AB307" s="79"/>
      <c r="AC307" s="79"/>
    </row>
    <row r="308" spans="1:29" ht="12.75" customHeight="1">
      <c r="A308" s="79"/>
      <c r="B308" s="79"/>
      <c r="C308" s="79"/>
      <c r="D308" s="79"/>
      <c r="E308" s="79"/>
      <c r="F308" s="79"/>
      <c r="G308" s="79"/>
      <c r="H308" s="79"/>
      <c r="I308" s="125"/>
      <c r="J308" s="79"/>
      <c r="K308" s="79"/>
      <c r="L308" s="79"/>
      <c r="M308" s="79"/>
      <c r="N308" s="79"/>
      <c r="O308" s="79"/>
      <c r="P308" s="79"/>
      <c r="Q308" s="79"/>
      <c r="R308" s="79"/>
      <c r="S308" s="79"/>
      <c r="T308" s="79"/>
      <c r="U308" s="79"/>
      <c r="V308" s="79"/>
      <c r="W308" s="79"/>
      <c r="X308" s="79"/>
      <c r="Y308" s="79"/>
      <c r="Z308" s="79"/>
      <c r="AA308" s="79"/>
      <c r="AB308" s="79"/>
      <c r="AC308" s="79"/>
    </row>
    <row r="309" spans="1:29" ht="12.75" customHeight="1">
      <c r="A309" s="79"/>
      <c r="B309" s="79"/>
      <c r="C309" s="79"/>
      <c r="D309" s="79"/>
      <c r="E309" s="79"/>
      <c r="F309" s="79"/>
      <c r="G309" s="79"/>
      <c r="H309" s="79"/>
      <c r="I309" s="125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  <c r="U309" s="79"/>
      <c r="V309" s="79"/>
      <c r="W309" s="79"/>
      <c r="X309" s="79"/>
      <c r="Y309" s="79"/>
      <c r="Z309" s="79"/>
      <c r="AA309" s="79"/>
      <c r="AB309" s="79"/>
      <c r="AC309" s="79"/>
    </row>
    <row r="310" spans="1:29" ht="12.75" customHeight="1">
      <c r="A310" s="79"/>
      <c r="B310" s="79"/>
      <c r="C310" s="79"/>
      <c r="D310" s="79"/>
      <c r="E310" s="79"/>
      <c r="F310" s="79"/>
      <c r="G310" s="79"/>
      <c r="H310" s="79"/>
      <c r="I310" s="125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  <c r="U310" s="79"/>
      <c r="V310" s="79"/>
      <c r="W310" s="79"/>
      <c r="X310" s="79"/>
      <c r="Y310" s="79"/>
      <c r="Z310" s="79"/>
      <c r="AA310" s="79"/>
      <c r="AB310" s="79"/>
      <c r="AC310" s="79"/>
    </row>
    <row r="311" spans="1:29" ht="12.75" customHeight="1">
      <c r="A311" s="79"/>
      <c r="B311" s="79"/>
      <c r="C311" s="79"/>
      <c r="D311" s="79"/>
      <c r="E311" s="79"/>
      <c r="F311" s="79"/>
      <c r="G311" s="79"/>
      <c r="H311" s="79"/>
      <c r="I311" s="125"/>
      <c r="J311" s="79"/>
      <c r="K311" s="79"/>
      <c r="L311" s="79"/>
      <c r="M311" s="79"/>
      <c r="N311" s="79"/>
      <c r="O311" s="79"/>
      <c r="P311" s="79"/>
      <c r="Q311" s="79"/>
      <c r="R311" s="79"/>
      <c r="S311" s="79"/>
      <c r="T311" s="79"/>
      <c r="U311" s="79"/>
      <c r="V311" s="79"/>
      <c r="W311" s="79"/>
      <c r="X311" s="79"/>
      <c r="Y311" s="79"/>
      <c r="Z311" s="79"/>
      <c r="AA311" s="79"/>
      <c r="AB311" s="79"/>
      <c r="AC311" s="79"/>
    </row>
    <row r="312" spans="1:29" ht="12.75" customHeight="1">
      <c r="A312" s="79"/>
      <c r="B312" s="79"/>
      <c r="C312" s="79"/>
      <c r="D312" s="79"/>
      <c r="E312" s="79"/>
      <c r="F312" s="79"/>
      <c r="G312" s="79"/>
      <c r="H312" s="79"/>
      <c r="I312" s="125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  <c r="U312" s="79"/>
      <c r="V312" s="79"/>
      <c r="W312" s="79"/>
      <c r="X312" s="79"/>
      <c r="Y312" s="79"/>
      <c r="Z312" s="79"/>
      <c r="AA312" s="79"/>
      <c r="AB312" s="79"/>
      <c r="AC312" s="79"/>
    </row>
    <row r="313" spans="1:29" ht="12.75" customHeight="1">
      <c r="A313" s="79"/>
      <c r="B313" s="79"/>
      <c r="C313" s="79"/>
      <c r="D313" s="79"/>
      <c r="E313" s="79"/>
      <c r="F313" s="79"/>
      <c r="G313" s="79"/>
      <c r="H313" s="79"/>
      <c r="I313" s="125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  <c r="U313" s="79"/>
      <c r="V313" s="79"/>
      <c r="W313" s="79"/>
      <c r="X313" s="79"/>
      <c r="Y313" s="79"/>
      <c r="Z313" s="79"/>
      <c r="AA313" s="79"/>
      <c r="AB313" s="79"/>
      <c r="AC313" s="79"/>
    </row>
    <row r="314" spans="1:29" ht="12.75" customHeight="1">
      <c r="A314" s="79"/>
      <c r="B314" s="79"/>
      <c r="C314" s="79"/>
      <c r="D314" s="79"/>
      <c r="E314" s="79"/>
      <c r="F314" s="79"/>
      <c r="G314" s="79"/>
      <c r="H314" s="79"/>
      <c r="I314" s="125"/>
      <c r="J314" s="79"/>
      <c r="K314" s="79"/>
      <c r="L314" s="79"/>
      <c r="M314" s="79"/>
      <c r="N314" s="79"/>
      <c r="O314" s="79"/>
      <c r="P314" s="79"/>
      <c r="Q314" s="79"/>
      <c r="R314" s="79"/>
      <c r="S314" s="79"/>
      <c r="T314" s="79"/>
      <c r="U314" s="79"/>
      <c r="V314" s="79"/>
      <c r="W314" s="79"/>
      <c r="X314" s="79"/>
      <c r="Y314" s="79"/>
      <c r="Z314" s="79"/>
      <c r="AA314" s="79"/>
      <c r="AB314" s="79"/>
      <c r="AC314" s="79"/>
    </row>
    <row r="315" spans="1:29" ht="12.75" customHeight="1">
      <c r="A315" s="79"/>
      <c r="B315" s="79"/>
      <c r="C315" s="79"/>
      <c r="D315" s="79"/>
      <c r="E315" s="79"/>
      <c r="F315" s="79"/>
      <c r="G315" s="79"/>
      <c r="H315" s="79"/>
      <c r="I315" s="125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  <c r="U315" s="79"/>
      <c r="V315" s="79"/>
      <c r="W315" s="79"/>
      <c r="X315" s="79"/>
      <c r="Y315" s="79"/>
      <c r="Z315" s="79"/>
      <c r="AA315" s="79"/>
      <c r="AB315" s="79"/>
      <c r="AC315" s="79"/>
    </row>
    <row r="316" spans="1:29" ht="12.75" customHeight="1">
      <c r="A316" s="79"/>
      <c r="B316" s="79"/>
      <c r="C316" s="79"/>
      <c r="D316" s="79"/>
      <c r="E316" s="79"/>
      <c r="F316" s="79"/>
      <c r="G316" s="79"/>
      <c r="H316" s="79"/>
      <c r="I316" s="125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  <c r="U316" s="79"/>
      <c r="V316" s="79"/>
      <c r="W316" s="79"/>
      <c r="X316" s="79"/>
      <c r="Y316" s="79"/>
      <c r="Z316" s="79"/>
      <c r="AA316" s="79"/>
      <c r="AB316" s="79"/>
      <c r="AC316" s="79"/>
    </row>
    <row r="317" spans="1:29" ht="12.75" customHeight="1">
      <c r="A317" s="79"/>
      <c r="B317" s="79"/>
      <c r="C317" s="79"/>
      <c r="D317" s="79"/>
      <c r="E317" s="79"/>
      <c r="F317" s="79"/>
      <c r="G317" s="79"/>
      <c r="H317" s="79"/>
      <c r="I317" s="125"/>
      <c r="J317" s="79"/>
      <c r="K317" s="79"/>
      <c r="L317" s="79"/>
      <c r="M317" s="79"/>
      <c r="N317" s="79"/>
      <c r="O317" s="79"/>
      <c r="P317" s="79"/>
      <c r="Q317" s="79"/>
      <c r="R317" s="79"/>
      <c r="S317" s="79"/>
      <c r="T317" s="79"/>
      <c r="U317" s="79"/>
      <c r="V317" s="79"/>
      <c r="W317" s="79"/>
      <c r="X317" s="79"/>
      <c r="Y317" s="79"/>
      <c r="Z317" s="79"/>
      <c r="AA317" s="79"/>
      <c r="AB317" s="79"/>
      <c r="AC317" s="79"/>
    </row>
    <row r="318" spans="1:29" ht="12.75" customHeight="1">
      <c r="A318" s="79"/>
      <c r="B318" s="79"/>
      <c r="C318" s="79"/>
      <c r="D318" s="79"/>
      <c r="E318" s="79"/>
      <c r="F318" s="79"/>
      <c r="G318" s="79"/>
      <c r="H318" s="79"/>
      <c r="I318" s="125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  <c r="U318" s="79"/>
      <c r="V318" s="79"/>
      <c r="W318" s="79"/>
      <c r="X318" s="79"/>
      <c r="Y318" s="79"/>
      <c r="Z318" s="79"/>
      <c r="AA318" s="79"/>
      <c r="AB318" s="79"/>
      <c r="AC318" s="79"/>
    </row>
    <row r="319" spans="1:29" ht="12.75" customHeight="1">
      <c r="A319" s="79"/>
      <c r="B319" s="79"/>
      <c r="C319" s="79"/>
      <c r="D319" s="79"/>
      <c r="E319" s="79"/>
      <c r="F319" s="79"/>
      <c r="G319" s="79"/>
      <c r="H319" s="79"/>
      <c r="I319" s="125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  <c r="U319" s="79"/>
      <c r="V319" s="79"/>
      <c r="W319" s="79"/>
      <c r="X319" s="79"/>
      <c r="Y319" s="79"/>
      <c r="Z319" s="79"/>
      <c r="AA319" s="79"/>
      <c r="AB319" s="79"/>
      <c r="AC319" s="79"/>
    </row>
    <row r="320" spans="1:29" ht="12.75" customHeight="1">
      <c r="A320" s="79"/>
      <c r="B320" s="79"/>
      <c r="C320" s="79"/>
      <c r="D320" s="79"/>
      <c r="E320" s="79"/>
      <c r="F320" s="79"/>
      <c r="G320" s="79"/>
      <c r="H320" s="79"/>
      <c r="I320" s="125"/>
      <c r="J320" s="79"/>
      <c r="K320" s="79"/>
      <c r="L320" s="79"/>
      <c r="M320" s="79"/>
      <c r="N320" s="79"/>
      <c r="O320" s="79"/>
      <c r="P320" s="79"/>
      <c r="Q320" s="79"/>
      <c r="R320" s="79"/>
      <c r="S320" s="79"/>
      <c r="T320" s="79"/>
      <c r="U320" s="79"/>
      <c r="V320" s="79"/>
      <c r="W320" s="79"/>
      <c r="X320" s="79"/>
      <c r="Y320" s="79"/>
      <c r="Z320" s="79"/>
      <c r="AA320" s="79"/>
      <c r="AB320" s="79"/>
      <c r="AC320" s="79"/>
    </row>
    <row r="321" spans="1:29" ht="12.75" customHeight="1">
      <c r="A321" s="79"/>
      <c r="B321" s="79"/>
      <c r="C321" s="79"/>
      <c r="D321" s="79"/>
      <c r="E321" s="79"/>
      <c r="F321" s="79"/>
      <c r="G321" s="79"/>
      <c r="H321" s="79"/>
      <c r="I321" s="125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  <c r="U321" s="79"/>
      <c r="V321" s="79"/>
      <c r="W321" s="79"/>
      <c r="X321" s="79"/>
      <c r="Y321" s="79"/>
      <c r="Z321" s="79"/>
      <c r="AA321" s="79"/>
      <c r="AB321" s="79"/>
      <c r="AC321" s="79"/>
    </row>
    <row r="322" spans="1:29" ht="12.75" customHeight="1">
      <c r="A322" s="79"/>
      <c r="B322" s="79"/>
      <c r="C322" s="79"/>
      <c r="D322" s="79"/>
      <c r="E322" s="79"/>
      <c r="F322" s="79"/>
      <c r="G322" s="79"/>
      <c r="H322" s="79"/>
      <c r="I322" s="125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  <c r="U322" s="79"/>
      <c r="V322" s="79"/>
      <c r="W322" s="79"/>
      <c r="X322" s="79"/>
      <c r="Y322" s="79"/>
      <c r="Z322" s="79"/>
      <c r="AA322" s="79"/>
      <c r="AB322" s="79"/>
      <c r="AC322" s="79"/>
    </row>
    <row r="323" spans="1:29" ht="12.75" customHeight="1">
      <c r="A323" s="79"/>
      <c r="B323" s="79"/>
      <c r="C323" s="79"/>
      <c r="D323" s="79"/>
      <c r="E323" s="79"/>
      <c r="F323" s="79"/>
      <c r="G323" s="79"/>
      <c r="H323" s="79"/>
      <c r="I323" s="125"/>
      <c r="J323" s="79"/>
      <c r="K323" s="79"/>
      <c r="L323" s="79"/>
      <c r="M323" s="79"/>
      <c r="N323" s="79"/>
      <c r="O323" s="79"/>
      <c r="P323" s="79"/>
      <c r="Q323" s="79"/>
      <c r="R323" s="79"/>
      <c r="S323" s="79"/>
      <c r="T323" s="79"/>
      <c r="U323" s="79"/>
      <c r="V323" s="79"/>
      <c r="W323" s="79"/>
      <c r="X323" s="79"/>
      <c r="Y323" s="79"/>
      <c r="Z323" s="79"/>
      <c r="AA323" s="79"/>
      <c r="AB323" s="79"/>
      <c r="AC323" s="79"/>
    </row>
    <row r="324" spans="1:29" ht="12.75" customHeight="1">
      <c r="A324" s="79"/>
      <c r="B324" s="79"/>
      <c r="C324" s="79"/>
      <c r="D324" s="79"/>
      <c r="E324" s="79"/>
      <c r="F324" s="79"/>
      <c r="G324" s="79"/>
      <c r="H324" s="79"/>
      <c r="I324" s="125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  <c r="U324" s="79"/>
      <c r="V324" s="79"/>
      <c r="W324" s="79"/>
      <c r="X324" s="79"/>
      <c r="Y324" s="79"/>
      <c r="Z324" s="79"/>
      <c r="AA324" s="79"/>
      <c r="AB324" s="79"/>
      <c r="AC324" s="79"/>
    </row>
    <row r="325" spans="1:29" ht="12.75" customHeight="1">
      <c r="A325" s="79"/>
      <c r="B325" s="79"/>
      <c r="C325" s="79"/>
      <c r="D325" s="79"/>
      <c r="E325" s="79"/>
      <c r="F325" s="79"/>
      <c r="G325" s="79"/>
      <c r="H325" s="79"/>
      <c r="I325" s="125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  <c r="U325" s="79"/>
      <c r="V325" s="79"/>
      <c r="W325" s="79"/>
      <c r="X325" s="79"/>
      <c r="Y325" s="79"/>
      <c r="Z325" s="79"/>
      <c r="AA325" s="79"/>
      <c r="AB325" s="79"/>
      <c r="AC325" s="79"/>
    </row>
    <row r="326" spans="1:29" ht="12.75" customHeight="1">
      <c r="A326" s="79"/>
      <c r="B326" s="79"/>
      <c r="C326" s="79"/>
      <c r="D326" s="79"/>
      <c r="E326" s="79"/>
      <c r="F326" s="79"/>
      <c r="G326" s="79"/>
      <c r="H326" s="79"/>
      <c r="I326" s="125"/>
      <c r="J326" s="79"/>
      <c r="K326" s="79"/>
      <c r="L326" s="79"/>
      <c r="M326" s="79"/>
      <c r="N326" s="79"/>
      <c r="O326" s="79"/>
      <c r="P326" s="79"/>
      <c r="Q326" s="79"/>
      <c r="R326" s="79"/>
      <c r="S326" s="79"/>
      <c r="T326" s="79"/>
      <c r="U326" s="79"/>
      <c r="V326" s="79"/>
      <c r="W326" s="79"/>
      <c r="X326" s="79"/>
      <c r="Y326" s="79"/>
      <c r="Z326" s="79"/>
      <c r="AA326" s="79"/>
      <c r="AB326" s="79"/>
      <c r="AC326" s="79"/>
    </row>
    <row r="327" spans="1:29" ht="12.75" customHeight="1">
      <c r="A327" s="79"/>
      <c r="B327" s="79"/>
      <c r="C327" s="79"/>
      <c r="D327" s="79"/>
      <c r="E327" s="79"/>
      <c r="F327" s="79"/>
      <c r="G327" s="79"/>
      <c r="H327" s="79"/>
      <c r="I327" s="125"/>
      <c r="J327" s="79"/>
      <c r="K327" s="79"/>
      <c r="L327" s="79"/>
      <c r="M327" s="79"/>
      <c r="N327" s="79"/>
      <c r="O327" s="79"/>
      <c r="P327" s="79"/>
      <c r="Q327" s="79"/>
      <c r="R327" s="79"/>
      <c r="S327" s="79"/>
      <c r="T327" s="79"/>
      <c r="U327" s="79"/>
      <c r="V327" s="79"/>
      <c r="W327" s="79"/>
      <c r="X327" s="79"/>
      <c r="Y327" s="79"/>
      <c r="Z327" s="79"/>
      <c r="AA327" s="79"/>
      <c r="AB327" s="79"/>
      <c r="AC327" s="79"/>
    </row>
    <row r="328" spans="1:29" ht="12.75" customHeight="1">
      <c r="A328" s="79"/>
      <c r="B328" s="79"/>
      <c r="C328" s="79"/>
      <c r="D328" s="79"/>
      <c r="E328" s="79"/>
      <c r="F328" s="79"/>
      <c r="G328" s="79"/>
      <c r="H328" s="79"/>
      <c r="I328" s="125"/>
      <c r="J328" s="79"/>
      <c r="K328" s="79"/>
      <c r="L328" s="79"/>
      <c r="M328" s="79"/>
      <c r="N328" s="79"/>
      <c r="O328" s="79"/>
      <c r="P328" s="79"/>
      <c r="Q328" s="79"/>
      <c r="R328" s="79"/>
      <c r="S328" s="79"/>
      <c r="T328" s="79"/>
      <c r="U328" s="79"/>
      <c r="V328" s="79"/>
      <c r="W328" s="79"/>
      <c r="X328" s="79"/>
      <c r="Y328" s="79"/>
      <c r="Z328" s="79"/>
      <c r="AA328" s="79"/>
      <c r="AB328" s="79"/>
      <c r="AC328" s="79"/>
    </row>
    <row r="329" spans="1:29" ht="12.75" customHeight="1">
      <c r="A329" s="79"/>
      <c r="B329" s="79"/>
      <c r="C329" s="79"/>
      <c r="D329" s="79"/>
      <c r="E329" s="79"/>
      <c r="F329" s="79"/>
      <c r="G329" s="79"/>
      <c r="H329" s="79"/>
      <c r="I329" s="125"/>
      <c r="J329" s="79"/>
      <c r="K329" s="79"/>
      <c r="L329" s="79"/>
      <c r="M329" s="79"/>
      <c r="N329" s="79"/>
      <c r="O329" s="79"/>
      <c r="P329" s="79"/>
      <c r="Q329" s="79"/>
      <c r="R329" s="79"/>
      <c r="S329" s="79"/>
      <c r="T329" s="79"/>
      <c r="U329" s="79"/>
      <c r="V329" s="79"/>
      <c r="W329" s="79"/>
      <c r="X329" s="79"/>
      <c r="Y329" s="79"/>
      <c r="Z329" s="79"/>
      <c r="AA329" s="79"/>
      <c r="AB329" s="79"/>
      <c r="AC329" s="79"/>
    </row>
    <row r="330" spans="1:29" ht="12.75" customHeight="1">
      <c r="A330" s="79"/>
      <c r="B330" s="79"/>
      <c r="C330" s="79"/>
      <c r="D330" s="79"/>
      <c r="E330" s="79"/>
      <c r="F330" s="79"/>
      <c r="G330" s="79"/>
      <c r="H330" s="79"/>
      <c r="I330" s="125"/>
      <c r="J330" s="79"/>
      <c r="K330" s="79"/>
      <c r="L330" s="79"/>
      <c r="M330" s="79"/>
      <c r="N330" s="79"/>
      <c r="O330" s="79"/>
      <c r="P330" s="79"/>
      <c r="Q330" s="79"/>
      <c r="R330" s="79"/>
      <c r="S330" s="79"/>
      <c r="T330" s="79"/>
      <c r="U330" s="79"/>
      <c r="V330" s="79"/>
      <c r="W330" s="79"/>
      <c r="X330" s="79"/>
      <c r="Y330" s="79"/>
      <c r="Z330" s="79"/>
      <c r="AA330" s="79"/>
      <c r="AB330" s="79"/>
      <c r="AC330" s="79"/>
    </row>
    <row r="331" spans="1:29" ht="12.75" customHeight="1">
      <c r="A331" s="79"/>
      <c r="B331" s="79"/>
      <c r="C331" s="79"/>
      <c r="D331" s="79"/>
      <c r="E331" s="79"/>
      <c r="F331" s="79"/>
      <c r="G331" s="79"/>
      <c r="H331" s="79"/>
      <c r="I331" s="125"/>
      <c r="J331" s="79"/>
      <c r="K331" s="79"/>
      <c r="L331" s="79"/>
      <c r="M331" s="79"/>
      <c r="N331" s="79"/>
      <c r="O331" s="79"/>
      <c r="P331" s="79"/>
      <c r="Q331" s="79"/>
      <c r="R331" s="79"/>
      <c r="S331" s="79"/>
      <c r="T331" s="79"/>
      <c r="U331" s="79"/>
      <c r="V331" s="79"/>
      <c r="W331" s="79"/>
      <c r="X331" s="79"/>
      <c r="Y331" s="79"/>
      <c r="Z331" s="79"/>
      <c r="AA331" s="79"/>
      <c r="AB331" s="79"/>
      <c r="AC331" s="79"/>
    </row>
    <row r="332" spans="1:29" ht="12.75" customHeight="1">
      <c r="A332" s="79"/>
      <c r="B332" s="79"/>
      <c r="C332" s="79"/>
      <c r="D332" s="79"/>
      <c r="E332" s="79"/>
      <c r="F332" s="79"/>
      <c r="G332" s="79"/>
      <c r="H332" s="79"/>
      <c r="I332" s="125"/>
      <c r="J332" s="79"/>
      <c r="K332" s="79"/>
      <c r="L332" s="79"/>
      <c r="M332" s="79"/>
      <c r="N332" s="79"/>
      <c r="O332" s="79"/>
      <c r="P332" s="79"/>
      <c r="Q332" s="79"/>
      <c r="R332" s="79"/>
      <c r="S332" s="79"/>
      <c r="T332" s="79"/>
      <c r="U332" s="79"/>
      <c r="V332" s="79"/>
      <c r="W332" s="79"/>
      <c r="X332" s="79"/>
      <c r="Y332" s="79"/>
      <c r="Z332" s="79"/>
      <c r="AA332" s="79"/>
      <c r="AB332" s="79"/>
      <c r="AC332" s="79"/>
    </row>
    <row r="333" spans="1:29" ht="12.75" customHeight="1">
      <c r="A333" s="79"/>
      <c r="B333" s="79"/>
      <c r="C333" s="79"/>
      <c r="D333" s="79"/>
      <c r="E333" s="79"/>
      <c r="F333" s="79"/>
      <c r="G333" s="79"/>
      <c r="H333" s="79"/>
      <c r="I333" s="125"/>
      <c r="J333" s="79"/>
      <c r="K333" s="79"/>
      <c r="L333" s="79"/>
      <c r="M333" s="79"/>
      <c r="N333" s="79"/>
      <c r="O333" s="79"/>
      <c r="P333" s="79"/>
      <c r="Q333" s="79"/>
      <c r="R333" s="79"/>
      <c r="S333" s="79"/>
      <c r="T333" s="79"/>
      <c r="U333" s="79"/>
      <c r="V333" s="79"/>
      <c r="W333" s="79"/>
      <c r="X333" s="79"/>
      <c r="Y333" s="79"/>
      <c r="Z333" s="79"/>
      <c r="AA333" s="79"/>
      <c r="AB333" s="79"/>
      <c r="AC333" s="79"/>
    </row>
    <row r="334" spans="1:29" ht="12.75" customHeight="1">
      <c r="A334" s="79"/>
      <c r="B334" s="79"/>
      <c r="C334" s="79"/>
      <c r="D334" s="79"/>
      <c r="E334" s="79"/>
      <c r="F334" s="79"/>
      <c r="G334" s="79"/>
      <c r="H334" s="79"/>
      <c r="I334" s="125"/>
      <c r="J334" s="79"/>
      <c r="K334" s="79"/>
      <c r="L334" s="79"/>
      <c r="M334" s="79"/>
      <c r="N334" s="79"/>
      <c r="O334" s="79"/>
      <c r="P334" s="79"/>
      <c r="Q334" s="79"/>
      <c r="R334" s="79"/>
      <c r="S334" s="79"/>
      <c r="T334" s="79"/>
      <c r="U334" s="79"/>
      <c r="V334" s="79"/>
      <c r="W334" s="79"/>
      <c r="X334" s="79"/>
      <c r="Y334" s="79"/>
      <c r="Z334" s="79"/>
      <c r="AA334" s="79"/>
      <c r="AB334" s="79"/>
      <c r="AC334" s="79"/>
    </row>
    <row r="335" spans="1:29" ht="12.75" customHeight="1">
      <c r="A335" s="79"/>
      <c r="B335" s="79"/>
      <c r="C335" s="79"/>
      <c r="D335" s="79"/>
      <c r="E335" s="79"/>
      <c r="F335" s="79"/>
      <c r="G335" s="79"/>
      <c r="H335" s="79"/>
      <c r="I335" s="125"/>
      <c r="J335" s="79"/>
      <c r="K335" s="79"/>
      <c r="L335" s="79"/>
      <c r="M335" s="79"/>
      <c r="N335" s="79"/>
      <c r="O335" s="79"/>
      <c r="P335" s="79"/>
      <c r="Q335" s="79"/>
      <c r="R335" s="79"/>
      <c r="S335" s="79"/>
      <c r="T335" s="79"/>
      <c r="U335" s="79"/>
      <c r="V335" s="79"/>
      <c r="W335" s="79"/>
      <c r="X335" s="79"/>
      <c r="Y335" s="79"/>
      <c r="Z335" s="79"/>
      <c r="AA335" s="79"/>
      <c r="AB335" s="79"/>
      <c r="AC335" s="79"/>
    </row>
    <row r="336" spans="1:29" ht="12.75" customHeight="1">
      <c r="A336" s="79"/>
      <c r="B336" s="79"/>
      <c r="C336" s="79"/>
      <c r="D336" s="79"/>
      <c r="E336" s="79"/>
      <c r="F336" s="79"/>
      <c r="G336" s="79"/>
      <c r="H336" s="79"/>
      <c r="I336" s="125"/>
      <c r="J336" s="79"/>
      <c r="K336" s="79"/>
      <c r="L336" s="79"/>
      <c r="M336" s="79"/>
      <c r="N336" s="79"/>
      <c r="O336" s="79"/>
      <c r="P336" s="79"/>
      <c r="Q336" s="79"/>
      <c r="R336" s="79"/>
      <c r="S336" s="79"/>
      <c r="T336" s="79"/>
      <c r="U336" s="79"/>
      <c r="V336" s="79"/>
      <c r="W336" s="79"/>
      <c r="X336" s="79"/>
      <c r="Y336" s="79"/>
      <c r="Z336" s="79"/>
      <c r="AA336" s="79"/>
      <c r="AB336" s="79"/>
      <c r="AC336" s="79"/>
    </row>
    <row r="337" spans="1:29" ht="12.75" customHeight="1">
      <c r="A337" s="79"/>
      <c r="B337" s="79"/>
      <c r="C337" s="79"/>
      <c r="D337" s="79"/>
      <c r="E337" s="79"/>
      <c r="F337" s="79"/>
      <c r="G337" s="79"/>
      <c r="H337" s="79"/>
      <c r="I337" s="125"/>
      <c r="J337" s="79"/>
      <c r="K337" s="79"/>
      <c r="L337" s="79"/>
      <c r="M337" s="79"/>
      <c r="N337" s="79"/>
      <c r="O337" s="79"/>
      <c r="P337" s="79"/>
      <c r="Q337" s="79"/>
      <c r="R337" s="79"/>
      <c r="S337" s="79"/>
      <c r="T337" s="79"/>
      <c r="U337" s="79"/>
      <c r="V337" s="79"/>
      <c r="W337" s="79"/>
      <c r="X337" s="79"/>
      <c r="Y337" s="79"/>
      <c r="Z337" s="79"/>
      <c r="AA337" s="79"/>
      <c r="AB337" s="79"/>
      <c r="AC337" s="79"/>
    </row>
    <row r="338" spans="1:29" ht="12.75" customHeight="1">
      <c r="A338" s="79"/>
      <c r="B338" s="79"/>
      <c r="C338" s="79"/>
      <c r="D338" s="79"/>
      <c r="E338" s="79"/>
      <c r="F338" s="79"/>
      <c r="G338" s="79"/>
      <c r="H338" s="79"/>
      <c r="I338" s="125"/>
      <c r="J338" s="79"/>
      <c r="K338" s="79"/>
      <c r="L338" s="79"/>
      <c r="M338" s="79"/>
      <c r="N338" s="79"/>
      <c r="O338" s="79"/>
      <c r="P338" s="79"/>
      <c r="Q338" s="79"/>
      <c r="R338" s="79"/>
      <c r="S338" s="79"/>
      <c r="T338" s="79"/>
      <c r="U338" s="79"/>
      <c r="V338" s="79"/>
      <c r="W338" s="79"/>
      <c r="X338" s="79"/>
      <c r="Y338" s="79"/>
      <c r="Z338" s="79"/>
      <c r="AA338" s="79"/>
      <c r="AB338" s="79"/>
      <c r="AC338" s="79"/>
    </row>
    <row r="339" spans="1:29" ht="12.75" customHeight="1">
      <c r="A339" s="79"/>
      <c r="B339" s="79"/>
      <c r="C339" s="79"/>
      <c r="D339" s="79"/>
      <c r="E339" s="79"/>
      <c r="F339" s="79"/>
      <c r="G339" s="79"/>
      <c r="H339" s="79"/>
      <c r="I339" s="125"/>
      <c r="J339" s="79"/>
      <c r="K339" s="79"/>
      <c r="L339" s="79"/>
      <c r="M339" s="79"/>
      <c r="N339" s="79"/>
      <c r="O339" s="79"/>
      <c r="P339" s="79"/>
      <c r="Q339" s="79"/>
      <c r="R339" s="79"/>
      <c r="S339" s="79"/>
      <c r="T339" s="79"/>
      <c r="U339" s="79"/>
      <c r="V339" s="79"/>
      <c r="W339" s="79"/>
      <c r="X339" s="79"/>
      <c r="Y339" s="79"/>
      <c r="Z339" s="79"/>
      <c r="AA339" s="79"/>
      <c r="AB339" s="79"/>
      <c r="AC339" s="79"/>
    </row>
    <row r="340" spans="1:29" ht="12.75" customHeight="1">
      <c r="A340" s="79"/>
      <c r="B340" s="79"/>
      <c r="C340" s="79"/>
      <c r="D340" s="79"/>
      <c r="E340" s="79"/>
      <c r="F340" s="79"/>
      <c r="G340" s="79"/>
      <c r="H340" s="79"/>
      <c r="I340" s="125"/>
      <c r="J340" s="79"/>
      <c r="K340" s="79"/>
      <c r="L340" s="79"/>
      <c r="M340" s="79"/>
      <c r="N340" s="79"/>
      <c r="O340" s="79"/>
      <c r="P340" s="79"/>
      <c r="Q340" s="79"/>
      <c r="R340" s="79"/>
      <c r="S340" s="79"/>
      <c r="T340" s="79"/>
      <c r="U340" s="79"/>
      <c r="V340" s="79"/>
      <c r="W340" s="79"/>
      <c r="X340" s="79"/>
      <c r="Y340" s="79"/>
      <c r="Z340" s="79"/>
      <c r="AA340" s="79"/>
      <c r="AB340" s="79"/>
      <c r="AC340" s="79"/>
    </row>
    <row r="341" spans="1:29" ht="12.75" customHeight="1">
      <c r="A341" s="79"/>
      <c r="B341" s="79"/>
      <c r="C341" s="79"/>
      <c r="D341" s="79"/>
      <c r="E341" s="79"/>
      <c r="F341" s="79"/>
      <c r="G341" s="79"/>
      <c r="H341" s="79"/>
      <c r="I341" s="125"/>
      <c r="J341" s="79"/>
      <c r="K341" s="79"/>
      <c r="L341" s="79"/>
      <c r="M341" s="79"/>
      <c r="N341" s="79"/>
      <c r="O341" s="79"/>
      <c r="P341" s="79"/>
      <c r="Q341" s="79"/>
      <c r="R341" s="79"/>
      <c r="S341" s="79"/>
      <c r="T341" s="79"/>
      <c r="U341" s="79"/>
      <c r="V341" s="79"/>
      <c r="W341" s="79"/>
      <c r="X341" s="79"/>
      <c r="Y341" s="79"/>
      <c r="Z341" s="79"/>
      <c r="AA341" s="79"/>
      <c r="AB341" s="79"/>
      <c r="AC341" s="79"/>
    </row>
    <row r="342" spans="1:29" ht="12.75" customHeight="1">
      <c r="A342" s="79"/>
      <c r="B342" s="79"/>
      <c r="C342" s="79"/>
      <c r="D342" s="79"/>
      <c r="E342" s="79"/>
      <c r="F342" s="79"/>
      <c r="G342" s="79"/>
      <c r="H342" s="79"/>
      <c r="I342" s="125"/>
      <c r="J342" s="79"/>
      <c r="K342" s="79"/>
      <c r="L342" s="79"/>
      <c r="M342" s="79"/>
      <c r="N342" s="79"/>
      <c r="O342" s="79"/>
      <c r="P342" s="79"/>
      <c r="Q342" s="79"/>
      <c r="R342" s="79"/>
      <c r="S342" s="79"/>
      <c r="T342" s="79"/>
      <c r="U342" s="79"/>
      <c r="V342" s="79"/>
      <c r="W342" s="79"/>
      <c r="X342" s="79"/>
      <c r="Y342" s="79"/>
      <c r="Z342" s="79"/>
      <c r="AA342" s="79"/>
      <c r="AB342" s="79"/>
      <c r="AC342" s="79"/>
    </row>
    <row r="343" spans="1:29" ht="12.75" customHeight="1">
      <c r="A343" s="79"/>
      <c r="B343" s="79"/>
      <c r="C343" s="79"/>
      <c r="D343" s="79"/>
      <c r="E343" s="79"/>
      <c r="F343" s="79"/>
      <c r="G343" s="79"/>
      <c r="H343" s="79"/>
      <c r="I343" s="125"/>
      <c r="J343" s="79"/>
      <c r="K343" s="79"/>
      <c r="L343" s="79"/>
      <c r="M343" s="79"/>
      <c r="N343" s="79"/>
      <c r="O343" s="79"/>
      <c r="P343" s="79"/>
      <c r="Q343" s="79"/>
      <c r="R343" s="79"/>
      <c r="S343" s="79"/>
      <c r="T343" s="79"/>
      <c r="U343" s="79"/>
      <c r="V343" s="79"/>
      <c r="W343" s="79"/>
      <c r="X343" s="79"/>
      <c r="Y343" s="79"/>
      <c r="Z343" s="79"/>
      <c r="AA343" s="79"/>
      <c r="AB343" s="79"/>
      <c r="AC343" s="79"/>
    </row>
    <row r="344" spans="1:29" ht="12.75" customHeight="1">
      <c r="A344" s="79"/>
      <c r="B344" s="79"/>
      <c r="C344" s="79"/>
      <c r="D344" s="79"/>
      <c r="E344" s="79"/>
      <c r="F344" s="79"/>
      <c r="G344" s="79"/>
      <c r="H344" s="79"/>
      <c r="I344" s="125"/>
      <c r="J344" s="79"/>
      <c r="K344" s="79"/>
      <c r="L344" s="79"/>
      <c r="M344" s="79"/>
      <c r="N344" s="79"/>
      <c r="O344" s="79"/>
      <c r="P344" s="79"/>
      <c r="Q344" s="79"/>
      <c r="R344" s="79"/>
      <c r="S344" s="79"/>
      <c r="T344" s="79"/>
      <c r="U344" s="79"/>
      <c r="V344" s="79"/>
      <c r="W344" s="79"/>
      <c r="X344" s="79"/>
      <c r="Y344" s="79"/>
      <c r="Z344" s="79"/>
      <c r="AA344" s="79"/>
      <c r="AB344" s="79"/>
      <c r="AC344" s="79"/>
    </row>
    <row r="345" spans="1:29" ht="12.75" customHeight="1">
      <c r="A345" s="79"/>
      <c r="B345" s="79"/>
      <c r="C345" s="79"/>
      <c r="D345" s="79"/>
      <c r="E345" s="79"/>
      <c r="F345" s="79"/>
      <c r="G345" s="79"/>
      <c r="H345" s="79"/>
      <c r="I345" s="125"/>
      <c r="J345" s="79"/>
      <c r="K345" s="79"/>
      <c r="L345" s="79"/>
      <c r="M345" s="79"/>
      <c r="N345" s="79"/>
      <c r="O345" s="79"/>
      <c r="P345" s="79"/>
      <c r="Q345" s="79"/>
      <c r="R345" s="79"/>
      <c r="S345" s="79"/>
      <c r="T345" s="79"/>
      <c r="U345" s="79"/>
      <c r="V345" s="79"/>
      <c r="W345" s="79"/>
      <c r="X345" s="79"/>
      <c r="Y345" s="79"/>
      <c r="Z345" s="79"/>
      <c r="AA345" s="79"/>
      <c r="AB345" s="79"/>
      <c r="AC345" s="79"/>
    </row>
    <row r="346" spans="1:29" ht="12.75" customHeight="1">
      <c r="A346" s="79"/>
      <c r="B346" s="79"/>
      <c r="C346" s="79"/>
      <c r="D346" s="79"/>
      <c r="E346" s="79"/>
      <c r="F346" s="79"/>
      <c r="G346" s="79"/>
      <c r="H346" s="79"/>
      <c r="I346" s="125"/>
      <c r="J346" s="79"/>
      <c r="K346" s="79"/>
      <c r="L346" s="79"/>
      <c r="M346" s="79"/>
      <c r="N346" s="79"/>
      <c r="O346" s="79"/>
      <c r="P346" s="79"/>
      <c r="Q346" s="79"/>
      <c r="R346" s="79"/>
      <c r="S346" s="79"/>
      <c r="T346" s="79"/>
      <c r="U346" s="79"/>
      <c r="V346" s="79"/>
      <c r="W346" s="79"/>
      <c r="X346" s="79"/>
      <c r="Y346" s="79"/>
      <c r="Z346" s="79"/>
      <c r="AA346" s="79"/>
      <c r="AB346" s="79"/>
      <c r="AC346" s="79"/>
    </row>
    <row r="347" spans="1:29" ht="12.75" customHeight="1">
      <c r="A347" s="79"/>
      <c r="B347" s="79"/>
      <c r="C347" s="79"/>
      <c r="D347" s="79"/>
      <c r="E347" s="79"/>
      <c r="F347" s="79"/>
      <c r="G347" s="79"/>
      <c r="H347" s="79"/>
      <c r="I347" s="125"/>
      <c r="J347" s="79"/>
      <c r="K347" s="79"/>
      <c r="L347" s="79"/>
      <c r="M347" s="79"/>
      <c r="N347" s="79"/>
      <c r="O347" s="79"/>
      <c r="P347" s="79"/>
      <c r="Q347" s="79"/>
      <c r="R347" s="79"/>
      <c r="S347" s="79"/>
      <c r="T347" s="79"/>
      <c r="U347" s="79"/>
      <c r="V347" s="79"/>
      <c r="W347" s="79"/>
      <c r="X347" s="79"/>
      <c r="Y347" s="79"/>
      <c r="Z347" s="79"/>
      <c r="AA347" s="79"/>
      <c r="AB347" s="79"/>
      <c r="AC347" s="79"/>
    </row>
    <row r="348" spans="1:29" ht="12.75" customHeight="1">
      <c r="A348" s="79"/>
      <c r="B348" s="79"/>
      <c r="C348" s="79"/>
      <c r="D348" s="79"/>
      <c r="E348" s="79"/>
      <c r="F348" s="79"/>
      <c r="G348" s="79"/>
      <c r="H348" s="79"/>
      <c r="I348" s="125"/>
      <c r="J348" s="79"/>
      <c r="K348" s="79"/>
      <c r="L348" s="79"/>
      <c r="M348" s="79"/>
      <c r="N348" s="79"/>
      <c r="O348" s="79"/>
      <c r="P348" s="79"/>
      <c r="Q348" s="79"/>
      <c r="R348" s="79"/>
      <c r="S348" s="79"/>
      <c r="T348" s="79"/>
      <c r="U348" s="79"/>
      <c r="V348" s="79"/>
      <c r="W348" s="79"/>
      <c r="X348" s="79"/>
      <c r="Y348" s="79"/>
      <c r="Z348" s="79"/>
      <c r="AA348" s="79"/>
      <c r="AB348" s="79"/>
      <c r="AC348" s="79"/>
    </row>
    <row r="349" spans="1:29" ht="12.75" customHeight="1">
      <c r="A349" s="79"/>
      <c r="B349" s="79"/>
      <c r="C349" s="79"/>
      <c r="D349" s="79"/>
      <c r="E349" s="79"/>
      <c r="F349" s="79"/>
      <c r="G349" s="79"/>
      <c r="H349" s="79"/>
      <c r="I349" s="125"/>
      <c r="J349" s="79"/>
      <c r="K349" s="79"/>
      <c r="L349" s="79"/>
      <c r="M349" s="79"/>
      <c r="N349" s="79"/>
      <c r="O349" s="79"/>
      <c r="P349" s="79"/>
      <c r="Q349" s="79"/>
      <c r="R349" s="79"/>
      <c r="S349" s="79"/>
      <c r="T349" s="79"/>
      <c r="U349" s="79"/>
      <c r="V349" s="79"/>
      <c r="W349" s="79"/>
      <c r="X349" s="79"/>
      <c r="Y349" s="79"/>
      <c r="Z349" s="79"/>
      <c r="AA349" s="79"/>
      <c r="AB349" s="79"/>
      <c r="AC349" s="79"/>
    </row>
    <row r="350" spans="1:29" ht="12.75" customHeight="1">
      <c r="A350" s="79"/>
      <c r="B350" s="79"/>
      <c r="C350" s="79"/>
      <c r="D350" s="79"/>
      <c r="E350" s="79"/>
      <c r="F350" s="79"/>
      <c r="G350" s="79"/>
      <c r="H350" s="79"/>
      <c r="I350" s="125"/>
      <c r="J350" s="79"/>
      <c r="K350" s="79"/>
      <c r="L350" s="79"/>
      <c r="M350" s="79"/>
      <c r="N350" s="79"/>
      <c r="O350" s="79"/>
      <c r="P350" s="79"/>
      <c r="Q350" s="79"/>
      <c r="R350" s="79"/>
      <c r="S350" s="79"/>
      <c r="T350" s="79"/>
      <c r="U350" s="79"/>
      <c r="V350" s="79"/>
      <c r="W350" s="79"/>
      <c r="X350" s="79"/>
      <c r="Y350" s="79"/>
      <c r="Z350" s="79"/>
      <c r="AA350" s="79"/>
      <c r="AB350" s="79"/>
      <c r="AC350" s="79"/>
    </row>
    <row r="351" spans="1:29" ht="12.75" customHeight="1">
      <c r="A351" s="79"/>
      <c r="B351" s="79"/>
      <c r="C351" s="79"/>
      <c r="D351" s="79"/>
      <c r="E351" s="79"/>
      <c r="F351" s="79"/>
      <c r="G351" s="79"/>
      <c r="H351" s="79"/>
      <c r="I351" s="125"/>
      <c r="J351" s="79"/>
      <c r="K351" s="79"/>
      <c r="L351" s="79"/>
      <c r="M351" s="79"/>
      <c r="N351" s="79"/>
      <c r="O351" s="79"/>
      <c r="P351" s="79"/>
      <c r="Q351" s="79"/>
      <c r="R351" s="79"/>
      <c r="S351" s="79"/>
      <c r="T351" s="79"/>
      <c r="U351" s="79"/>
      <c r="V351" s="79"/>
      <c r="W351" s="79"/>
      <c r="X351" s="79"/>
      <c r="Y351" s="79"/>
      <c r="Z351" s="79"/>
      <c r="AA351" s="79"/>
      <c r="AB351" s="79"/>
      <c r="AC351" s="79"/>
    </row>
    <row r="352" spans="1:29" ht="12.75" customHeight="1">
      <c r="A352" s="79"/>
      <c r="B352" s="79"/>
      <c r="C352" s="79"/>
      <c r="D352" s="79"/>
      <c r="E352" s="79"/>
      <c r="F352" s="79"/>
      <c r="G352" s="79"/>
      <c r="H352" s="79"/>
      <c r="I352" s="125"/>
      <c r="J352" s="79"/>
      <c r="K352" s="79"/>
      <c r="L352" s="79"/>
      <c r="M352" s="79"/>
      <c r="N352" s="79"/>
      <c r="O352" s="79"/>
      <c r="P352" s="79"/>
      <c r="Q352" s="79"/>
      <c r="R352" s="79"/>
      <c r="S352" s="79"/>
      <c r="T352" s="79"/>
      <c r="U352" s="79"/>
      <c r="V352" s="79"/>
      <c r="W352" s="79"/>
      <c r="X352" s="79"/>
      <c r="Y352" s="79"/>
      <c r="Z352" s="79"/>
      <c r="AA352" s="79"/>
      <c r="AB352" s="79"/>
      <c r="AC352" s="79"/>
    </row>
    <row r="353" spans="1:29" ht="12.75" customHeight="1">
      <c r="A353" s="79"/>
      <c r="B353" s="79"/>
      <c r="C353" s="79"/>
      <c r="D353" s="79"/>
      <c r="E353" s="79"/>
      <c r="F353" s="79"/>
      <c r="G353" s="79"/>
      <c r="H353" s="79"/>
      <c r="I353" s="125"/>
      <c r="J353" s="79"/>
      <c r="K353" s="79"/>
      <c r="L353" s="79"/>
      <c r="M353" s="79"/>
      <c r="N353" s="79"/>
      <c r="O353" s="79"/>
      <c r="P353" s="79"/>
      <c r="Q353" s="79"/>
      <c r="R353" s="79"/>
      <c r="S353" s="79"/>
      <c r="T353" s="79"/>
      <c r="U353" s="79"/>
      <c r="V353" s="79"/>
      <c r="W353" s="79"/>
      <c r="X353" s="79"/>
      <c r="Y353" s="79"/>
      <c r="Z353" s="79"/>
      <c r="AA353" s="79"/>
      <c r="AB353" s="79"/>
      <c r="AC353" s="79"/>
    </row>
    <row r="354" spans="1:29" ht="12.75" customHeight="1">
      <c r="A354" s="79"/>
      <c r="B354" s="79"/>
      <c r="C354" s="79"/>
      <c r="D354" s="79"/>
      <c r="E354" s="79"/>
      <c r="F354" s="79"/>
      <c r="G354" s="79"/>
      <c r="H354" s="79"/>
      <c r="I354" s="125"/>
      <c r="J354" s="79"/>
      <c r="K354" s="79"/>
      <c r="L354" s="79"/>
      <c r="M354" s="79"/>
      <c r="N354" s="79"/>
      <c r="O354" s="79"/>
      <c r="P354" s="79"/>
      <c r="Q354" s="79"/>
      <c r="R354" s="79"/>
      <c r="S354" s="79"/>
      <c r="T354" s="79"/>
      <c r="U354" s="79"/>
      <c r="V354" s="79"/>
      <c r="W354" s="79"/>
      <c r="X354" s="79"/>
      <c r="Y354" s="79"/>
      <c r="Z354" s="79"/>
      <c r="AA354" s="79"/>
      <c r="AB354" s="79"/>
      <c r="AC354" s="79"/>
    </row>
    <row r="355" spans="1:29" ht="12.75" customHeight="1">
      <c r="A355" s="79"/>
      <c r="B355" s="79"/>
      <c r="C355" s="79"/>
      <c r="D355" s="79"/>
      <c r="E355" s="79"/>
      <c r="F355" s="79"/>
      <c r="G355" s="79"/>
      <c r="H355" s="79"/>
      <c r="I355" s="125"/>
      <c r="J355" s="79"/>
      <c r="K355" s="79"/>
      <c r="L355" s="79"/>
      <c r="M355" s="79"/>
      <c r="N355" s="79"/>
      <c r="O355" s="79"/>
      <c r="P355" s="79"/>
      <c r="Q355" s="79"/>
      <c r="R355" s="79"/>
      <c r="S355" s="79"/>
      <c r="T355" s="79"/>
      <c r="U355" s="79"/>
      <c r="V355" s="79"/>
      <c r="W355" s="79"/>
      <c r="X355" s="79"/>
      <c r="Y355" s="79"/>
      <c r="Z355" s="79"/>
      <c r="AA355" s="79"/>
      <c r="AB355" s="79"/>
      <c r="AC355" s="79"/>
    </row>
    <row r="356" spans="1:29" ht="12.75" customHeight="1">
      <c r="A356" s="79"/>
      <c r="B356" s="79"/>
      <c r="C356" s="79"/>
      <c r="D356" s="79"/>
      <c r="E356" s="79"/>
      <c r="F356" s="79"/>
      <c r="G356" s="79"/>
      <c r="H356" s="79"/>
      <c r="I356" s="125"/>
      <c r="J356" s="79"/>
      <c r="K356" s="79"/>
      <c r="L356" s="79"/>
      <c r="M356" s="79"/>
      <c r="N356" s="79"/>
      <c r="O356" s="79"/>
      <c r="P356" s="79"/>
      <c r="Q356" s="79"/>
      <c r="R356" s="79"/>
      <c r="S356" s="79"/>
      <c r="T356" s="79"/>
      <c r="U356" s="79"/>
      <c r="V356" s="79"/>
      <c r="W356" s="79"/>
      <c r="X356" s="79"/>
      <c r="Y356" s="79"/>
      <c r="Z356" s="79"/>
      <c r="AA356" s="79"/>
      <c r="AB356" s="79"/>
      <c r="AC356" s="79"/>
    </row>
    <row r="357" spans="1:29" ht="12.75" customHeight="1">
      <c r="A357" s="79"/>
      <c r="B357" s="79"/>
      <c r="C357" s="79"/>
      <c r="D357" s="79"/>
      <c r="E357" s="79"/>
      <c r="F357" s="79"/>
      <c r="G357" s="79"/>
      <c r="H357" s="79"/>
      <c r="I357" s="125"/>
      <c r="J357" s="79"/>
      <c r="K357" s="79"/>
      <c r="L357" s="79"/>
      <c r="M357" s="79"/>
      <c r="N357" s="79"/>
      <c r="O357" s="79"/>
      <c r="P357" s="79"/>
      <c r="Q357" s="79"/>
      <c r="R357" s="79"/>
      <c r="S357" s="79"/>
      <c r="T357" s="79"/>
      <c r="U357" s="79"/>
      <c r="V357" s="79"/>
      <c r="W357" s="79"/>
      <c r="X357" s="79"/>
      <c r="Y357" s="79"/>
      <c r="Z357" s="79"/>
      <c r="AA357" s="79"/>
      <c r="AB357" s="79"/>
      <c r="AC357" s="79"/>
    </row>
    <row r="358" spans="1:29" ht="12.75" customHeight="1">
      <c r="A358" s="79"/>
      <c r="B358" s="79"/>
      <c r="C358" s="79"/>
      <c r="D358" s="79"/>
      <c r="E358" s="79"/>
      <c r="F358" s="79"/>
      <c r="G358" s="79"/>
      <c r="H358" s="79"/>
      <c r="I358" s="125"/>
      <c r="J358" s="79"/>
      <c r="K358" s="79"/>
      <c r="L358" s="79"/>
      <c r="M358" s="79"/>
      <c r="N358" s="79"/>
      <c r="O358" s="79"/>
      <c r="P358" s="79"/>
      <c r="Q358" s="79"/>
      <c r="R358" s="79"/>
      <c r="S358" s="79"/>
      <c r="T358" s="79"/>
      <c r="U358" s="79"/>
      <c r="V358" s="79"/>
      <c r="W358" s="79"/>
      <c r="X358" s="79"/>
      <c r="Y358" s="79"/>
      <c r="Z358" s="79"/>
      <c r="AA358" s="79"/>
      <c r="AB358" s="79"/>
      <c r="AC358" s="79"/>
    </row>
    <row r="359" spans="1:29" ht="12.75" customHeight="1">
      <c r="A359" s="79"/>
      <c r="B359" s="79"/>
      <c r="C359" s="79"/>
      <c r="D359" s="79"/>
      <c r="E359" s="79"/>
      <c r="F359" s="79"/>
      <c r="G359" s="79"/>
      <c r="H359" s="79"/>
      <c r="I359" s="125"/>
      <c r="J359" s="79"/>
      <c r="K359" s="79"/>
      <c r="L359" s="79"/>
      <c r="M359" s="79"/>
      <c r="N359" s="79"/>
      <c r="O359" s="79"/>
      <c r="P359" s="79"/>
      <c r="Q359" s="79"/>
      <c r="R359" s="79"/>
      <c r="S359" s="79"/>
      <c r="T359" s="79"/>
      <c r="U359" s="79"/>
      <c r="V359" s="79"/>
      <c r="W359" s="79"/>
      <c r="X359" s="79"/>
      <c r="Y359" s="79"/>
      <c r="Z359" s="79"/>
      <c r="AA359" s="79"/>
      <c r="AB359" s="79"/>
      <c r="AC359" s="79"/>
    </row>
    <row r="360" spans="1:29" ht="12.75" customHeight="1">
      <c r="A360" s="79"/>
      <c r="B360" s="79"/>
      <c r="C360" s="79"/>
      <c r="D360" s="79"/>
      <c r="E360" s="79"/>
      <c r="F360" s="79"/>
      <c r="G360" s="79"/>
      <c r="H360" s="79"/>
      <c r="I360" s="125"/>
      <c r="J360" s="79"/>
      <c r="K360" s="79"/>
      <c r="L360" s="79"/>
      <c r="M360" s="79"/>
      <c r="N360" s="79"/>
      <c r="O360" s="79"/>
      <c r="P360" s="79"/>
      <c r="Q360" s="79"/>
      <c r="R360" s="79"/>
      <c r="S360" s="79"/>
      <c r="T360" s="79"/>
      <c r="U360" s="79"/>
      <c r="V360" s="79"/>
      <c r="W360" s="79"/>
      <c r="X360" s="79"/>
      <c r="Y360" s="79"/>
      <c r="Z360" s="79"/>
      <c r="AA360" s="79"/>
      <c r="AB360" s="79"/>
      <c r="AC360" s="79"/>
    </row>
    <row r="361" spans="1:29" ht="12.75" customHeight="1">
      <c r="A361" s="79"/>
      <c r="B361" s="79"/>
      <c r="C361" s="79"/>
      <c r="D361" s="79"/>
      <c r="E361" s="79"/>
      <c r="F361" s="79"/>
      <c r="G361" s="79"/>
      <c r="H361" s="79"/>
      <c r="I361" s="125"/>
      <c r="J361" s="79"/>
      <c r="K361" s="79"/>
      <c r="L361" s="79"/>
      <c r="M361" s="79"/>
      <c r="N361" s="79"/>
      <c r="O361" s="79"/>
      <c r="P361" s="79"/>
      <c r="Q361" s="79"/>
      <c r="R361" s="79"/>
      <c r="S361" s="79"/>
      <c r="T361" s="79"/>
      <c r="U361" s="79"/>
      <c r="V361" s="79"/>
      <c r="W361" s="79"/>
      <c r="X361" s="79"/>
      <c r="Y361" s="79"/>
      <c r="Z361" s="79"/>
      <c r="AA361" s="79"/>
      <c r="AB361" s="79"/>
      <c r="AC361" s="79"/>
    </row>
    <row r="362" spans="1:29" ht="12.75" customHeight="1">
      <c r="A362" s="79"/>
      <c r="B362" s="79"/>
      <c r="C362" s="79"/>
      <c r="D362" s="79"/>
      <c r="E362" s="79"/>
      <c r="F362" s="79"/>
      <c r="G362" s="79"/>
      <c r="H362" s="79"/>
      <c r="I362" s="125"/>
      <c r="J362" s="79"/>
      <c r="K362" s="79"/>
      <c r="L362" s="79"/>
      <c r="M362" s="79"/>
      <c r="N362" s="79"/>
      <c r="O362" s="79"/>
      <c r="P362" s="79"/>
      <c r="Q362" s="79"/>
      <c r="R362" s="79"/>
      <c r="S362" s="79"/>
      <c r="T362" s="79"/>
      <c r="U362" s="79"/>
      <c r="V362" s="79"/>
      <c r="W362" s="79"/>
      <c r="X362" s="79"/>
      <c r="Y362" s="79"/>
      <c r="Z362" s="79"/>
      <c r="AA362" s="79"/>
      <c r="AB362" s="79"/>
      <c r="AC362" s="79"/>
    </row>
    <row r="363" spans="1:29" ht="12.75" customHeight="1">
      <c r="A363" s="79"/>
      <c r="B363" s="79"/>
      <c r="C363" s="79"/>
      <c r="D363" s="79"/>
      <c r="E363" s="79"/>
      <c r="F363" s="79"/>
      <c r="G363" s="79"/>
      <c r="H363" s="79"/>
      <c r="I363" s="125"/>
      <c r="J363" s="79"/>
      <c r="K363" s="79"/>
      <c r="L363" s="79"/>
      <c r="M363" s="79"/>
      <c r="N363" s="79"/>
      <c r="O363" s="79"/>
      <c r="P363" s="79"/>
      <c r="Q363" s="79"/>
      <c r="R363" s="79"/>
      <c r="S363" s="79"/>
      <c r="T363" s="79"/>
      <c r="U363" s="79"/>
      <c r="V363" s="79"/>
      <c r="W363" s="79"/>
      <c r="X363" s="79"/>
      <c r="Y363" s="79"/>
      <c r="Z363" s="79"/>
      <c r="AA363" s="79"/>
      <c r="AB363" s="79"/>
      <c r="AC363" s="79"/>
    </row>
    <row r="364" spans="1:29" ht="12.75" customHeight="1">
      <c r="A364" s="79"/>
      <c r="B364" s="79"/>
      <c r="C364" s="79"/>
      <c r="D364" s="79"/>
      <c r="E364" s="79"/>
      <c r="F364" s="79"/>
      <c r="G364" s="79"/>
      <c r="H364" s="79"/>
      <c r="I364" s="125"/>
      <c r="J364" s="79"/>
      <c r="K364" s="79"/>
      <c r="L364" s="79"/>
      <c r="M364" s="79"/>
      <c r="N364" s="79"/>
      <c r="O364" s="79"/>
      <c r="P364" s="79"/>
      <c r="Q364" s="79"/>
      <c r="R364" s="79"/>
      <c r="S364" s="79"/>
      <c r="T364" s="79"/>
      <c r="U364" s="79"/>
      <c r="V364" s="79"/>
      <c r="W364" s="79"/>
      <c r="X364" s="79"/>
      <c r="Y364" s="79"/>
      <c r="Z364" s="79"/>
      <c r="AA364" s="79"/>
      <c r="AB364" s="79"/>
      <c r="AC364" s="79"/>
    </row>
    <row r="365" spans="1:29" ht="12.75" customHeight="1">
      <c r="A365" s="79"/>
      <c r="B365" s="79"/>
      <c r="C365" s="79"/>
      <c r="D365" s="79"/>
      <c r="E365" s="79"/>
      <c r="F365" s="79"/>
      <c r="G365" s="79"/>
      <c r="H365" s="79"/>
      <c r="I365" s="125"/>
      <c r="J365" s="79"/>
      <c r="K365" s="79"/>
      <c r="L365" s="79"/>
      <c r="M365" s="79"/>
      <c r="N365" s="79"/>
      <c r="O365" s="79"/>
      <c r="P365" s="79"/>
      <c r="Q365" s="79"/>
      <c r="R365" s="79"/>
      <c r="S365" s="79"/>
      <c r="T365" s="79"/>
      <c r="U365" s="79"/>
      <c r="V365" s="79"/>
      <c r="W365" s="79"/>
      <c r="X365" s="79"/>
      <c r="Y365" s="79"/>
      <c r="Z365" s="79"/>
      <c r="AA365" s="79"/>
      <c r="AB365" s="79"/>
      <c r="AC365" s="79"/>
    </row>
    <row r="366" spans="1:29" ht="12.75" customHeight="1">
      <c r="A366" s="79"/>
      <c r="B366" s="79"/>
      <c r="C366" s="79"/>
      <c r="D366" s="79"/>
      <c r="E366" s="79"/>
      <c r="F366" s="79"/>
      <c r="G366" s="79"/>
      <c r="H366" s="79"/>
      <c r="I366" s="125"/>
      <c r="J366" s="79"/>
      <c r="K366" s="79"/>
      <c r="L366" s="79"/>
      <c r="M366" s="79"/>
      <c r="N366" s="79"/>
      <c r="O366" s="79"/>
      <c r="P366" s="79"/>
      <c r="Q366" s="79"/>
      <c r="R366" s="79"/>
      <c r="S366" s="79"/>
      <c r="T366" s="79"/>
      <c r="U366" s="79"/>
      <c r="V366" s="79"/>
      <c r="W366" s="79"/>
      <c r="X366" s="79"/>
      <c r="Y366" s="79"/>
      <c r="Z366" s="79"/>
      <c r="AA366" s="79"/>
      <c r="AB366" s="79"/>
      <c r="AC366" s="79"/>
    </row>
    <row r="367" spans="1:29" ht="12.75" customHeight="1">
      <c r="A367" s="79"/>
      <c r="B367" s="79"/>
      <c r="C367" s="79"/>
      <c r="D367" s="79"/>
      <c r="E367" s="79"/>
      <c r="F367" s="79"/>
      <c r="G367" s="79"/>
      <c r="H367" s="79"/>
      <c r="I367" s="125"/>
      <c r="J367" s="79"/>
      <c r="K367" s="79"/>
      <c r="L367" s="79"/>
      <c r="M367" s="79"/>
      <c r="N367" s="79"/>
      <c r="O367" s="79"/>
      <c r="P367" s="79"/>
      <c r="Q367" s="79"/>
      <c r="R367" s="79"/>
      <c r="S367" s="79"/>
      <c r="T367" s="79"/>
      <c r="U367" s="79"/>
      <c r="V367" s="79"/>
      <c r="W367" s="79"/>
      <c r="X367" s="79"/>
      <c r="Y367" s="79"/>
      <c r="Z367" s="79"/>
      <c r="AA367" s="79"/>
      <c r="AB367" s="79"/>
      <c r="AC367" s="79"/>
    </row>
    <row r="368" spans="1:29" ht="12.75" customHeight="1">
      <c r="A368" s="79"/>
      <c r="B368" s="79"/>
      <c r="C368" s="79"/>
      <c r="D368" s="79"/>
      <c r="E368" s="79"/>
      <c r="F368" s="79"/>
      <c r="G368" s="79"/>
      <c r="H368" s="79"/>
      <c r="I368" s="125"/>
      <c r="J368" s="79"/>
      <c r="K368" s="79"/>
      <c r="L368" s="79"/>
      <c r="M368" s="79"/>
      <c r="N368" s="79"/>
      <c r="O368" s="79"/>
      <c r="P368" s="79"/>
      <c r="Q368" s="79"/>
      <c r="R368" s="79"/>
      <c r="S368" s="79"/>
      <c r="T368" s="79"/>
      <c r="U368" s="79"/>
      <c r="V368" s="79"/>
      <c r="W368" s="79"/>
      <c r="X368" s="79"/>
      <c r="Y368" s="79"/>
      <c r="Z368" s="79"/>
      <c r="AA368" s="79"/>
      <c r="AB368" s="79"/>
      <c r="AC368" s="79"/>
    </row>
    <row r="369" spans="1:29" ht="12.75" customHeight="1">
      <c r="A369" s="79"/>
      <c r="B369" s="79"/>
      <c r="C369" s="79"/>
      <c r="D369" s="79"/>
      <c r="E369" s="79"/>
      <c r="F369" s="79"/>
      <c r="G369" s="79"/>
      <c r="H369" s="79"/>
      <c r="I369" s="125"/>
      <c r="J369" s="79"/>
      <c r="K369" s="79"/>
      <c r="L369" s="79"/>
      <c r="M369" s="79"/>
      <c r="N369" s="79"/>
      <c r="O369" s="79"/>
      <c r="P369" s="79"/>
      <c r="Q369" s="79"/>
      <c r="R369" s="79"/>
      <c r="S369" s="79"/>
      <c r="T369" s="79"/>
      <c r="U369" s="79"/>
      <c r="V369" s="79"/>
      <c r="W369" s="79"/>
      <c r="X369" s="79"/>
      <c r="Y369" s="79"/>
      <c r="Z369" s="79"/>
      <c r="AA369" s="79"/>
      <c r="AB369" s="79"/>
      <c r="AC369" s="79"/>
    </row>
    <row r="370" spans="1:29" ht="12.75" customHeight="1">
      <c r="A370" s="79"/>
      <c r="B370" s="79"/>
      <c r="C370" s="79"/>
      <c r="D370" s="79"/>
      <c r="E370" s="79"/>
      <c r="F370" s="79"/>
      <c r="G370" s="79"/>
      <c r="H370" s="79"/>
      <c r="I370" s="125"/>
      <c r="J370" s="79"/>
      <c r="K370" s="79"/>
      <c r="L370" s="79"/>
      <c r="M370" s="79"/>
      <c r="N370" s="79"/>
      <c r="O370" s="79"/>
      <c r="P370" s="79"/>
      <c r="Q370" s="79"/>
      <c r="R370" s="79"/>
      <c r="S370" s="79"/>
      <c r="T370" s="79"/>
      <c r="U370" s="79"/>
      <c r="V370" s="79"/>
      <c r="W370" s="79"/>
      <c r="X370" s="79"/>
      <c r="Y370" s="79"/>
      <c r="Z370" s="79"/>
      <c r="AA370" s="79"/>
      <c r="AB370" s="79"/>
      <c r="AC370" s="79"/>
    </row>
    <row r="371" spans="1:29" ht="12.75" customHeight="1">
      <c r="A371" s="79"/>
      <c r="B371" s="79"/>
      <c r="C371" s="79"/>
      <c r="D371" s="79"/>
      <c r="E371" s="79"/>
      <c r="F371" s="79"/>
      <c r="G371" s="79"/>
      <c r="H371" s="79"/>
      <c r="I371" s="125"/>
      <c r="J371" s="79"/>
      <c r="K371" s="79"/>
      <c r="L371" s="79"/>
      <c r="M371" s="79"/>
      <c r="N371" s="79"/>
      <c r="O371" s="79"/>
      <c r="P371" s="79"/>
      <c r="Q371" s="79"/>
      <c r="R371" s="79"/>
      <c r="S371" s="79"/>
      <c r="T371" s="79"/>
      <c r="U371" s="79"/>
      <c r="V371" s="79"/>
      <c r="W371" s="79"/>
      <c r="X371" s="79"/>
      <c r="Y371" s="79"/>
      <c r="Z371" s="79"/>
      <c r="AA371" s="79"/>
      <c r="AB371" s="79"/>
      <c r="AC371" s="79"/>
    </row>
    <row r="372" spans="1:29" ht="12.75" customHeight="1">
      <c r="A372" s="79"/>
      <c r="B372" s="79"/>
      <c r="C372" s="79"/>
      <c r="D372" s="79"/>
      <c r="E372" s="79"/>
      <c r="F372" s="79"/>
      <c r="G372" s="79"/>
      <c r="H372" s="79"/>
      <c r="I372" s="125"/>
      <c r="J372" s="79"/>
      <c r="K372" s="79"/>
      <c r="L372" s="79"/>
      <c r="M372" s="79"/>
      <c r="N372" s="79"/>
      <c r="O372" s="79"/>
      <c r="P372" s="79"/>
      <c r="Q372" s="79"/>
      <c r="R372" s="79"/>
      <c r="S372" s="79"/>
      <c r="T372" s="79"/>
      <c r="U372" s="79"/>
      <c r="V372" s="79"/>
      <c r="W372" s="79"/>
      <c r="X372" s="79"/>
      <c r="Y372" s="79"/>
      <c r="Z372" s="79"/>
      <c r="AA372" s="79"/>
      <c r="AB372" s="79"/>
      <c r="AC372" s="79"/>
    </row>
    <row r="373" spans="1:29" ht="12.75" customHeight="1">
      <c r="A373" s="79"/>
      <c r="B373" s="79"/>
      <c r="C373" s="79"/>
      <c r="D373" s="79"/>
      <c r="E373" s="79"/>
      <c r="F373" s="79"/>
      <c r="G373" s="79"/>
      <c r="H373" s="79"/>
      <c r="I373" s="125"/>
      <c r="J373" s="79"/>
      <c r="K373" s="79"/>
      <c r="L373" s="79"/>
      <c r="M373" s="79"/>
      <c r="N373" s="79"/>
      <c r="O373" s="79"/>
      <c r="P373" s="79"/>
      <c r="Q373" s="79"/>
      <c r="R373" s="79"/>
      <c r="S373" s="79"/>
      <c r="T373" s="79"/>
      <c r="U373" s="79"/>
      <c r="V373" s="79"/>
      <c r="W373" s="79"/>
      <c r="X373" s="79"/>
      <c r="Y373" s="79"/>
      <c r="Z373" s="79"/>
      <c r="AA373" s="79"/>
      <c r="AB373" s="79"/>
      <c r="AC373" s="79"/>
    </row>
    <row r="374" spans="1:29" ht="12.75" customHeight="1">
      <c r="A374" s="79"/>
      <c r="B374" s="79"/>
      <c r="C374" s="79"/>
      <c r="D374" s="79"/>
      <c r="E374" s="79"/>
      <c r="F374" s="79"/>
      <c r="G374" s="79"/>
      <c r="H374" s="79"/>
      <c r="I374" s="125"/>
      <c r="J374" s="79"/>
      <c r="K374" s="79"/>
      <c r="L374" s="79"/>
      <c r="M374" s="79"/>
      <c r="N374" s="79"/>
      <c r="O374" s="79"/>
      <c r="P374" s="79"/>
      <c r="Q374" s="79"/>
      <c r="R374" s="79"/>
      <c r="S374" s="79"/>
      <c r="T374" s="79"/>
      <c r="U374" s="79"/>
      <c r="V374" s="79"/>
      <c r="W374" s="79"/>
      <c r="X374" s="79"/>
      <c r="Y374" s="79"/>
      <c r="Z374" s="79"/>
      <c r="AA374" s="79"/>
      <c r="AB374" s="79"/>
      <c r="AC374" s="79"/>
    </row>
    <row r="375" spans="1:29" ht="12.75" customHeight="1">
      <c r="A375" s="79"/>
      <c r="B375" s="79"/>
      <c r="C375" s="79"/>
      <c r="D375" s="79"/>
      <c r="E375" s="79"/>
      <c r="F375" s="79"/>
      <c r="G375" s="79"/>
      <c r="H375" s="79"/>
      <c r="I375" s="125"/>
      <c r="J375" s="79"/>
      <c r="K375" s="79"/>
      <c r="L375" s="79"/>
      <c r="M375" s="79"/>
      <c r="N375" s="79"/>
      <c r="O375" s="79"/>
      <c r="P375" s="79"/>
      <c r="Q375" s="79"/>
      <c r="R375" s="79"/>
      <c r="S375" s="79"/>
      <c r="T375" s="79"/>
      <c r="U375" s="79"/>
      <c r="V375" s="79"/>
      <c r="W375" s="79"/>
      <c r="X375" s="79"/>
      <c r="Y375" s="79"/>
      <c r="Z375" s="79"/>
      <c r="AA375" s="79"/>
      <c r="AB375" s="79"/>
      <c r="AC375" s="79"/>
    </row>
    <row r="376" spans="1:29" ht="12.75" customHeight="1">
      <c r="A376" s="79"/>
      <c r="B376" s="79"/>
      <c r="C376" s="79"/>
      <c r="D376" s="79"/>
      <c r="E376" s="79"/>
      <c r="F376" s="79"/>
      <c r="G376" s="79"/>
      <c r="H376" s="79"/>
      <c r="I376" s="125"/>
      <c r="J376" s="79"/>
      <c r="K376" s="79"/>
      <c r="L376" s="79"/>
      <c r="M376" s="79"/>
      <c r="N376" s="79"/>
      <c r="O376" s="79"/>
      <c r="P376" s="79"/>
      <c r="Q376" s="79"/>
      <c r="R376" s="79"/>
      <c r="S376" s="79"/>
      <c r="T376" s="79"/>
      <c r="U376" s="79"/>
      <c r="V376" s="79"/>
      <c r="W376" s="79"/>
      <c r="X376" s="79"/>
      <c r="Y376" s="79"/>
      <c r="Z376" s="79"/>
      <c r="AA376" s="79"/>
      <c r="AB376" s="79"/>
      <c r="AC376" s="79"/>
    </row>
    <row r="377" spans="1:29" ht="12.75" customHeight="1">
      <c r="A377" s="79"/>
      <c r="B377" s="79"/>
      <c r="C377" s="79"/>
      <c r="D377" s="79"/>
      <c r="E377" s="79"/>
      <c r="F377" s="79"/>
      <c r="G377" s="79"/>
      <c r="H377" s="79"/>
      <c r="I377" s="125"/>
      <c r="J377" s="79"/>
      <c r="K377" s="79"/>
      <c r="L377" s="79"/>
      <c r="M377" s="79"/>
      <c r="N377" s="79"/>
      <c r="O377" s="79"/>
      <c r="P377" s="79"/>
      <c r="Q377" s="79"/>
      <c r="R377" s="79"/>
      <c r="S377" s="79"/>
      <c r="T377" s="79"/>
      <c r="U377" s="79"/>
      <c r="V377" s="79"/>
      <c r="W377" s="79"/>
      <c r="X377" s="79"/>
      <c r="Y377" s="79"/>
      <c r="Z377" s="79"/>
      <c r="AA377" s="79"/>
      <c r="AB377" s="79"/>
      <c r="AC377" s="79"/>
    </row>
    <row r="378" spans="1:29" ht="12.75" customHeight="1">
      <c r="A378" s="79"/>
      <c r="B378" s="79"/>
      <c r="C378" s="79"/>
      <c r="D378" s="79"/>
      <c r="E378" s="79"/>
      <c r="F378" s="79"/>
      <c r="G378" s="79"/>
      <c r="H378" s="79"/>
      <c r="I378" s="125"/>
      <c r="J378" s="79"/>
      <c r="K378" s="79"/>
      <c r="L378" s="79"/>
      <c r="M378" s="79"/>
      <c r="N378" s="79"/>
      <c r="O378" s="79"/>
      <c r="P378" s="79"/>
      <c r="Q378" s="79"/>
      <c r="R378" s="79"/>
      <c r="S378" s="79"/>
      <c r="T378" s="79"/>
      <c r="U378" s="79"/>
      <c r="V378" s="79"/>
      <c r="W378" s="79"/>
      <c r="X378" s="79"/>
      <c r="Y378" s="79"/>
      <c r="Z378" s="79"/>
      <c r="AA378" s="79"/>
      <c r="AB378" s="79"/>
      <c r="AC378" s="79"/>
    </row>
    <row r="379" spans="1:29" ht="12.75" customHeight="1">
      <c r="A379" s="79"/>
      <c r="B379" s="79"/>
      <c r="C379" s="79"/>
      <c r="D379" s="79"/>
      <c r="E379" s="79"/>
      <c r="F379" s="79"/>
      <c r="G379" s="79"/>
      <c r="H379" s="79"/>
      <c r="I379" s="125"/>
      <c r="J379" s="79"/>
      <c r="K379" s="79"/>
      <c r="L379" s="79"/>
      <c r="M379" s="79"/>
      <c r="N379" s="79"/>
      <c r="O379" s="79"/>
      <c r="P379" s="79"/>
      <c r="Q379" s="79"/>
      <c r="R379" s="79"/>
      <c r="S379" s="79"/>
      <c r="T379" s="79"/>
      <c r="U379" s="79"/>
      <c r="V379" s="79"/>
      <c r="W379" s="79"/>
      <c r="X379" s="79"/>
      <c r="Y379" s="79"/>
      <c r="Z379" s="79"/>
      <c r="AA379" s="79"/>
      <c r="AB379" s="79"/>
      <c r="AC379" s="79"/>
    </row>
    <row r="380" spans="1:29" ht="12.75" customHeight="1">
      <c r="A380" s="79"/>
      <c r="B380" s="79"/>
      <c r="C380" s="79"/>
      <c r="D380" s="79"/>
      <c r="E380" s="79"/>
      <c r="F380" s="79"/>
      <c r="G380" s="79"/>
      <c r="H380" s="79"/>
      <c r="I380" s="125"/>
      <c r="J380" s="79"/>
      <c r="K380" s="79"/>
      <c r="L380" s="79"/>
      <c r="M380" s="79"/>
      <c r="N380" s="79"/>
      <c r="O380" s="79"/>
      <c r="P380" s="79"/>
      <c r="Q380" s="79"/>
      <c r="R380" s="79"/>
      <c r="S380" s="79"/>
      <c r="T380" s="79"/>
      <c r="U380" s="79"/>
      <c r="V380" s="79"/>
      <c r="W380" s="79"/>
      <c r="X380" s="79"/>
      <c r="Y380" s="79"/>
      <c r="Z380" s="79"/>
      <c r="AA380" s="79"/>
      <c r="AB380" s="79"/>
      <c r="AC380" s="79"/>
    </row>
    <row r="381" spans="1:29" ht="12.75" customHeight="1">
      <c r="A381" s="79"/>
      <c r="B381" s="79"/>
      <c r="C381" s="79"/>
      <c r="D381" s="79"/>
      <c r="E381" s="79"/>
      <c r="F381" s="79"/>
      <c r="G381" s="79"/>
      <c r="H381" s="79"/>
      <c r="I381" s="125"/>
      <c r="J381" s="79"/>
      <c r="K381" s="79"/>
      <c r="L381" s="79"/>
      <c r="M381" s="79"/>
      <c r="N381" s="79"/>
      <c r="O381" s="79"/>
      <c r="P381" s="79"/>
      <c r="Q381" s="79"/>
      <c r="R381" s="79"/>
      <c r="S381" s="79"/>
      <c r="T381" s="79"/>
      <c r="U381" s="79"/>
      <c r="V381" s="79"/>
      <c r="W381" s="79"/>
      <c r="X381" s="79"/>
      <c r="Y381" s="79"/>
      <c r="Z381" s="79"/>
      <c r="AA381" s="79"/>
      <c r="AB381" s="79"/>
      <c r="AC381" s="79"/>
    </row>
    <row r="382" spans="1:29" ht="12.75" customHeight="1">
      <c r="A382" s="79"/>
      <c r="B382" s="79"/>
      <c r="C382" s="79"/>
      <c r="D382" s="79"/>
      <c r="E382" s="79"/>
      <c r="F382" s="79"/>
      <c r="G382" s="79"/>
      <c r="H382" s="79"/>
      <c r="I382" s="125"/>
      <c r="J382" s="79"/>
      <c r="K382" s="79"/>
      <c r="L382" s="79"/>
      <c r="M382" s="79"/>
      <c r="N382" s="79"/>
      <c r="O382" s="79"/>
      <c r="P382" s="79"/>
      <c r="Q382" s="79"/>
      <c r="R382" s="79"/>
      <c r="S382" s="79"/>
      <c r="T382" s="79"/>
      <c r="U382" s="79"/>
      <c r="V382" s="79"/>
      <c r="W382" s="79"/>
      <c r="X382" s="79"/>
      <c r="Y382" s="79"/>
      <c r="Z382" s="79"/>
      <c r="AA382" s="79"/>
      <c r="AB382" s="79"/>
      <c r="AC382" s="79"/>
    </row>
    <row r="383" spans="1:29" ht="12.75" customHeight="1">
      <c r="A383" s="79"/>
      <c r="B383" s="79"/>
      <c r="C383" s="79"/>
      <c r="D383" s="79"/>
      <c r="E383" s="79"/>
      <c r="F383" s="79"/>
      <c r="G383" s="79"/>
      <c r="H383" s="79"/>
      <c r="I383" s="125"/>
      <c r="J383" s="79"/>
      <c r="K383" s="79"/>
      <c r="L383" s="79"/>
      <c r="M383" s="79"/>
      <c r="N383" s="79"/>
      <c r="O383" s="79"/>
      <c r="P383" s="79"/>
      <c r="Q383" s="79"/>
      <c r="R383" s="79"/>
      <c r="S383" s="79"/>
      <c r="T383" s="79"/>
      <c r="U383" s="79"/>
      <c r="V383" s="79"/>
      <c r="W383" s="79"/>
      <c r="X383" s="79"/>
      <c r="Y383" s="79"/>
      <c r="Z383" s="79"/>
      <c r="AA383" s="79"/>
      <c r="AB383" s="79"/>
      <c r="AC383" s="79"/>
    </row>
    <row r="384" spans="1:29" ht="12.75" customHeight="1">
      <c r="A384" s="79"/>
      <c r="B384" s="79"/>
      <c r="C384" s="79"/>
      <c r="D384" s="79"/>
      <c r="E384" s="79"/>
      <c r="F384" s="79"/>
      <c r="G384" s="79"/>
      <c r="H384" s="79"/>
      <c r="I384" s="125"/>
      <c r="J384" s="79"/>
      <c r="K384" s="79"/>
      <c r="L384" s="79"/>
      <c r="M384" s="79"/>
      <c r="N384" s="79"/>
      <c r="O384" s="79"/>
      <c r="P384" s="79"/>
      <c r="Q384" s="79"/>
      <c r="R384" s="79"/>
      <c r="S384" s="79"/>
      <c r="T384" s="79"/>
      <c r="U384" s="79"/>
      <c r="V384" s="79"/>
      <c r="W384" s="79"/>
      <c r="X384" s="79"/>
      <c r="Y384" s="79"/>
      <c r="Z384" s="79"/>
      <c r="AA384" s="79"/>
      <c r="AB384" s="79"/>
      <c r="AC384" s="79"/>
    </row>
    <row r="385" spans="1:29" ht="12.75" customHeight="1">
      <c r="A385" s="79"/>
      <c r="B385" s="79"/>
      <c r="C385" s="79"/>
      <c r="D385" s="79"/>
      <c r="E385" s="79"/>
      <c r="F385" s="79"/>
      <c r="G385" s="79"/>
      <c r="H385" s="79"/>
      <c r="I385" s="125"/>
      <c r="J385" s="79"/>
      <c r="K385" s="79"/>
      <c r="L385" s="79"/>
      <c r="M385" s="79"/>
      <c r="N385" s="79"/>
      <c r="O385" s="79"/>
      <c r="P385" s="79"/>
      <c r="Q385" s="79"/>
      <c r="R385" s="79"/>
      <c r="S385" s="79"/>
      <c r="T385" s="79"/>
      <c r="U385" s="79"/>
      <c r="V385" s="79"/>
      <c r="W385" s="79"/>
      <c r="X385" s="79"/>
      <c r="Y385" s="79"/>
      <c r="Z385" s="79"/>
      <c r="AA385" s="79"/>
      <c r="AB385" s="79"/>
      <c r="AC385" s="79"/>
    </row>
    <row r="386" spans="1:29" ht="12.75" customHeight="1">
      <c r="A386" s="79"/>
      <c r="B386" s="79"/>
      <c r="C386" s="79"/>
      <c r="D386" s="79"/>
      <c r="E386" s="79"/>
      <c r="F386" s="79"/>
      <c r="G386" s="79"/>
      <c r="H386" s="79"/>
      <c r="I386" s="125"/>
      <c r="J386" s="79"/>
      <c r="K386" s="79"/>
      <c r="L386" s="79"/>
      <c r="M386" s="79"/>
      <c r="N386" s="79"/>
      <c r="O386" s="79"/>
      <c r="P386" s="79"/>
      <c r="Q386" s="79"/>
      <c r="R386" s="79"/>
      <c r="S386" s="79"/>
      <c r="T386" s="79"/>
      <c r="U386" s="79"/>
      <c r="V386" s="79"/>
      <c r="W386" s="79"/>
      <c r="X386" s="79"/>
      <c r="Y386" s="79"/>
      <c r="Z386" s="79"/>
      <c r="AA386" s="79"/>
      <c r="AB386" s="79"/>
      <c r="AC386" s="79"/>
    </row>
    <row r="387" spans="1:29" ht="12.75" customHeight="1">
      <c r="A387" s="79"/>
      <c r="B387" s="79"/>
      <c r="C387" s="79"/>
      <c r="D387" s="79"/>
      <c r="E387" s="79"/>
      <c r="F387" s="79"/>
      <c r="G387" s="79"/>
      <c r="H387" s="79"/>
      <c r="I387" s="125"/>
      <c r="J387" s="79"/>
      <c r="K387" s="79"/>
      <c r="L387" s="79"/>
      <c r="M387" s="79"/>
      <c r="N387" s="79"/>
      <c r="O387" s="79"/>
      <c r="P387" s="79"/>
      <c r="Q387" s="79"/>
      <c r="R387" s="79"/>
      <c r="S387" s="79"/>
      <c r="T387" s="79"/>
      <c r="U387" s="79"/>
      <c r="V387" s="79"/>
      <c r="W387" s="79"/>
      <c r="X387" s="79"/>
      <c r="Y387" s="79"/>
      <c r="Z387" s="79"/>
      <c r="AA387" s="79"/>
      <c r="AB387" s="79"/>
      <c r="AC387" s="79"/>
    </row>
    <row r="388" spans="1:29" ht="12.75" customHeight="1">
      <c r="A388" s="79"/>
      <c r="B388" s="79"/>
      <c r="C388" s="79"/>
      <c r="D388" s="79"/>
      <c r="E388" s="79"/>
      <c r="F388" s="79"/>
      <c r="G388" s="79"/>
      <c r="H388" s="79"/>
      <c r="I388" s="125"/>
      <c r="J388" s="79"/>
      <c r="K388" s="79"/>
      <c r="L388" s="79"/>
      <c r="M388" s="79"/>
      <c r="N388" s="79"/>
      <c r="O388" s="79"/>
      <c r="P388" s="79"/>
      <c r="Q388" s="79"/>
      <c r="R388" s="79"/>
      <c r="S388" s="79"/>
      <c r="T388" s="79"/>
      <c r="U388" s="79"/>
      <c r="V388" s="79"/>
      <c r="W388" s="79"/>
      <c r="X388" s="79"/>
      <c r="Y388" s="79"/>
      <c r="Z388" s="79"/>
      <c r="AA388" s="79"/>
      <c r="AB388" s="79"/>
      <c r="AC388" s="79"/>
    </row>
    <row r="389" spans="1:29" ht="12.75" customHeight="1">
      <c r="A389" s="79"/>
      <c r="B389" s="79"/>
      <c r="C389" s="79"/>
      <c r="D389" s="79"/>
      <c r="E389" s="79"/>
      <c r="F389" s="79"/>
      <c r="G389" s="79"/>
      <c r="H389" s="79"/>
      <c r="I389" s="125"/>
      <c r="J389" s="79"/>
      <c r="K389" s="79"/>
      <c r="L389" s="79"/>
      <c r="M389" s="79"/>
      <c r="N389" s="79"/>
      <c r="O389" s="79"/>
      <c r="P389" s="79"/>
      <c r="Q389" s="79"/>
      <c r="R389" s="79"/>
      <c r="S389" s="79"/>
      <c r="T389" s="79"/>
      <c r="U389" s="79"/>
      <c r="V389" s="79"/>
      <c r="W389" s="79"/>
      <c r="X389" s="79"/>
      <c r="Y389" s="79"/>
      <c r="Z389" s="79"/>
      <c r="AA389" s="79"/>
      <c r="AB389" s="79"/>
      <c r="AC389" s="79"/>
    </row>
    <row r="390" spans="1:29" ht="12.75" customHeight="1">
      <c r="A390" s="79"/>
      <c r="B390" s="79"/>
      <c r="C390" s="79"/>
      <c r="D390" s="79"/>
      <c r="E390" s="79"/>
      <c r="F390" s="79"/>
      <c r="G390" s="79"/>
      <c r="H390" s="79"/>
      <c r="I390" s="125"/>
      <c r="J390" s="79"/>
      <c r="K390" s="79"/>
      <c r="L390" s="79"/>
      <c r="M390" s="79"/>
      <c r="N390" s="79"/>
      <c r="O390" s="79"/>
      <c r="P390" s="79"/>
      <c r="Q390" s="79"/>
      <c r="R390" s="79"/>
      <c r="S390" s="79"/>
      <c r="T390" s="79"/>
      <c r="U390" s="79"/>
      <c r="V390" s="79"/>
      <c r="W390" s="79"/>
      <c r="X390" s="79"/>
      <c r="Y390" s="79"/>
      <c r="Z390" s="79"/>
      <c r="AA390" s="79"/>
      <c r="AB390" s="79"/>
      <c r="AC390" s="79"/>
    </row>
    <row r="391" spans="1:29" ht="12.75" customHeight="1">
      <c r="A391" s="79"/>
      <c r="B391" s="79"/>
      <c r="C391" s="79"/>
      <c r="D391" s="79"/>
      <c r="E391" s="79"/>
      <c r="F391" s="79"/>
      <c r="G391" s="79"/>
      <c r="H391" s="79"/>
      <c r="I391" s="125"/>
      <c r="J391" s="79"/>
      <c r="K391" s="79"/>
      <c r="L391" s="79"/>
      <c r="M391" s="79"/>
      <c r="N391" s="79"/>
      <c r="O391" s="79"/>
      <c r="P391" s="79"/>
      <c r="Q391" s="79"/>
      <c r="R391" s="79"/>
      <c r="S391" s="79"/>
      <c r="T391" s="79"/>
      <c r="U391" s="79"/>
      <c r="V391" s="79"/>
      <c r="W391" s="79"/>
      <c r="X391" s="79"/>
      <c r="Y391" s="79"/>
      <c r="Z391" s="79"/>
      <c r="AA391" s="79"/>
      <c r="AB391" s="79"/>
      <c r="AC391" s="79"/>
    </row>
    <row r="392" spans="1:29" ht="12.75" customHeight="1">
      <c r="A392" s="79"/>
      <c r="B392" s="79"/>
      <c r="C392" s="79"/>
      <c r="D392" s="79"/>
      <c r="E392" s="79"/>
      <c r="F392" s="79"/>
      <c r="G392" s="79"/>
      <c r="H392" s="79"/>
      <c r="I392" s="125"/>
      <c r="J392" s="79"/>
      <c r="K392" s="79"/>
      <c r="L392" s="79"/>
      <c r="M392" s="79"/>
      <c r="N392" s="79"/>
      <c r="O392" s="79"/>
      <c r="P392" s="79"/>
      <c r="Q392" s="79"/>
      <c r="R392" s="79"/>
      <c r="S392" s="79"/>
      <c r="T392" s="79"/>
      <c r="U392" s="79"/>
      <c r="V392" s="79"/>
      <c r="W392" s="79"/>
      <c r="X392" s="79"/>
      <c r="Y392" s="79"/>
      <c r="Z392" s="79"/>
      <c r="AA392" s="79"/>
      <c r="AB392" s="79"/>
      <c r="AC392" s="79"/>
    </row>
    <row r="393" spans="1:29" ht="12.75" customHeight="1">
      <c r="A393" s="79"/>
      <c r="B393" s="79"/>
      <c r="C393" s="79"/>
      <c r="D393" s="79"/>
      <c r="E393" s="79"/>
      <c r="F393" s="79"/>
      <c r="G393" s="79"/>
      <c r="H393" s="79"/>
      <c r="I393" s="125"/>
      <c r="J393" s="79"/>
      <c r="K393" s="79"/>
      <c r="L393" s="79"/>
      <c r="M393" s="79"/>
      <c r="N393" s="79"/>
      <c r="O393" s="79"/>
      <c r="P393" s="79"/>
      <c r="Q393" s="79"/>
      <c r="R393" s="79"/>
      <c r="S393" s="79"/>
      <c r="T393" s="79"/>
      <c r="U393" s="79"/>
      <c r="V393" s="79"/>
      <c r="W393" s="79"/>
      <c r="X393" s="79"/>
      <c r="Y393" s="79"/>
      <c r="Z393" s="79"/>
      <c r="AA393" s="79"/>
      <c r="AB393" s="79"/>
      <c r="AC393" s="79"/>
    </row>
    <row r="394" spans="1:29" ht="12.75" customHeight="1">
      <c r="A394" s="79"/>
      <c r="B394" s="79"/>
      <c r="C394" s="79"/>
      <c r="D394" s="79"/>
      <c r="E394" s="79"/>
      <c r="F394" s="79"/>
      <c r="G394" s="79"/>
      <c r="H394" s="79"/>
      <c r="I394" s="125"/>
      <c r="J394" s="79"/>
      <c r="K394" s="79"/>
      <c r="L394" s="79"/>
      <c r="M394" s="79"/>
      <c r="N394" s="79"/>
      <c r="O394" s="79"/>
      <c r="P394" s="79"/>
      <c r="Q394" s="79"/>
      <c r="R394" s="79"/>
      <c r="S394" s="79"/>
      <c r="T394" s="79"/>
      <c r="U394" s="79"/>
      <c r="V394" s="79"/>
      <c r="W394" s="79"/>
      <c r="X394" s="79"/>
      <c r="Y394" s="79"/>
      <c r="Z394" s="79"/>
      <c r="AA394" s="79"/>
      <c r="AB394" s="79"/>
      <c r="AC394" s="79"/>
    </row>
    <row r="395" spans="1:29" ht="12.75" customHeight="1">
      <c r="A395" s="79"/>
      <c r="B395" s="79"/>
      <c r="C395" s="79"/>
      <c r="D395" s="79"/>
      <c r="E395" s="79"/>
      <c r="F395" s="79"/>
      <c r="G395" s="79"/>
      <c r="H395" s="79"/>
      <c r="I395" s="125"/>
      <c r="J395" s="79"/>
      <c r="K395" s="79"/>
      <c r="L395" s="79"/>
      <c r="M395" s="79"/>
      <c r="N395" s="79"/>
      <c r="O395" s="79"/>
      <c r="P395" s="79"/>
      <c r="Q395" s="79"/>
      <c r="R395" s="79"/>
      <c r="S395" s="79"/>
      <c r="T395" s="79"/>
      <c r="U395" s="79"/>
      <c r="V395" s="79"/>
      <c r="W395" s="79"/>
      <c r="X395" s="79"/>
      <c r="Y395" s="79"/>
      <c r="Z395" s="79"/>
      <c r="AA395" s="79"/>
      <c r="AB395" s="79"/>
      <c r="AC395" s="79"/>
    </row>
    <row r="396" spans="1:29" ht="12.75" customHeight="1">
      <c r="A396" s="79"/>
      <c r="B396" s="79"/>
      <c r="C396" s="79"/>
      <c r="D396" s="79"/>
      <c r="E396" s="79"/>
      <c r="F396" s="79"/>
      <c r="G396" s="79"/>
      <c r="H396" s="79"/>
      <c r="I396" s="125"/>
      <c r="J396" s="79"/>
      <c r="K396" s="79"/>
      <c r="L396" s="79"/>
      <c r="M396" s="79"/>
      <c r="N396" s="79"/>
      <c r="O396" s="79"/>
      <c r="P396" s="79"/>
      <c r="Q396" s="79"/>
      <c r="R396" s="79"/>
      <c r="S396" s="79"/>
      <c r="T396" s="79"/>
      <c r="U396" s="79"/>
      <c r="V396" s="79"/>
      <c r="W396" s="79"/>
      <c r="X396" s="79"/>
      <c r="Y396" s="79"/>
      <c r="Z396" s="79"/>
      <c r="AA396" s="79"/>
      <c r="AB396" s="79"/>
      <c r="AC396" s="79"/>
    </row>
    <row r="397" spans="1:29" ht="12.75" customHeight="1">
      <c r="A397" s="79"/>
      <c r="B397" s="79"/>
      <c r="C397" s="79"/>
      <c r="D397" s="79"/>
      <c r="E397" s="79"/>
      <c r="F397" s="79"/>
      <c r="G397" s="79"/>
      <c r="H397" s="79"/>
      <c r="I397" s="125"/>
      <c r="J397" s="79"/>
      <c r="K397" s="79"/>
      <c r="L397" s="79"/>
      <c r="M397" s="79"/>
      <c r="N397" s="79"/>
      <c r="O397" s="79"/>
      <c r="P397" s="79"/>
      <c r="Q397" s="79"/>
      <c r="R397" s="79"/>
      <c r="S397" s="79"/>
      <c r="T397" s="79"/>
      <c r="U397" s="79"/>
      <c r="V397" s="79"/>
      <c r="W397" s="79"/>
      <c r="X397" s="79"/>
      <c r="Y397" s="79"/>
      <c r="Z397" s="79"/>
      <c r="AA397" s="79"/>
      <c r="AB397" s="79"/>
      <c r="AC397" s="79"/>
    </row>
    <row r="398" spans="1:29" ht="12.75" customHeight="1">
      <c r="A398" s="79"/>
      <c r="B398" s="79"/>
      <c r="C398" s="79"/>
      <c r="D398" s="79"/>
      <c r="E398" s="79"/>
      <c r="F398" s="79"/>
      <c r="G398" s="79"/>
      <c r="H398" s="79"/>
      <c r="I398" s="125"/>
      <c r="J398" s="79"/>
      <c r="K398" s="79"/>
      <c r="L398" s="79"/>
      <c r="M398" s="79"/>
      <c r="N398" s="79"/>
      <c r="O398" s="79"/>
      <c r="P398" s="79"/>
      <c r="Q398" s="79"/>
      <c r="R398" s="79"/>
      <c r="S398" s="79"/>
      <c r="T398" s="79"/>
      <c r="U398" s="79"/>
      <c r="V398" s="79"/>
      <c r="W398" s="79"/>
      <c r="X398" s="79"/>
      <c r="Y398" s="79"/>
      <c r="Z398" s="79"/>
      <c r="AA398" s="79"/>
      <c r="AB398" s="79"/>
      <c r="AC398" s="79"/>
    </row>
    <row r="399" spans="1:29" ht="12.75" customHeight="1">
      <c r="A399" s="79"/>
      <c r="B399" s="79"/>
      <c r="C399" s="79"/>
      <c r="D399" s="79"/>
      <c r="E399" s="79"/>
      <c r="F399" s="79"/>
      <c r="G399" s="79"/>
      <c r="H399" s="79"/>
      <c r="I399" s="125"/>
      <c r="J399" s="79"/>
      <c r="K399" s="79"/>
      <c r="L399" s="79"/>
      <c r="M399" s="79"/>
      <c r="N399" s="79"/>
      <c r="O399" s="79"/>
      <c r="P399" s="79"/>
      <c r="Q399" s="79"/>
      <c r="R399" s="79"/>
      <c r="S399" s="79"/>
      <c r="T399" s="79"/>
      <c r="U399" s="79"/>
      <c r="V399" s="79"/>
      <c r="W399" s="79"/>
      <c r="X399" s="79"/>
      <c r="Y399" s="79"/>
      <c r="Z399" s="79"/>
      <c r="AA399" s="79"/>
      <c r="AB399" s="79"/>
      <c r="AC399" s="79"/>
    </row>
    <row r="400" spans="1:29" ht="12.75" customHeight="1">
      <c r="A400" s="79"/>
      <c r="B400" s="79"/>
      <c r="C400" s="79"/>
      <c r="D400" s="79"/>
      <c r="E400" s="79"/>
      <c r="F400" s="79"/>
      <c r="G400" s="79"/>
      <c r="H400" s="79"/>
      <c r="I400" s="125"/>
      <c r="J400" s="79"/>
      <c r="K400" s="79"/>
      <c r="L400" s="79"/>
      <c r="M400" s="79"/>
      <c r="N400" s="79"/>
      <c r="O400" s="79"/>
      <c r="P400" s="79"/>
      <c r="Q400" s="79"/>
      <c r="R400" s="79"/>
      <c r="S400" s="79"/>
      <c r="T400" s="79"/>
      <c r="U400" s="79"/>
      <c r="V400" s="79"/>
      <c r="W400" s="79"/>
      <c r="X400" s="79"/>
      <c r="Y400" s="79"/>
      <c r="Z400" s="79"/>
      <c r="AA400" s="79"/>
      <c r="AB400" s="79"/>
      <c r="AC400" s="79"/>
    </row>
    <row r="401" spans="1:29" ht="12.75" customHeight="1">
      <c r="A401" s="79"/>
      <c r="B401" s="79"/>
      <c r="C401" s="79"/>
      <c r="D401" s="79"/>
      <c r="E401" s="79"/>
      <c r="F401" s="79"/>
      <c r="G401" s="79"/>
      <c r="H401" s="79"/>
      <c r="I401" s="125"/>
      <c r="J401" s="79"/>
      <c r="K401" s="79"/>
      <c r="L401" s="79"/>
      <c r="M401" s="79"/>
      <c r="N401" s="79"/>
      <c r="O401" s="79"/>
      <c r="P401" s="79"/>
      <c r="Q401" s="79"/>
      <c r="R401" s="79"/>
      <c r="S401" s="79"/>
      <c r="T401" s="79"/>
      <c r="U401" s="79"/>
      <c r="V401" s="79"/>
      <c r="W401" s="79"/>
      <c r="X401" s="79"/>
      <c r="Y401" s="79"/>
      <c r="Z401" s="79"/>
      <c r="AA401" s="79"/>
      <c r="AB401" s="79"/>
      <c r="AC401" s="79"/>
    </row>
    <row r="402" spans="1:29" ht="12.75" customHeight="1">
      <c r="A402" s="79"/>
      <c r="B402" s="79"/>
      <c r="C402" s="79"/>
      <c r="D402" s="79"/>
      <c r="E402" s="79"/>
      <c r="F402" s="79"/>
      <c r="G402" s="79"/>
      <c r="H402" s="79"/>
      <c r="I402" s="125"/>
      <c r="J402" s="79"/>
      <c r="K402" s="79"/>
      <c r="L402" s="79"/>
      <c r="M402" s="79"/>
      <c r="N402" s="79"/>
      <c r="O402" s="79"/>
      <c r="P402" s="79"/>
      <c r="Q402" s="79"/>
      <c r="R402" s="79"/>
      <c r="S402" s="79"/>
      <c r="T402" s="79"/>
      <c r="U402" s="79"/>
      <c r="V402" s="79"/>
      <c r="W402" s="79"/>
      <c r="X402" s="79"/>
      <c r="Y402" s="79"/>
      <c r="Z402" s="79"/>
      <c r="AA402" s="79"/>
      <c r="AB402" s="79"/>
      <c r="AC402" s="79"/>
    </row>
    <row r="403" spans="1:29" ht="12.75" customHeight="1">
      <c r="A403" s="79"/>
      <c r="B403" s="79"/>
      <c r="C403" s="79"/>
      <c r="D403" s="79"/>
      <c r="E403" s="79"/>
      <c r="F403" s="79"/>
      <c r="G403" s="79"/>
      <c r="H403" s="79"/>
      <c r="I403" s="125"/>
      <c r="J403" s="79"/>
      <c r="K403" s="79"/>
      <c r="L403" s="79"/>
      <c r="M403" s="79"/>
      <c r="N403" s="79"/>
      <c r="O403" s="79"/>
      <c r="P403" s="79"/>
      <c r="Q403" s="79"/>
      <c r="R403" s="79"/>
      <c r="S403" s="79"/>
      <c r="T403" s="79"/>
      <c r="U403" s="79"/>
      <c r="V403" s="79"/>
      <c r="W403" s="79"/>
      <c r="X403" s="79"/>
      <c r="Y403" s="79"/>
      <c r="Z403" s="79"/>
      <c r="AA403" s="79"/>
      <c r="AB403" s="79"/>
      <c r="AC403" s="79"/>
    </row>
    <row r="404" spans="1:29" ht="12.75" customHeight="1">
      <c r="A404" s="79"/>
      <c r="B404" s="79"/>
      <c r="C404" s="79"/>
      <c r="D404" s="79"/>
      <c r="E404" s="79"/>
      <c r="F404" s="79"/>
      <c r="G404" s="79"/>
      <c r="H404" s="79"/>
      <c r="I404" s="125"/>
      <c r="J404" s="79"/>
      <c r="K404" s="79"/>
      <c r="L404" s="79"/>
      <c r="M404" s="79"/>
      <c r="N404" s="79"/>
      <c r="O404" s="79"/>
      <c r="P404" s="79"/>
      <c r="Q404" s="79"/>
      <c r="R404" s="79"/>
      <c r="S404" s="79"/>
      <c r="T404" s="79"/>
      <c r="U404" s="79"/>
      <c r="V404" s="79"/>
      <c r="W404" s="79"/>
      <c r="X404" s="79"/>
      <c r="Y404" s="79"/>
      <c r="Z404" s="79"/>
      <c r="AA404" s="79"/>
      <c r="AB404" s="79"/>
      <c r="AC404" s="79"/>
    </row>
    <row r="405" spans="1:29" ht="12.75" customHeight="1">
      <c r="A405" s="79"/>
      <c r="B405" s="79"/>
      <c r="C405" s="79"/>
      <c r="D405" s="79"/>
      <c r="E405" s="79"/>
      <c r="F405" s="79"/>
      <c r="G405" s="79"/>
      <c r="H405" s="79"/>
      <c r="I405" s="125"/>
      <c r="J405" s="79"/>
      <c r="K405" s="79"/>
      <c r="L405" s="79"/>
      <c r="M405" s="79"/>
      <c r="N405" s="79"/>
      <c r="O405" s="79"/>
      <c r="P405" s="79"/>
      <c r="Q405" s="79"/>
      <c r="R405" s="79"/>
      <c r="S405" s="79"/>
      <c r="T405" s="79"/>
      <c r="U405" s="79"/>
      <c r="V405" s="79"/>
      <c r="W405" s="79"/>
      <c r="X405" s="79"/>
      <c r="Y405" s="79"/>
      <c r="Z405" s="79"/>
      <c r="AA405" s="79"/>
      <c r="AB405" s="79"/>
      <c r="AC405" s="79"/>
    </row>
    <row r="406" spans="1:29" ht="12.75" customHeight="1">
      <c r="A406" s="79"/>
      <c r="B406" s="79"/>
      <c r="C406" s="79"/>
      <c r="D406" s="79"/>
      <c r="E406" s="79"/>
      <c r="F406" s="79"/>
      <c r="G406" s="79"/>
      <c r="H406" s="79"/>
      <c r="I406" s="125"/>
      <c r="J406" s="79"/>
      <c r="K406" s="79"/>
      <c r="L406" s="79"/>
      <c r="M406" s="79"/>
      <c r="N406" s="79"/>
      <c r="O406" s="79"/>
      <c r="P406" s="79"/>
      <c r="Q406" s="79"/>
      <c r="R406" s="79"/>
      <c r="S406" s="79"/>
      <c r="T406" s="79"/>
      <c r="U406" s="79"/>
      <c r="V406" s="79"/>
      <c r="W406" s="79"/>
      <c r="X406" s="79"/>
      <c r="Y406" s="79"/>
      <c r="Z406" s="79"/>
      <c r="AA406" s="79"/>
      <c r="AB406" s="79"/>
      <c r="AC406" s="79"/>
    </row>
    <row r="407" spans="1:29" ht="12.75" customHeight="1">
      <c r="A407" s="79"/>
      <c r="B407" s="79"/>
      <c r="C407" s="79"/>
      <c r="D407" s="79"/>
      <c r="E407" s="79"/>
      <c r="F407" s="79"/>
      <c r="G407" s="79"/>
      <c r="H407" s="79"/>
      <c r="I407" s="125"/>
      <c r="J407" s="79"/>
      <c r="K407" s="79"/>
      <c r="L407" s="79"/>
      <c r="M407" s="79"/>
      <c r="N407" s="79"/>
      <c r="O407" s="79"/>
      <c r="P407" s="79"/>
      <c r="Q407" s="79"/>
      <c r="R407" s="79"/>
      <c r="S407" s="79"/>
      <c r="T407" s="79"/>
      <c r="U407" s="79"/>
      <c r="V407" s="79"/>
      <c r="W407" s="79"/>
      <c r="X407" s="79"/>
      <c r="Y407" s="79"/>
      <c r="Z407" s="79"/>
      <c r="AA407" s="79"/>
      <c r="AB407" s="79"/>
      <c r="AC407" s="79"/>
    </row>
    <row r="408" spans="1:29" ht="12.75" customHeight="1">
      <c r="A408" s="79"/>
      <c r="B408" s="79"/>
      <c r="C408" s="79"/>
      <c r="D408" s="79"/>
      <c r="E408" s="79"/>
      <c r="F408" s="79"/>
      <c r="G408" s="79"/>
      <c r="H408" s="79"/>
      <c r="I408" s="125"/>
      <c r="J408" s="79"/>
      <c r="K408" s="79"/>
      <c r="L408" s="79"/>
      <c r="M408" s="79"/>
      <c r="N408" s="79"/>
      <c r="O408" s="79"/>
      <c r="P408" s="79"/>
      <c r="Q408" s="79"/>
      <c r="R408" s="79"/>
      <c r="S408" s="79"/>
      <c r="T408" s="79"/>
      <c r="U408" s="79"/>
      <c r="V408" s="79"/>
      <c r="W408" s="79"/>
      <c r="X408" s="79"/>
      <c r="Y408" s="79"/>
      <c r="Z408" s="79"/>
      <c r="AA408" s="79"/>
      <c r="AB408" s="79"/>
      <c r="AC408" s="79"/>
    </row>
    <row r="409" spans="1:29" ht="12.75" customHeight="1">
      <c r="A409" s="79"/>
      <c r="B409" s="79"/>
      <c r="C409" s="79"/>
      <c r="D409" s="79"/>
      <c r="E409" s="79"/>
      <c r="F409" s="79"/>
      <c r="G409" s="79"/>
      <c r="H409" s="79"/>
      <c r="I409" s="125"/>
      <c r="J409" s="79"/>
      <c r="K409" s="79"/>
      <c r="L409" s="79"/>
      <c r="M409" s="79"/>
      <c r="N409" s="79"/>
      <c r="O409" s="79"/>
      <c r="P409" s="79"/>
      <c r="Q409" s="79"/>
      <c r="R409" s="79"/>
      <c r="S409" s="79"/>
      <c r="T409" s="79"/>
      <c r="U409" s="79"/>
      <c r="V409" s="79"/>
      <c r="W409" s="79"/>
      <c r="X409" s="79"/>
      <c r="Y409" s="79"/>
      <c r="Z409" s="79"/>
      <c r="AA409" s="79"/>
      <c r="AB409" s="79"/>
      <c r="AC409" s="79"/>
    </row>
    <row r="410" spans="1:29" ht="12.75" customHeight="1">
      <c r="A410" s="79"/>
      <c r="B410" s="79"/>
      <c r="C410" s="79"/>
      <c r="D410" s="79"/>
      <c r="E410" s="79"/>
      <c r="F410" s="79"/>
      <c r="G410" s="79"/>
      <c r="H410" s="79"/>
      <c r="I410" s="125"/>
      <c r="J410" s="79"/>
      <c r="K410" s="79"/>
      <c r="L410" s="79"/>
      <c r="M410" s="79"/>
      <c r="N410" s="79"/>
      <c r="O410" s="79"/>
      <c r="P410" s="79"/>
      <c r="Q410" s="79"/>
      <c r="R410" s="79"/>
      <c r="S410" s="79"/>
      <c r="T410" s="79"/>
      <c r="U410" s="79"/>
      <c r="V410" s="79"/>
      <c r="W410" s="79"/>
      <c r="X410" s="79"/>
      <c r="Y410" s="79"/>
      <c r="Z410" s="79"/>
      <c r="AA410" s="79"/>
      <c r="AB410" s="79"/>
      <c r="AC410" s="79"/>
    </row>
    <row r="411" spans="1:29" ht="12.75" customHeight="1">
      <c r="A411" s="79"/>
      <c r="B411" s="79"/>
      <c r="C411" s="79"/>
      <c r="D411" s="79"/>
      <c r="E411" s="79"/>
      <c r="F411" s="79"/>
      <c r="G411" s="79"/>
      <c r="H411" s="79"/>
      <c r="I411" s="125"/>
      <c r="J411" s="79"/>
      <c r="K411" s="79"/>
      <c r="L411" s="79"/>
      <c r="M411" s="79"/>
      <c r="N411" s="79"/>
      <c r="O411" s="79"/>
      <c r="P411" s="79"/>
      <c r="Q411" s="79"/>
      <c r="R411" s="79"/>
      <c r="S411" s="79"/>
      <c r="T411" s="79"/>
      <c r="U411" s="79"/>
      <c r="V411" s="79"/>
      <c r="W411" s="79"/>
      <c r="X411" s="79"/>
      <c r="Y411" s="79"/>
      <c r="Z411" s="79"/>
      <c r="AA411" s="79"/>
      <c r="AB411" s="79"/>
      <c r="AC411" s="79"/>
    </row>
    <row r="412" spans="1:29" ht="12.75" customHeight="1">
      <c r="A412" s="79"/>
      <c r="B412" s="79"/>
      <c r="C412" s="79"/>
      <c r="D412" s="79"/>
      <c r="E412" s="79"/>
      <c r="F412" s="79"/>
      <c r="G412" s="79"/>
      <c r="H412" s="79"/>
      <c r="I412" s="125"/>
      <c r="J412" s="79"/>
      <c r="K412" s="79"/>
      <c r="L412" s="79"/>
      <c r="M412" s="79"/>
      <c r="N412" s="79"/>
      <c r="O412" s="79"/>
      <c r="P412" s="79"/>
      <c r="Q412" s="79"/>
      <c r="R412" s="79"/>
      <c r="S412" s="79"/>
      <c r="T412" s="79"/>
      <c r="U412" s="79"/>
      <c r="V412" s="79"/>
      <c r="W412" s="79"/>
      <c r="X412" s="79"/>
      <c r="Y412" s="79"/>
      <c r="Z412" s="79"/>
      <c r="AA412" s="79"/>
      <c r="AB412" s="79"/>
      <c r="AC412" s="79"/>
    </row>
    <row r="413" spans="1:29" ht="12.75" customHeight="1">
      <c r="A413" s="79"/>
      <c r="B413" s="79"/>
      <c r="C413" s="79"/>
      <c r="D413" s="79"/>
      <c r="E413" s="79"/>
      <c r="F413" s="79"/>
      <c r="G413" s="79"/>
      <c r="H413" s="79"/>
      <c r="I413" s="125"/>
      <c r="J413" s="79"/>
      <c r="K413" s="79"/>
      <c r="L413" s="79"/>
      <c r="M413" s="79"/>
      <c r="N413" s="79"/>
      <c r="O413" s="79"/>
      <c r="P413" s="79"/>
      <c r="Q413" s="79"/>
      <c r="R413" s="79"/>
      <c r="S413" s="79"/>
      <c r="T413" s="79"/>
      <c r="U413" s="79"/>
      <c r="V413" s="79"/>
      <c r="W413" s="79"/>
      <c r="X413" s="79"/>
      <c r="Y413" s="79"/>
      <c r="Z413" s="79"/>
      <c r="AA413" s="79"/>
      <c r="AB413" s="79"/>
      <c r="AC413" s="79"/>
    </row>
    <row r="414" spans="1:29" ht="12.75" customHeight="1">
      <c r="A414" s="79"/>
      <c r="B414" s="79"/>
      <c r="C414" s="79"/>
      <c r="D414" s="79"/>
      <c r="E414" s="79"/>
      <c r="F414" s="79"/>
      <c r="G414" s="79"/>
      <c r="H414" s="79"/>
      <c r="I414" s="125"/>
      <c r="J414" s="79"/>
      <c r="K414" s="79"/>
      <c r="L414" s="79"/>
      <c r="M414" s="79"/>
      <c r="N414" s="79"/>
      <c r="O414" s="79"/>
      <c r="P414" s="79"/>
      <c r="Q414" s="79"/>
      <c r="R414" s="79"/>
      <c r="S414" s="79"/>
      <c r="T414" s="79"/>
      <c r="U414" s="79"/>
      <c r="V414" s="79"/>
      <c r="W414" s="79"/>
      <c r="X414" s="79"/>
      <c r="Y414" s="79"/>
      <c r="Z414" s="79"/>
      <c r="AA414" s="79"/>
      <c r="AB414" s="79"/>
      <c r="AC414" s="79"/>
    </row>
    <row r="415" spans="1:29" ht="12.75" customHeight="1">
      <c r="A415" s="79"/>
      <c r="B415" s="79"/>
      <c r="C415" s="79"/>
      <c r="D415" s="79"/>
      <c r="E415" s="79"/>
      <c r="F415" s="79"/>
      <c r="G415" s="79"/>
      <c r="H415" s="79"/>
      <c r="I415" s="125"/>
      <c r="J415" s="79"/>
      <c r="K415" s="79"/>
      <c r="L415" s="79"/>
      <c r="M415" s="79"/>
      <c r="N415" s="79"/>
      <c r="O415" s="79"/>
      <c r="P415" s="79"/>
      <c r="Q415" s="79"/>
      <c r="R415" s="79"/>
      <c r="S415" s="79"/>
      <c r="T415" s="79"/>
      <c r="U415" s="79"/>
      <c r="V415" s="79"/>
      <c r="W415" s="79"/>
      <c r="X415" s="79"/>
      <c r="Y415" s="79"/>
      <c r="Z415" s="79"/>
      <c r="AA415" s="79"/>
      <c r="AB415" s="79"/>
      <c r="AC415" s="79"/>
    </row>
    <row r="416" spans="1:29" ht="12.75" customHeight="1">
      <c r="A416" s="79"/>
      <c r="B416" s="79"/>
      <c r="C416" s="79"/>
      <c r="D416" s="79"/>
      <c r="E416" s="79"/>
      <c r="F416" s="79"/>
      <c r="G416" s="79"/>
      <c r="H416" s="79"/>
      <c r="I416" s="125"/>
      <c r="J416" s="79"/>
      <c r="K416" s="79"/>
      <c r="L416" s="79"/>
      <c r="M416" s="79"/>
      <c r="N416" s="79"/>
      <c r="O416" s="79"/>
      <c r="P416" s="79"/>
      <c r="Q416" s="79"/>
      <c r="R416" s="79"/>
      <c r="S416" s="79"/>
      <c r="T416" s="79"/>
      <c r="U416" s="79"/>
      <c r="V416" s="79"/>
      <c r="W416" s="79"/>
      <c r="X416" s="79"/>
      <c r="Y416" s="79"/>
      <c r="Z416" s="79"/>
      <c r="AA416" s="79"/>
      <c r="AB416" s="79"/>
      <c r="AC416" s="79"/>
    </row>
    <row r="417" spans="1:29" ht="12.75" customHeight="1">
      <c r="A417" s="79"/>
      <c r="B417" s="79"/>
      <c r="C417" s="79"/>
      <c r="D417" s="79"/>
      <c r="E417" s="79"/>
      <c r="F417" s="79"/>
      <c r="G417" s="79"/>
      <c r="H417" s="79"/>
      <c r="I417" s="125"/>
      <c r="J417" s="79"/>
      <c r="K417" s="79"/>
      <c r="L417" s="79"/>
      <c r="M417" s="79"/>
      <c r="N417" s="79"/>
      <c r="O417" s="79"/>
      <c r="P417" s="79"/>
      <c r="Q417" s="79"/>
      <c r="R417" s="79"/>
      <c r="S417" s="79"/>
      <c r="T417" s="79"/>
      <c r="U417" s="79"/>
      <c r="V417" s="79"/>
      <c r="W417" s="79"/>
      <c r="X417" s="79"/>
      <c r="Y417" s="79"/>
      <c r="Z417" s="79"/>
      <c r="AA417" s="79"/>
      <c r="AB417" s="79"/>
      <c r="AC417" s="79"/>
    </row>
    <row r="418" spans="1:29" ht="12.75" customHeight="1">
      <c r="A418" s="79"/>
      <c r="B418" s="79"/>
      <c r="C418" s="79"/>
      <c r="D418" s="79"/>
      <c r="E418" s="79"/>
      <c r="F418" s="79"/>
      <c r="G418" s="79"/>
      <c r="H418" s="79"/>
      <c r="I418" s="125"/>
      <c r="J418" s="79"/>
      <c r="K418" s="79"/>
      <c r="L418" s="79"/>
      <c r="M418" s="79"/>
      <c r="N418" s="79"/>
      <c r="O418" s="79"/>
      <c r="P418" s="79"/>
      <c r="Q418" s="79"/>
      <c r="R418" s="79"/>
      <c r="S418" s="79"/>
      <c r="T418" s="79"/>
      <c r="U418" s="79"/>
      <c r="V418" s="79"/>
      <c r="W418" s="79"/>
      <c r="X418" s="79"/>
      <c r="Y418" s="79"/>
      <c r="Z418" s="79"/>
      <c r="AA418" s="79"/>
      <c r="AB418" s="79"/>
      <c r="AC418" s="79"/>
    </row>
    <row r="419" spans="1:29" ht="12.75" customHeight="1">
      <c r="A419" s="79"/>
      <c r="B419" s="79"/>
      <c r="C419" s="79"/>
      <c r="D419" s="79"/>
      <c r="E419" s="79"/>
      <c r="F419" s="79"/>
      <c r="G419" s="79"/>
      <c r="H419" s="79"/>
      <c r="I419" s="125"/>
      <c r="J419" s="79"/>
      <c r="K419" s="79"/>
      <c r="L419" s="79"/>
      <c r="M419" s="79"/>
      <c r="N419" s="79"/>
      <c r="O419" s="79"/>
      <c r="P419" s="79"/>
      <c r="Q419" s="79"/>
      <c r="R419" s="79"/>
      <c r="S419" s="79"/>
      <c r="T419" s="79"/>
      <c r="U419" s="79"/>
      <c r="V419" s="79"/>
      <c r="W419" s="79"/>
      <c r="X419" s="79"/>
      <c r="Y419" s="79"/>
      <c r="Z419" s="79"/>
      <c r="AA419" s="79"/>
      <c r="AB419" s="79"/>
      <c r="AC419" s="79"/>
    </row>
    <row r="420" spans="1:29" ht="12.75" customHeight="1">
      <c r="A420" s="79"/>
      <c r="B420" s="79"/>
      <c r="C420" s="79"/>
      <c r="D420" s="79"/>
      <c r="E420" s="79"/>
      <c r="F420" s="79"/>
      <c r="G420" s="79"/>
      <c r="H420" s="79"/>
      <c r="I420" s="125"/>
      <c r="J420" s="79"/>
      <c r="K420" s="79"/>
      <c r="L420" s="79"/>
      <c r="M420" s="79"/>
      <c r="N420" s="79"/>
      <c r="O420" s="79"/>
      <c r="P420" s="79"/>
      <c r="Q420" s="79"/>
      <c r="R420" s="79"/>
      <c r="S420" s="79"/>
      <c r="T420" s="79"/>
      <c r="U420" s="79"/>
      <c r="V420" s="79"/>
      <c r="W420" s="79"/>
      <c r="X420" s="79"/>
      <c r="Y420" s="79"/>
      <c r="Z420" s="79"/>
      <c r="AA420" s="79"/>
      <c r="AB420" s="79"/>
      <c r="AC420" s="79"/>
    </row>
    <row r="421" spans="1:29" ht="12.75" customHeight="1">
      <c r="A421" s="79"/>
      <c r="B421" s="79"/>
      <c r="C421" s="79"/>
      <c r="D421" s="79"/>
      <c r="E421" s="79"/>
      <c r="F421" s="79"/>
      <c r="G421" s="79"/>
      <c r="H421" s="79"/>
      <c r="I421" s="125"/>
      <c r="J421" s="79"/>
      <c r="K421" s="79"/>
      <c r="L421" s="79"/>
      <c r="M421" s="79"/>
      <c r="N421" s="79"/>
      <c r="O421" s="79"/>
      <c r="P421" s="79"/>
      <c r="Q421" s="79"/>
      <c r="R421" s="79"/>
      <c r="S421" s="79"/>
      <c r="T421" s="79"/>
      <c r="U421" s="79"/>
      <c r="V421" s="79"/>
      <c r="W421" s="79"/>
      <c r="X421" s="79"/>
      <c r="Y421" s="79"/>
      <c r="Z421" s="79"/>
      <c r="AA421" s="79"/>
      <c r="AB421" s="79"/>
      <c r="AC421" s="79"/>
    </row>
    <row r="422" spans="1:29" ht="12.75" customHeight="1">
      <c r="A422" s="79"/>
      <c r="B422" s="79"/>
      <c r="C422" s="79"/>
      <c r="D422" s="79"/>
      <c r="E422" s="79"/>
      <c r="F422" s="79"/>
      <c r="G422" s="79"/>
      <c r="H422" s="79"/>
      <c r="I422" s="125"/>
      <c r="J422" s="79"/>
      <c r="K422" s="79"/>
      <c r="L422" s="79"/>
      <c r="M422" s="79"/>
      <c r="N422" s="79"/>
      <c r="O422" s="79"/>
      <c r="P422" s="79"/>
      <c r="Q422" s="79"/>
      <c r="R422" s="79"/>
      <c r="S422" s="79"/>
      <c r="T422" s="79"/>
      <c r="U422" s="79"/>
      <c r="V422" s="79"/>
      <c r="W422" s="79"/>
      <c r="X422" s="79"/>
      <c r="Y422" s="79"/>
      <c r="Z422" s="79"/>
      <c r="AA422" s="79"/>
      <c r="AB422" s="79"/>
      <c r="AC422" s="79"/>
    </row>
    <row r="423" spans="1:29" ht="12.75" customHeight="1">
      <c r="A423" s="79"/>
      <c r="B423" s="79"/>
      <c r="C423" s="79"/>
      <c r="D423" s="79"/>
      <c r="E423" s="79"/>
      <c r="F423" s="79"/>
      <c r="G423" s="79"/>
      <c r="H423" s="79"/>
      <c r="I423" s="125"/>
      <c r="J423" s="79"/>
      <c r="K423" s="79"/>
      <c r="L423" s="79"/>
      <c r="M423" s="79"/>
      <c r="N423" s="79"/>
      <c r="O423" s="79"/>
      <c r="P423" s="79"/>
      <c r="Q423" s="79"/>
      <c r="R423" s="79"/>
      <c r="S423" s="79"/>
      <c r="T423" s="79"/>
      <c r="U423" s="79"/>
      <c r="V423" s="79"/>
      <c r="W423" s="79"/>
      <c r="X423" s="79"/>
      <c r="Y423" s="79"/>
      <c r="Z423" s="79"/>
      <c r="AA423" s="79"/>
      <c r="AB423" s="79"/>
      <c r="AC423" s="79"/>
    </row>
    <row r="424" spans="1:29" ht="12.75" customHeight="1">
      <c r="A424" s="79"/>
      <c r="B424" s="79"/>
      <c r="C424" s="79"/>
      <c r="D424" s="79"/>
      <c r="E424" s="79"/>
      <c r="F424" s="79"/>
      <c r="G424" s="79"/>
      <c r="H424" s="79"/>
      <c r="I424" s="125"/>
      <c r="J424" s="79"/>
      <c r="K424" s="79"/>
      <c r="L424" s="79"/>
      <c r="M424" s="79"/>
      <c r="N424" s="79"/>
      <c r="O424" s="79"/>
      <c r="P424" s="79"/>
      <c r="Q424" s="79"/>
      <c r="R424" s="79"/>
      <c r="S424" s="79"/>
      <c r="T424" s="79"/>
      <c r="U424" s="79"/>
      <c r="V424" s="79"/>
      <c r="W424" s="79"/>
      <c r="X424" s="79"/>
      <c r="Y424" s="79"/>
      <c r="Z424" s="79"/>
      <c r="AA424" s="79"/>
      <c r="AB424" s="79"/>
      <c r="AC424" s="79"/>
    </row>
    <row r="425" spans="1:29" ht="12.75" customHeight="1">
      <c r="A425" s="79"/>
      <c r="B425" s="79"/>
      <c r="C425" s="79"/>
      <c r="D425" s="79"/>
      <c r="E425" s="79"/>
      <c r="F425" s="79"/>
      <c r="G425" s="79"/>
      <c r="H425" s="79"/>
      <c r="I425" s="125"/>
      <c r="J425" s="79"/>
      <c r="K425" s="79"/>
      <c r="L425" s="79"/>
      <c r="M425" s="79"/>
      <c r="N425" s="79"/>
      <c r="O425" s="79"/>
      <c r="P425" s="79"/>
      <c r="Q425" s="79"/>
      <c r="R425" s="79"/>
      <c r="S425" s="79"/>
      <c r="T425" s="79"/>
      <c r="U425" s="79"/>
      <c r="V425" s="79"/>
      <c r="W425" s="79"/>
      <c r="X425" s="79"/>
      <c r="Y425" s="79"/>
      <c r="Z425" s="79"/>
      <c r="AA425" s="79"/>
      <c r="AB425" s="79"/>
      <c r="AC425" s="79"/>
    </row>
    <row r="426" spans="1:29" ht="12.75" customHeight="1">
      <c r="A426" s="79"/>
      <c r="B426" s="79"/>
      <c r="C426" s="79"/>
      <c r="D426" s="79"/>
      <c r="E426" s="79"/>
      <c r="F426" s="79"/>
      <c r="G426" s="79"/>
      <c r="H426" s="79"/>
      <c r="I426" s="125"/>
      <c r="J426" s="79"/>
      <c r="K426" s="79"/>
      <c r="L426" s="79"/>
      <c r="M426" s="79"/>
      <c r="N426" s="79"/>
      <c r="O426" s="79"/>
      <c r="P426" s="79"/>
      <c r="Q426" s="79"/>
      <c r="R426" s="79"/>
      <c r="S426" s="79"/>
      <c r="T426" s="79"/>
      <c r="U426" s="79"/>
      <c r="V426" s="79"/>
      <c r="W426" s="79"/>
      <c r="X426" s="79"/>
      <c r="Y426" s="79"/>
      <c r="Z426" s="79"/>
      <c r="AA426" s="79"/>
      <c r="AB426" s="79"/>
      <c r="AC426" s="79"/>
    </row>
    <row r="427" spans="1:29" ht="12.75" customHeight="1">
      <c r="A427" s="79"/>
      <c r="B427" s="79"/>
      <c r="C427" s="79"/>
      <c r="D427" s="79"/>
      <c r="E427" s="79"/>
      <c r="F427" s="79"/>
      <c r="G427" s="79"/>
      <c r="H427" s="79"/>
      <c r="I427" s="125"/>
      <c r="J427" s="79"/>
      <c r="K427" s="79"/>
      <c r="L427" s="79"/>
      <c r="M427" s="79"/>
      <c r="N427" s="79"/>
      <c r="O427" s="79"/>
      <c r="P427" s="79"/>
      <c r="Q427" s="79"/>
      <c r="R427" s="79"/>
      <c r="S427" s="79"/>
      <c r="T427" s="79"/>
      <c r="U427" s="79"/>
      <c r="V427" s="79"/>
      <c r="W427" s="79"/>
      <c r="X427" s="79"/>
      <c r="Y427" s="79"/>
      <c r="Z427" s="79"/>
      <c r="AA427" s="79"/>
      <c r="AB427" s="79"/>
      <c r="AC427" s="79"/>
    </row>
    <row r="428" spans="1:29" ht="12.75" customHeight="1">
      <c r="A428" s="79"/>
      <c r="B428" s="79"/>
      <c r="C428" s="79"/>
      <c r="D428" s="79"/>
      <c r="E428" s="79"/>
      <c r="F428" s="79"/>
      <c r="G428" s="79"/>
      <c r="H428" s="79"/>
      <c r="I428" s="125"/>
      <c r="J428" s="79"/>
      <c r="K428" s="79"/>
      <c r="L428" s="79"/>
      <c r="M428" s="79"/>
      <c r="N428" s="79"/>
      <c r="O428" s="79"/>
      <c r="P428" s="79"/>
      <c r="Q428" s="79"/>
      <c r="R428" s="79"/>
      <c r="S428" s="79"/>
      <c r="T428" s="79"/>
      <c r="U428" s="79"/>
      <c r="V428" s="79"/>
      <c r="W428" s="79"/>
      <c r="X428" s="79"/>
      <c r="Y428" s="79"/>
      <c r="Z428" s="79"/>
      <c r="AA428" s="79"/>
      <c r="AB428" s="79"/>
      <c r="AC428" s="79"/>
    </row>
    <row r="429" spans="1:29" ht="12.75" customHeight="1">
      <c r="A429" s="79"/>
      <c r="B429" s="79"/>
      <c r="C429" s="79"/>
      <c r="D429" s="79"/>
      <c r="E429" s="79"/>
      <c r="F429" s="79"/>
      <c r="G429" s="79"/>
      <c r="H429" s="79"/>
      <c r="I429" s="125"/>
      <c r="J429" s="79"/>
      <c r="K429" s="79"/>
      <c r="L429" s="79"/>
      <c r="M429" s="79"/>
      <c r="N429" s="79"/>
      <c r="O429" s="79"/>
      <c r="P429" s="79"/>
      <c r="Q429" s="79"/>
      <c r="R429" s="79"/>
      <c r="S429" s="79"/>
      <c r="T429" s="79"/>
      <c r="U429" s="79"/>
      <c r="V429" s="79"/>
      <c r="W429" s="79"/>
      <c r="X429" s="79"/>
      <c r="Y429" s="79"/>
      <c r="Z429" s="79"/>
      <c r="AA429" s="79"/>
      <c r="AB429" s="79"/>
      <c r="AC429" s="79"/>
    </row>
    <row r="430" spans="1:29" ht="12.75" customHeight="1">
      <c r="A430" s="79"/>
      <c r="B430" s="79"/>
      <c r="C430" s="79"/>
      <c r="D430" s="79"/>
      <c r="E430" s="79"/>
      <c r="F430" s="79"/>
      <c r="G430" s="79"/>
      <c r="H430" s="79"/>
      <c r="I430" s="125"/>
      <c r="J430" s="79"/>
      <c r="K430" s="79"/>
      <c r="L430" s="79"/>
      <c r="M430" s="79"/>
      <c r="N430" s="79"/>
      <c r="O430" s="79"/>
      <c r="P430" s="79"/>
      <c r="Q430" s="79"/>
      <c r="R430" s="79"/>
      <c r="S430" s="79"/>
      <c r="T430" s="79"/>
      <c r="U430" s="79"/>
      <c r="V430" s="79"/>
      <c r="W430" s="79"/>
      <c r="X430" s="79"/>
      <c r="Y430" s="79"/>
      <c r="Z430" s="79"/>
      <c r="AA430" s="79"/>
      <c r="AB430" s="79"/>
      <c r="AC430" s="79"/>
    </row>
    <row r="431" spans="1:29" ht="12.75" customHeight="1">
      <c r="A431" s="79"/>
      <c r="B431" s="79"/>
      <c r="C431" s="79"/>
      <c r="D431" s="79"/>
      <c r="E431" s="79"/>
      <c r="F431" s="79"/>
      <c r="G431" s="79"/>
      <c r="H431" s="79"/>
      <c r="I431" s="125"/>
      <c r="J431" s="79"/>
      <c r="K431" s="79"/>
      <c r="L431" s="79"/>
      <c r="M431" s="79"/>
      <c r="N431" s="79"/>
      <c r="O431" s="79"/>
      <c r="P431" s="79"/>
      <c r="Q431" s="79"/>
      <c r="R431" s="79"/>
      <c r="S431" s="79"/>
      <c r="T431" s="79"/>
      <c r="U431" s="79"/>
      <c r="V431" s="79"/>
      <c r="W431" s="79"/>
      <c r="X431" s="79"/>
      <c r="Y431" s="79"/>
      <c r="Z431" s="79"/>
      <c r="AA431" s="79"/>
      <c r="AB431" s="79"/>
      <c r="AC431" s="79"/>
    </row>
    <row r="432" spans="1:29" ht="12.75" customHeight="1">
      <c r="A432" s="79"/>
      <c r="B432" s="79"/>
      <c r="C432" s="79"/>
      <c r="D432" s="79"/>
      <c r="E432" s="79"/>
      <c r="F432" s="79"/>
      <c r="G432" s="79"/>
      <c r="H432" s="79"/>
      <c r="I432" s="125"/>
      <c r="J432" s="79"/>
      <c r="K432" s="79"/>
      <c r="L432" s="79"/>
      <c r="M432" s="79"/>
      <c r="N432" s="79"/>
      <c r="O432" s="79"/>
      <c r="P432" s="79"/>
      <c r="Q432" s="79"/>
      <c r="R432" s="79"/>
      <c r="S432" s="79"/>
      <c r="T432" s="79"/>
      <c r="U432" s="79"/>
      <c r="V432" s="79"/>
      <c r="W432" s="79"/>
      <c r="X432" s="79"/>
      <c r="Y432" s="79"/>
      <c r="Z432" s="79"/>
      <c r="AA432" s="79"/>
      <c r="AB432" s="79"/>
      <c r="AC432" s="79"/>
    </row>
    <row r="433" spans="1:29" ht="12.75" customHeight="1">
      <c r="A433" s="79"/>
      <c r="B433" s="79"/>
      <c r="C433" s="79"/>
      <c r="D433" s="79"/>
      <c r="E433" s="79"/>
      <c r="F433" s="79"/>
      <c r="G433" s="79"/>
      <c r="H433" s="79"/>
      <c r="I433" s="125"/>
      <c r="J433" s="79"/>
      <c r="K433" s="79"/>
      <c r="L433" s="79"/>
      <c r="M433" s="79"/>
      <c r="N433" s="79"/>
      <c r="O433" s="79"/>
      <c r="P433" s="79"/>
      <c r="Q433" s="79"/>
      <c r="R433" s="79"/>
      <c r="S433" s="79"/>
      <c r="T433" s="79"/>
      <c r="U433" s="79"/>
      <c r="V433" s="79"/>
      <c r="W433" s="79"/>
      <c r="X433" s="79"/>
      <c r="Y433" s="79"/>
      <c r="Z433" s="79"/>
      <c r="AA433" s="79"/>
      <c r="AB433" s="79"/>
      <c r="AC433" s="79"/>
    </row>
    <row r="434" spans="1:29" ht="12.75" customHeight="1">
      <c r="A434" s="79"/>
      <c r="B434" s="79"/>
      <c r="C434" s="79"/>
      <c r="D434" s="79"/>
      <c r="E434" s="79"/>
      <c r="F434" s="79"/>
      <c r="G434" s="79"/>
      <c r="H434" s="79"/>
      <c r="I434" s="125"/>
      <c r="J434" s="79"/>
      <c r="K434" s="79"/>
      <c r="L434" s="79"/>
      <c r="M434" s="79"/>
      <c r="N434" s="79"/>
      <c r="O434" s="79"/>
      <c r="P434" s="79"/>
      <c r="Q434" s="79"/>
      <c r="R434" s="79"/>
      <c r="S434" s="79"/>
      <c r="T434" s="79"/>
      <c r="U434" s="79"/>
      <c r="V434" s="79"/>
      <c r="W434" s="79"/>
      <c r="X434" s="79"/>
      <c r="Y434" s="79"/>
      <c r="Z434" s="79"/>
      <c r="AA434" s="79"/>
      <c r="AB434" s="79"/>
      <c r="AC434" s="79"/>
    </row>
    <row r="435" spans="1:29" ht="12.75" customHeight="1">
      <c r="A435" s="79"/>
      <c r="B435" s="79"/>
      <c r="C435" s="79"/>
      <c r="D435" s="79"/>
      <c r="E435" s="79"/>
      <c r="F435" s="79"/>
      <c r="G435" s="79"/>
      <c r="H435" s="79"/>
      <c r="I435" s="125"/>
      <c r="J435" s="79"/>
      <c r="K435" s="79"/>
      <c r="L435" s="79"/>
      <c r="M435" s="79"/>
      <c r="N435" s="79"/>
      <c r="O435" s="79"/>
      <c r="P435" s="79"/>
      <c r="Q435" s="79"/>
      <c r="R435" s="79"/>
      <c r="S435" s="79"/>
      <c r="T435" s="79"/>
      <c r="U435" s="79"/>
      <c r="V435" s="79"/>
      <c r="W435" s="79"/>
      <c r="X435" s="79"/>
      <c r="Y435" s="79"/>
      <c r="Z435" s="79"/>
      <c r="AA435" s="79"/>
      <c r="AB435" s="79"/>
      <c r="AC435" s="79"/>
    </row>
    <row r="436" spans="1:29" ht="12.75" customHeight="1">
      <c r="A436" s="79"/>
      <c r="B436" s="79"/>
      <c r="C436" s="79"/>
      <c r="D436" s="79"/>
      <c r="E436" s="79"/>
      <c r="F436" s="79"/>
      <c r="G436" s="79"/>
      <c r="H436" s="79"/>
      <c r="I436" s="125"/>
      <c r="J436" s="79"/>
      <c r="K436" s="79"/>
      <c r="L436" s="79"/>
      <c r="M436" s="79"/>
      <c r="N436" s="79"/>
      <c r="O436" s="79"/>
      <c r="P436" s="79"/>
      <c r="Q436" s="79"/>
      <c r="R436" s="79"/>
      <c r="S436" s="79"/>
      <c r="T436" s="79"/>
      <c r="U436" s="79"/>
      <c r="V436" s="79"/>
      <c r="W436" s="79"/>
      <c r="X436" s="79"/>
      <c r="Y436" s="79"/>
      <c r="Z436" s="79"/>
      <c r="AA436" s="79"/>
      <c r="AB436" s="79"/>
      <c r="AC436" s="79"/>
    </row>
    <row r="437" spans="1:29" ht="12.75" customHeight="1">
      <c r="A437" s="79"/>
      <c r="B437" s="79"/>
      <c r="C437" s="79"/>
      <c r="D437" s="79"/>
      <c r="E437" s="79"/>
      <c r="F437" s="79"/>
      <c r="G437" s="79"/>
      <c r="H437" s="79"/>
      <c r="I437" s="125"/>
      <c r="J437" s="79"/>
      <c r="K437" s="79"/>
      <c r="L437" s="79"/>
      <c r="M437" s="79"/>
      <c r="N437" s="79"/>
      <c r="O437" s="79"/>
      <c r="P437" s="79"/>
      <c r="Q437" s="79"/>
      <c r="R437" s="79"/>
      <c r="S437" s="79"/>
      <c r="T437" s="79"/>
      <c r="U437" s="79"/>
      <c r="V437" s="79"/>
      <c r="W437" s="79"/>
      <c r="X437" s="79"/>
      <c r="Y437" s="79"/>
      <c r="Z437" s="79"/>
      <c r="AA437" s="79"/>
      <c r="AB437" s="79"/>
      <c r="AC437" s="79"/>
    </row>
    <row r="438" spans="1:29" ht="12.75" customHeight="1">
      <c r="A438" s="79"/>
      <c r="B438" s="79"/>
      <c r="C438" s="79"/>
      <c r="D438" s="79"/>
      <c r="E438" s="79"/>
      <c r="F438" s="79"/>
      <c r="G438" s="79"/>
      <c r="H438" s="79"/>
      <c r="I438" s="125"/>
      <c r="J438" s="79"/>
      <c r="K438" s="79"/>
      <c r="L438" s="79"/>
      <c r="M438" s="79"/>
      <c r="N438" s="79"/>
      <c r="O438" s="79"/>
      <c r="P438" s="79"/>
      <c r="Q438" s="79"/>
      <c r="R438" s="79"/>
      <c r="S438" s="79"/>
      <c r="T438" s="79"/>
      <c r="U438" s="79"/>
      <c r="V438" s="79"/>
      <c r="W438" s="79"/>
      <c r="X438" s="79"/>
      <c r="Y438" s="79"/>
      <c r="Z438" s="79"/>
      <c r="AA438" s="79"/>
      <c r="AB438" s="79"/>
      <c r="AC438" s="79"/>
    </row>
    <row r="439" spans="1:29" ht="12.75" customHeight="1">
      <c r="A439" s="79"/>
      <c r="B439" s="79"/>
      <c r="C439" s="79"/>
      <c r="D439" s="79"/>
      <c r="E439" s="79"/>
      <c r="F439" s="79"/>
      <c r="G439" s="79"/>
      <c r="H439" s="79"/>
      <c r="I439" s="125"/>
      <c r="J439" s="79"/>
      <c r="K439" s="79"/>
      <c r="L439" s="79"/>
      <c r="M439" s="79"/>
      <c r="N439" s="79"/>
      <c r="O439" s="79"/>
      <c r="P439" s="79"/>
      <c r="Q439" s="79"/>
      <c r="R439" s="79"/>
      <c r="S439" s="79"/>
      <c r="T439" s="79"/>
      <c r="U439" s="79"/>
      <c r="V439" s="79"/>
      <c r="W439" s="79"/>
      <c r="X439" s="79"/>
      <c r="Y439" s="79"/>
      <c r="Z439" s="79"/>
      <c r="AA439" s="79"/>
      <c r="AB439" s="79"/>
      <c r="AC439" s="79"/>
    </row>
    <row r="440" spans="1:29" ht="12.75" customHeight="1">
      <c r="A440" s="79"/>
      <c r="B440" s="79"/>
      <c r="C440" s="79"/>
      <c r="D440" s="79"/>
      <c r="E440" s="79"/>
      <c r="F440" s="79"/>
      <c r="G440" s="79"/>
      <c r="H440" s="79"/>
      <c r="I440" s="125"/>
      <c r="J440" s="79"/>
      <c r="K440" s="79"/>
      <c r="L440" s="79"/>
      <c r="M440" s="79"/>
      <c r="N440" s="79"/>
      <c r="O440" s="79"/>
      <c r="P440" s="79"/>
      <c r="Q440" s="79"/>
      <c r="R440" s="79"/>
      <c r="S440" s="79"/>
      <c r="T440" s="79"/>
      <c r="U440" s="79"/>
      <c r="V440" s="79"/>
      <c r="W440" s="79"/>
      <c r="X440" s="79"/>
      <c r="Y440" s="79"/>
      <c r="Z440" s="79"/>
      <c r="AA440" s="79"/>
      <c r="AB440" s="79"/>
      <c r="AC440" s="79"/>
    </row>
    <row r="441" spans="1:29" ht="12.75" customHeight="1">
      <c r="A441" s="79"/>
      <c r="B441" s="79"/>
      <c r="C441" s="79"/>
      <c r="D441" s="79"/>
      <c r="E441" s="79"/>
      <c r="F441" s="79"/>
      <c r="G441" s="79"/>
      <c r="H441" s="79"/>
      <c r="I441" s="125"/>
      <c r="J441" s="79"/>
      <c r="K441" s="79"/>
      <c r="L441" s="79"/>
      <c r="M441" s="79"/>
      <c r="N441" s="79"/>
      <c r="O441" s="79"/>
      <c r="P441" s="79"/>
      <c r="Q441" s="79"/>
      <c r="R441" s="79"/>
      <c r="S441" s="79"/>
      <c r="T441" s="79"/>
      <c r="U441" s="79"/>
      <c r="V441" s="79"/>
      <c r="W441" s="79"/>
      <c r="X441" s="79"/>
      <c r="Y441" s="79"/>
      <c r="Z441" s="79"/>
      <c r="AA441" s="79"/>
      <c r="AB441" s="79"/>
      <c r="AC441" s="79"/>
    </row>
    <row r="442" spans="1:29" ht="12.75" customHeight="1">
      <c r="A442" s="79"/>
      <c r="B442" s="79"/>
      <c r="C442" s="79"/>
      <c r="D442" s="79"/>
      <c r="E442" s="79"/>
      <c r="F442" s="79"/>
      <c r="G442" s="79"/>
      <c r="H442" s="79"/>
      <c r="I442" s="125"/>
      <c r="J442" s="79"/>
      <c r="K442" s="79"/>
      <c r="L442" s="79"/>
      <c r="M442" s="79"/>
      <c r="N442" s="79"/>
      <c r="O442" s="79"/>
      <c r="P442" s="79"/>
      <c r="Q442" s="79"/>
      <c r="R442" s="79"/>
      <c r="S442" s="79"/>
      <c r="T442" s="79"/>
      <c r="U442" s="79"/>
      <c r="V442" s="79"/>
      <c r="W442" s="79"/>
      <c r="X442" s="79"/>
      <c r="Y442" s="79"/>
      <c r="Z442" s="79"/>
      <c r="AA442" s="79"/>
      <c r="AB442" s="79"/>
      <c r="AC442" s="79"/>
    </row>
    <row r="443" spans="1:29" ht="12.75" customHeight="1">
      <c r="A443" s="79"/>
      <c r="B443" s="79"/>
      <c r="C443" s="79"/>
      <c r="D443" s="79"/>
      <c r="E443" s="79"/>
      <c r="F443" s="79"/>
      <c r="G443" s="79"/>
      <c r="H443" s="79"/>
      <c r="I443" s="125"/>
      <c r="J443" s="79"/>
      <c r="K443" s="79"/>
      <c r="L443" s="79"/>
      <c r="M443" s="79"/>
      <c r="N443" s="79"/>
      <c r="O443" s="79"/>
      <c r="P443" s="79"/>
      <c r="Q443" s="79"/>
      <c r="R443" s="79"/>
      <c r="S443" s="79"/>
      <c r="T443" s="79"/>
      <c r="U443" s="79"/>
      <c r="V443" s="79"/>
      <c r="W443" s="79"/>
      <c r="X443" s="79"/>
      <c r="Y443" s="79"/>
      <c r="Z443" s="79"/>
      <c r="AA443" s="79"/>
      <c r="AB443" s="79"/>
      <c r="AC443" s="79"/>
    </row>
    <row r="444" spans="1:29" ht="12.75" customHeight="1">
      <c r="A444" s="79"/>
      <c r="B444" s="79"/>
      <c r="C444" s="79"/>
      <c r="D444" s="79"/>
      <c r="E444" s="79"/>
      <c r="F444" s="79"/>
      <c r="G444" s="79"/>
      <c r="H444" s="79"/>
      <c r="I444" s="125"/>
      <c r="J444" s="79"/>
      <c r="K444" s="79"/>
      <c r="L444" s="79"/>
      <c r="M444" s="79"/>
      <c r="N444" s="79"/>
      <c r="O444" s="79"/>
      <c r="P444" s="79"/>
      <c r="Q444" s="79"/>
      <c r="R444" s="79"/>
      <c r="S444" s="79"/>
      <c r="T444" s="79"/>
      <c r="U444" s="79"/>
      <c r="V444" s="79"/>
      <c r="W444" s="79"/>
      <c r="X444" s="79"/>
      <c r="Y444" s="79"/>
      <c r="Z444" s="79"/>
      <c r="AA444" s="79"/>
      <c r="AB444" s="79"/>
      <c r="AC444" s="79"/>
    </row>
    <row r="445" spans="1:29" ht="12.75" customHeight="1">
      <c r="A445" s="79"/>
      <c r="B445" s="79"/>
      <c r="C445" s="79"/>
      <c r="D445" s="79"/>
      <c r="E445" s="79"/>
      <c r="F445" s="79"/>
      <c r="G445" s="79"/>
      <c r="H445" s="79"/>
      <c r="I445" s="125"/>
      <c r="J445" s="79"/>
      <c r="K445" s="79"/>
      <c r="L445" s="79"/>
      <c r="M445" s="79"/>
      <c r="N445" s="79"/>
      <c r="O445" s="79"/>
      <c r="P445" s="79"/>
      <c r="Q445" s="79"/>
      <c r="R445" s="79"/>
      <c r="S445" s="79"/>
      <c r="T445" s="79"/>
      <c r="U445" s="79"/>
      <c r="V445" s="79"/>
      <c r="W445" s="79"/>
      <c r="X445" s="79"/>
      <c r="Y445" s="79"/>
      <c r="Z445" s="79"/>
      <c r="AA445" s="79"/>
      <c r="AB445" s="79"/>
      <c r="AC445" s="79"/>
    </row>
    <row r="446" spans="1:29" ht="12.75" customHeight="1">
      <c r="A446" s="79"/>
      <c r="B446" s="79"/>
      <c r="C446" s="79"/>
      <c r="D446" s="79"/>
      <c r="E446" s="79"/>
      <c r="F446" s="79"/>
      <c r="G446" s="79"/>
      <c r="H446" s="79"/>
      <c r="I446" s="125"/>
      <c r="J446" s="79"/>
      <c r="K446" s="79"/>
      <c r="L446" s="79"/>
      <c r="M446" s="79"/>
      <c r="N446" s="79"/>
      <c r="O446" s="79"/>
      <c r="P446" s="79"/>
      <c r="Q446" s="79"/>
      <c r="R446" s="79"/>
      <c r="S446" s="79"/>
      <c r="T446" s="79"/>
      <c r="U446" s="79"/>
      <c r="V446" s="79"/>
      <c r="W446" s="79"/>
      <c r="X446" s="79"/>
      <c r="Y446" s="79"/>
      <c r="Z446" s="79"/>
      <c r="AA446" s="79"/>
      <c r="AB446" s="79"/>
      <c r="AC446" s="79"/>
    </row>
    <row r="447" spans="1:29" ht="12.75" customHeight="1">
      <c r="A447" s="79"/>
      <c r="B447" s="79"/>
      <c r="C447" s="79"/>
      <c r="D447" s="79"/>
      <c r="E447" s="79"/>
      <c r="F447" s="79"/>
      <c r="G447" s="79"/>
      <c r="H447" s="79"/>
      <c r="I447" s="125"/>
      <c r="J447" s="79"/>
      <c r="K447" s="79"/>
      <c r="L447" s="79"/>
      <c r="M447" s="79"/>
      <c r="N447" s="79"/>
      <c r="O447" s="79"/>
      <c r="P447" s="79"/>
      <c r="Q447" s="79"/>
      <c r="R447" s="79"/>
      <c r="S447" s="79"/>
      <c r="T447" s="79"/>
      <c r="U447" s="79"/>
      <c r="V447" s="79"/>
      <c r="W447" s="79"/>
      <c r="X447" s="79"/>
      <c r="Y447" s="79"/>
      <c r="Z447" s="79"/>
      <c r="AA447" s="79"/>
      <c r="AB447" s="79"/>
      <c r="AC447" s="79"/>
    </row>
    <row r="448" spans="1:29" ht="12.75" customHeight="1">
      <c r="A448" s="79"/>
      <c r="B448" s="79"/>
      <c r="C448" s="79"/>
      <c r="D448" s="79"/>
      <c r="E448" s="79"/>
      <c r="F448" s="79"/>
      <c r="G448" s="79"/>
      <c r="H448" s="79"/>
      <c r="I448" s="125"/>
      <c r="J448" s="79"/>
      <c r="K448" s="79"/>
      <c r="L448" s="79"/>
      <c r="M448" s="79"/>
      <c r="N448" s="79"/>
      <c r="O448" s="79"/>
      <c r="P448" s="79"/>
      <c r="Q448" s="79"/>
      <c r="R448" s="79"/>
      <c r="S448" s="79"/>
      <c r="T448" s="79"/>
      <c r="U448" s="79"/>
      <c r="V448" s="79"/>
      <c r="W448" s="79"/>
      <c r="X448" s="79"/>
      <c r="Y448" s="79"/>
      <c r="Z448" s="79"/>
      <c r="AA448" s="79"/>
      <c r="AB448" s="79"/>
      <c r="AC448" s="79"/>
    </row>
    <row r="449" spans="1:29" ht="12.75" customHeight="1">
      <c r="A449" s="79"/>
      <c r="B449" s="79"/>
      <c r="C449" s="79"/>
      <c r="D449" s="79"/>
      <c r="E449" s="79"/>
      <c r="F449" s="79"/>
      <c r="G449" s="79"/>
      <c r="H449" s="79"/>
      <c r="I449" s="125"/>
      <c r="J449" s="79"/>
      <c r="K449" s="79"/>
      <c r="L449" s="79"/>
      <c r="M449" s="79"/>
      <c r="N449" s="79"/>
      <c r="O449" s="79"/>
      <c r="P449" s="79"/>
      <c r="Q449" s="79"/>
      <c r="R449" s="79"/>
      <c r="S449" s="79"/>
      <c r="T449" s="79"/>
      <c r="U449" s="79"/>
      <c r="V449" s="79"/>
      <c r="W449" s="79"/>
      <c r="X449" s="79"/>
      <c r="Y449" s="79"/>
      <c r="Z449" s="79"/>
      <c r="AA449" s="79"/>
      <c r="AB449" s="79"/>
      <c r="AC449" s="79"/>
    </row>
    <row r="450" spans="1:29" ht="12.75" customHeight="1">
      <c r="A450" s="79"/>
      <c r="B450" s="79"/>
      <c r="C450" s="79"/>
      <c r="D450" s="79"/>
      <c r="E450" s="79"/>
      <c r="F450" s="79"/>
      <c r="G450" s="79"/>
      <c r="H450" s="79"/>
      <c r="I450" s="125"/>
      <c r="J450" s="79"/>
      <c r="K450" s="79"/>
      <c r="L450" s="79"/>
      <c r="M450" s="79"/>
      <c r="N450" s="79"/>
      <c r="O450" s="79"/>
      <c r="P450" s="79"/>
      <c r="Q450" s="79"/>
      <c r="R450" s="79"/>
      <c r="S450" s="79"/>
      <c r="T450" s="79"/>
      <c r="U450" s="79"/>
      <c r="V450" s="79"/>
      <c r="W450" s="79"/>
      <c r="X450" s="79"/>
      <c r="Y450" s="79"/>
      <c r="Z450" s="79"/>
      <c r="AA450" s="79"/>
      <c r="AB450" s="79"/>
      <c r="AC450" s="79"/>
    </row>
    <row r="451" spans="1:29" ht="12.75" customHeight="1">
      <c r="A451" s="79"/>
      <c r="B451" s="79"/>
      <c r="C451" s="79"/>
      <c r="D451" s="79"/>
      <c r="E451" s="79"/>
      <c r="F451" s="79"/>
      <c r="G451" s="79"/>
      <c r="H451" s="79"/>
      <c r="I451" s="125"/>
      <c r="J451" s="79"/>
      <c r="K451" s="79"/>
      <c r="L451" s="79"/>
      <c r="M451" s="79"/>
      <c r="N451" s="79"/>
      <c r="O451" s="79"/>
      <c r="P451" s="79"/>
      <c r="Q451" s="79"/>
      <c r="R451" s="79"/>
      <c r="S451" s="79"/>
      <c r="T451" s="79"/>
      <c r="U451" s="79"/>
      <c r="V451" s="79"/>
      <c r="W451" s="79"/>
      <c r="X451" s="79"/>
      <c r="Y451" s="79"/>
      <c r="Z451" s="79"/>
      <c r="AA451" s="79"/>
      <c r="AB451" s="79"/>
      <c r="AC451" s="79"/>
    </row>
    <row r="452" spans="1:29" ht="12.75" customHeight="1">
      <c r="A452" s="79"/>
      <c r="B452" s="79"/>
      <c r="C452" s="79"/>
      <c r="D452" s="79"/>
      <c r="E452" s="79"/>
      <c r="F452" s="79"/>
      <c r="G452" s="79"/>
      <c r="H452" s="79"/>
      <c r="I452" s="125"/>
      <c r="J452" s="79"/>
      <c r="K452" s="79"/>
      <c r="L452" s="79"/>
      <c r="M452" s="79"/>
      <c r="N452" s="79"/>
      <c r="O452" s="79"/>
      <c r="P452" s="79"/>
      <c r="Q452" s="79"/>
      <c r="R452" s="79"/>
      <c r="S452" s="79"/>
      <c r="T452" s="79"/>
      <c r="U452" s="79"/>
      <c r="V452" s="79"/>
      <c r="W452" s="79"/>
      <c r="X452" s="79"/>
      <c r="Y452" s="79"/>
      <c r="Z452" s="79"/>
      <c r="AA452" s="79"/>
      <c r="AB452" s="79"/>
      <c r="AC452" s="79"/>
    </row>
    <row r="453" spans="1:29" ht="12.75" customHeight="1">
      <c r="A453" s="79"/>
      <c r="B453" s="79"/>
      <c r="C453" s="79"/>
      <c r="D453" s="79"/>
      <c r="E453" s="79"/>
      <c r="F453" s="79"/>
      <c r="G453" s="79"/>
      <c r="H453" s="79"/>
      <c r="I453" s="125"/>
      <c r="J453" s="79"/>
      <c r="K453" s="79"/>
      <c r="L453" s="79"/>
      <c r="M453" s="79"/>
      <c r="N453" s="79"/>
      <c r="O453" s="79"/>
      <c r="P453" s="79"/>
      <c r="Q453" s="79"/>
      <c r="R453" s="79"/>
      <c r="S453" s="79"/>
      <c r="T453" s="79"/>
      <c r="U453" s="79"/>
      <c r="V453" s="79"/>
      <c r="W453" s="79"/>
      <c r="X453" s="79"/>
      <c r="Y453" s="79"/>
      <c r="Z453" s="79"/>
      <c r="AA453" s="79"/>
      <c r="AB453" s="79"/>
      <c r="AC453" s="79"/>
    </row>
    <row r="454" spans="1:29" ht="12.75" customHeight="1">
      <c r="A454" s="79"/>
      <c r="B454" s="79"/>
      <c r="C454" s="79"/>
      <c r="D454" s="79"/>
      <c r="E454" s="79"/>
      <c r="F454" s="79"/>
      <c r="G454" s="79"/>
      <c r="H454" s="79"/>
      <c r="I454" s="125"/>
      <c r="J454" s="79"/>
      <c r="K454" s="79"/>
      <c r="L454" s="79"/>
      <c r="M454" s="79"/>
      <c r="N454" s="79"/>
      <c r="O454" s="79"/>
      <c r="P454" s="79"/>
      <c r="Q454" s="79"/>
      <c r="R454" s="79"/>
      <c r="S454" s="79"/>
      <c r="T454" s="79"/>
      <c r="U454" s="79"/>
      <c r="V454" s="79"/>
      <c r="W454" s="79"/>
      <c r="X454" s="79"/>
      <c r="Y454" s="79"/>
      <c r="Z454" s="79"/>
      <c r="AA454" s="79"/>
      <c r="AB454" s="79"/>
      <c r="AC454" s="79"/>
    </row>
    <row r="455" spans="1:29" ht="12.75" customHeight="1">
      <c r="A455" s="79"/>
      <c r="B455" s="79"/>
      <c r="C455" s="79"/>
      <c r="D455" s="79"/>
      <c r="E455" s="79"/>
      <c r="F455" s="79"/>
      <c r="G455" s="79"/>
      <c r="H455" s="79"/>
      <c r="I455" s="125"/>
      <c r="J455" s="79"/>
      <c r="K455" s="79"/>
      <c r="L455" s="79"/>
      <c r="M455" s="79"/>
      <c r="N455" s="79"/>
      <c r="O455" s="79"/>
      <c r="P455" s="79"/>
      <c r="Q455" s="79"/>
      <c r="R455" s="79"/>
      <c r="S455" s="79"/>
      <c r="T455" s="79"/>
      <c r="U455" s="79"/>
      <c r="V455" s="79"/>
      <c r="W455" s="79"/>
      <c r="X455" s="79"/>
      <c r="Y455" s="79"/>
      <c r="Z455" s="79"/>
      <c r="AA455" s="79"/>
      <c r="AB455" s="79"/>
      <c r="AC455" s="79"/>
    </row>
    <row r="456" spans="1:29" ht="12.75" customHeight="1">
      <c r="A456" s="79"/>
      <c r="B456" s="79"/>
      <c r="C456" s="79"/>
      <c r="D456" s="79"/>
      <c r="E456" s="79"/>
      <c r="F456" s="79"/>
      <c r="G456" s="79"/>
      <c r="H456" s="79"/>
      <c r="I456" s="125"/>
      <c r="J456" s="79"/>
      <c r="K456" s="79"/>
      <c r="L456" s="79"/>
      <c r="M456" s="79"/>
      <c r="N456" s="79"/>
      <c r="O456" s="79"/>
      <c r="P456" s="79"/>
      <c r="Q456" s="79"/>
      <c r="R456" s="79"/>
      <c r="S456" s="79"/>
      <c r="T456" s="79"/>
      <c r="U456" s="79"/>
      <c r="V456" s="79"/>
      <c r="W456" s="79"/>
      <c r="X456" s="79"/>
      <c r="Y456" s="79"/>
      <c r="Z456" s="79"/>
      <c r="AA456" s="79"/>
      <c r="AB456" s="79"/>
      <c r="AC456" s="79"/>
    </row>
    <row r="457" spans="1:29" ht="12.75" customHeight="1">
      <c r="A457" s="79"/>
      <c r="B457" s="79"/>
      <c r="C457" s="79"/>
      <c r="D457" s="79"/>
      <c r="E457" s="79"/>
      <c r="F457" s="79"/>
      <c r="G457" s="79"/>
      <c r="H457" s="79"/>
      <c r="I457" s="125"/>
      <c r="J457" s="79"/>
      <c r="K457" s="79"/>
      <c r="L457" s="79"/>
      <c r="M457" s="79"/>
      <c r="N457" s="79"/>
      <c r="O457" s="79"/>
      <c r="P457" s="79"/>
      <c r="Q457" s="79"/>
      <c r="R457" s="79"/>
      <c r="S457" s="79"/>
      <c r="T457" s="79"/>
      <c r="U457" s="79"/>
      <c r="V457" s="79"/>
      <c r="W457" s="79"/>
      <c r="X457" s="79"/>
      <c r="Y457" s="79"/>
      <c r="Z457" s="79"/>
      <c r="AA457" s="79"/>
      <c r="AB457" s="79"/>
      <c r="AC457" s="79"/>
    </row>
    <row r="458" spans="1:29" ht="12.75" customHeight="1">
      <c r="A458" s="79"/>
      <c r="B458" s="79"/>
      <c r="C458" s="79"/>
      <c r="D458" s="79"/>
      <c r="E458" s="79"/>
      <c r="F458" s="79"/>
      <c r="G458" s="79"/>
      <c r="H458" s="79"/>
      <c r="I458" s="125"/>
      <c r="J458" s="79"/>
      <c r="K458" s="79"/>
      <c r="L458" s="79"/>
      <c r="M458" s="79"/>
      <c r="N458" s="79"/>
      <c r="O458" s="79"/>
      <c r="P458" s="79"/>
      <c r="Q458" s="79"/>
      <c r="R458" s="79"/>
      <c r="S458" s="79"/>
      <c r="T458" s="79"/>
      <c r="U458" s="79"/>
      <c r="V458" s="79"/>
      <c r="W458" s="79"/>
      <c r="X458" s="79"/>
      <c r="Y458" s="79"/>
      <c r="Z458" s="79"/>
      <c r="AA458" s="79"/>
      <c r="AB458" s="79"/>
      <c r="AC458" s="79"/>
    </row>
    <row r="459" spans="1:29" ht="12.75" customHeight="1">
      <c r="A459" s="79"/>
      <c r="B459" s="79"/>
      <c r="C459" s="79"/>
      <c r="D459" s="79"/>
      <c r="E459" s="79"/>
      <c r="F459" s="79"/>
      <c r="G459" s="79"/>
      <c r="H459" s="79"/>
      <c r="I459" s="125"/>
      <c r="J459" s="79"/>
      <c r="K459" s="79"/>
      <c r="L459" s="79"/>
      <c r="M459" s="79"/>
      <c r="N459" s="79"/>
      <c r="O459" s="79"/>
      <c r="P459" s="79"/>
      <c r="Q459" s="79"/>
      <c r="R459" s="79"/>
      <c r="S459" s="79"/>
      <c r="T459" s="79"/>
      <c r="U459" s="79"/>
      <c r="V459" s="79"/>
      <c r="W459" s="79"/>
      <c r="X459" s="79"/>
      <c r="Y459" s="79"/>
      <c r="Z459" s="79"/>
      <c r="AA459" s="79"/>
      <c r="AB459" s="79"/>
      <c r="AC459" s="79"/>
    </row>
    <row r="460" spans="1:29" ht="12.75" customHeight="1">
      <c r="A460" s="79"/>
      <c r="B460" s="79"/>
      <c r="C460" s="79"/>
      <c r="D460" s="79"/>
      <c r="E460" s="79"/>
      <c r="F460" s="79"/>
      <c r="G460" s="79"/>
      <c r="H460" s="79"/>
      <c r="I460" s="125"/>
      <c r="J460" s="79"/>
      <c r="K460" s="79"/>
      <c r="L460" s="79"/>
      <c r="M460" s="79"/>
      <c r="N460" s="79"/>
      <c r="O460" s="79"/>
      <c r="P460" s="79"/>
      <c r="Q460" s="79"/>
      <c r="R460" s="79"/>
      <c r="S460" s="79"/>
      <c r="T460" s="79"/>
      <c r="U460" s="79"/>
      <c r="V460" s="79"/>
      <c r="W460" s="79"/>
      <c r="X460" s="79"/>
      <c r="Y460" s="79"/>
      <c r="Z460" s="79"/>
      <c r="AA460" s="79"/>
      <c r="AB460" s="79"/>
      <c r="AC460" s="79"/>
    </row>
    <row r="461" spans="1:29" ht="12.75" customHeight="1">
      <c r="A461" s="79"/>
      <c r="B461" s="79"/>
      <c r="C461" s="79"/>
      <c r="D461" s="79"/>
      <c r="E461" s="79"/>
      <c r="F461" s="79"/>
      <c r="G461" s="79"/>
      <c r="H461" s="79"/>
      <c r="I461" s="125"/>
      <c r="J461" s="79"/>
      <c r="K461" s="79"/>
      <c r="L461" s="79"/>
      <c r="M461" s="79"/>
      <c r="N461" s="79"/>
      <c r="O461" s="79"/>
      <c r="P461" s="79"/>
      <c r="Q461" s="79"/>
      <c r="R461" s="79"/>
      <c r="S461" s="79"/>
      <c r="T461" s="79"/>
      <c r="U461" s="79"/>
      <c r="V461" s="79"/>
      <c r="W461" s="79"/>
      <c r="X461" s="79"/>
      <c r="Y461" s="79"/>
      <c r="Z461" s="79"/>
      <c r="AA461" s="79"/>
      <c r="AB461" s="79"/>
      <c r="AC461" s="79"/>
    </row>
    <row r="462" spans="1:29" ht="12.75" customHeight="1">
      <c r="A462" s="79"/>
      <c r="B462" s="79"/>
      <c r="C462" s="79"/>
      <c r="D462" s="79"/>
      <c r="E462" s="79"/>
      <c r="F462" s="79"/>
      <c r="G462" s="79"/>
      <c r="H462" s="79"/>
      <c r="I462" s="125"/>
      <c r="J462" s="79"/>
      <c r="K462" s="79"/>
      <c r="L462" s="79"/>
      <c r="M462" s="79"/>
      <c r="N462" s="79"/>
      <c r="O462" s="79"/>
      <c r="P462" s="79"/>
      <c r="Q462" s="79"/>
      <c r="R462" s="79"/>
      <c r="S462" s="79"/>
      <c r="T462" s="79"/>
      <c r="U462" s="79"/>
      <c r="V462" s="79"/>
      <c r="W462" s="79"/>
      <c r="X462" s="79"/>
      <c r="Y462" s="79"/>
      <c r="Z462" s="79"/>
      <c r="AA462" s="79"/>
      <c r="AB462" s="79"/>
      <c r="AC462" s="79"/>
    </row>
    <row r="463" spans="1:29" ht="12.75" customHeight="1">
      <c r="A463" s="79"/>
      <c r="B463" s="79"/>
      <c r="C463" s="79"/>
      <c r="D463" s="79"/>
      <c r="E463" s="79"/>
      <c r="F463" s="79"/>
      <c r="G463" s="79"/>
      <c r="H463" s="79"/>
      <c r="I463" s="125"/>
      <c r="J463" s="79"/>
      <c r="K463" s="79"/>
      <c r="L463" s="79"/>
      <c r="M463" s="79"/>
      <c r="N463" s="79"/>
      <c r="O463" s="79"/>
      <c r="P463" s="79"/>
      <c r="Q463" s="79"/>
      <c r="R463" s="79"/>
      <c r="S463" s="79"/>
      <c r="T463" s="79"/>
      <c r="U463" s="79"/>
      <c r="V463" s="79"/>
      <c r="W463" s="79"/>
      <c r="X463" s="79"/>
      <c r="Y463" s="79"/>
      <c r="Z463" s="79"/>
      <c r="AA463" s="79"/>
      <c r="AB463" s="79"/>
      <c r="AC463" s="79"/>
    </row>
    <row r="464" spans="1:29" ht="12.75" customHeight="1">
      <c r="A464" s="79"/>
      <c r="B464" s="79"/>
      <c r="C464" s="79"/>
      <c r="D464" s="79"/>
      <c r="E464" s="79"/>
      <c r="F464" s="79"/>
      <c r="G464" s="79"/>
      <c r="H464" s="79"/>
      <c r="I464" s="125"/>
      <c r="J464" s="79"/>
      <c r="K464" s="79"/>
      <c r="L464" s="79"/>
      <c r="M464" s="79"/>
      <c r="N464" s="79"/>
      <c r="O464" s="79"/>
      <c r="P464" s="79"/>
      <c r="Q464" s="79"/>
      <c r="R464" s="79"/>
      <c r="S464" s="79"/>
      <c r="T464" s="79"/>
      <c r="U464" s="79"/>
      <c r="V464" s="79"/>
      <c r="W464" s="79"/>
      <c r="X464" s="79"/>
      <c r="Y464" s="79"/>
      <c r="Z464" s="79"/>
      <c r="AA464" s="79"/>
      <c r="AB464" s="79"/>
      <c r="AC464" s="79"/>
    </row>
    <row r="465" spans="1:29" ht="12.75" customHeight="1">
      <c r="A465" s="79"/>
      <c r="B465" s="79"/>
      <c r="C465" s="79"/>
      <c r="D465" s="79"/>
      <c r="E465" s="79"/>
      <c r="F465" s="79"/>
      <c r="G465" s="79"/>
      <c r="H465" s="79"/>
      <c r="I465" s="125"/>
      <c r="J465" s="79"/>
      <c r="K465" s="79"/>
      <c r="L465" s="79"/>
      <c r="M465" s="79"/>
      <c r="N465" s="79"/>
      <c r="O465" s="79"/>
      <c r="P465" s="79"/>
      <c r="Q465" s="79"/>
      <c r="R465" s="79"/>
      <c r="S465" s="79"/>
      <c r="T465" s="79"/>
      <c r="U465" s="79"/>
      <c r="V465" s="79"/>
      <c r="W465" s="79"/>
      <c r="X465" s="79"/>
      <c r="Y465" s="79"/>
      <c r="Z465" s="79"/>
      <c r="AA465" s="79"/>
      <c r="AB465" s="79"/>
      <c r="AC465" s="79"/>
    </row>
    <row r="466" spans="1:29" ht="12.75" customHeight="1">
      <c r="A466" s="79"/>
      <c r="B466" s="79"/>
      <c r="C466" s="79"/>
      <c r="D466" s="79"/>
      <c r="E466" s="79"/>
      <c r="F466" s="79"/>
      <c r="G466" s="79"/>
      <c r="H466" s="79"/>
      <c r="I466" s="125"/>
      <c r="J466" s="79"/>
      <c r="K466" s="79"/>
      <c r="L466" s="79"/>
      <c r="M466" s="79"/>
      <c r="N466" s="79"/>
      <c r="O466" s="79"/>
      <c r="P466" s="79"/>
      <c r="Q466" s="79"/>
      <c r="R466" s="79"/>
      <c r="S466" s="79"/>
      <c r="T466" s="79"/>
      <c r="U466" s="79"/>
      <c r="V466" s="79"/>
      <c r="W466" s="79"/>
      <c r="X466" s="79"/>
      <c r="Y466" s="79"/>
      <c r="Z466" s="79"/>
      <c r="AA466" s="79"/>
      <c r="AB466" s="79"/>
      <c r="AC466" s="79"/>
    </row>
    <row r="467" spans="1:29" ht="12.75" customHeight="1">
      <c r="A467" s="79"/>
      <c r="B467" s="79"/>
      <c r="C467" s="79"/>
      <c r="D467" s="79"/>
      <c r="E467" s="79"/>
      <c r="F467" s="79"/>
      <c r="G467" s="79"/>
      <c r="H467" s="79"/>
      <c r="I467" s="125"/>
      <c r="J467" s="79"/>
      <c r="K467" s="79"/>
      <c r="L467" s="79"/>
      <c r="M467" s="79"/>
      <c r="N467" s="79"/>
      <c r="O467" s="79"/>
      <c r="P467" s="79"/>
      <c r="Q467" s="79"/>
      <c r="R467" s="79"/>
      <c r="S467" s="79"/>
      <c r="T467" s="79"/>
      <c r="U467" s="79"/>
      <c r="V467" s="79"/>
      <c r="W467" s="79"/>
      <c r="X467" s="79"/>
      <c r="Y467" s="79"/>
      <c r="Z467" s="79"/>
      <c r="AA467" s="79"/>
      <c r="AB467" s="79"/>
      <c r="AC467" s="79"/>
    </row>
    <row r="468" spans="1:29" ht="12.75" customHeight="1">
      <c r="A468" s="79"/>
      <c r="B468" s="79"/>
      <c r="C468" s="79"/>
      <c r="D468" s="79"/>
      <c r="E468" s="79"/>
      <c r="F468" s="79"/>
      <c r="G468" s="79"/>
      <c r="H468" s="79"/>
      <c r="I468" s="125"/>
      <c r="J468" s="79"/>
      <c r="K468" s="79"/>
      <c r="L468" s="79"/>
      <c r="M468" s="79"/>
      <c r="N468" s="79"/>
      <c r="O468" s="79"/>
      <c r="P468" s="79"/>
      <c r="Q468" s="79"/>
      <c r="R468" s="79"/>
      <c r="S468" s="79"/>
      <c r="T468" s="79"/>
      <c r="U468" s="79"/>
      <c r="V468" s="79"/>
      <c r="W468" s="79"/>
      <c r="X468" s="79"/>
      <c r="Y468" s="79"/>
      <c r="Z468" s="79"/>
      <c r="AA468" s="79"/>
      <c r="AB468" s="79"/>
      <c r="AC468" s="79"/>
    </row>
    <row r="469" spans="1:29" ht="12.75" customHeight="1">
      <c r="A469" s="79"/>
      <c r="B469" s="79"/>
      <c r="C469" s="79"/>
      <c r="D469" s="79"/>
      <c r="E469" s="79"/>
      <c r="F469" s="79"/>
      <c r="G469" s="79"/>
      <c r="H469" s="79"/>
      <c r="I469" s="125"/>
      <c r="J469" s="79"/>
      <c r="K469" s="79"/>
      <c r="L469" s="79"/>
      <c r="M469" s="79"/>
      <c r="N469" s="79"/>
      <c r="O469" s="79"/>
      <c r="P469" s="79"/>
      <c r="Q469" s="79"/>
      <c r="R469" s="79"/>
      <c r="S469" s="79"/>
      <c r="T469" s="79"/>
      <c r="U469" s="79"/>
      <c r="V469" s="79"/>
      <c r="W469" s="79"/>
      <c r="X469" s="79"/>
      <c r="Y469" s="79"/>
      <c r="Z469" s="79"/>
      <c r="AA469" s="79"/>
      <c r="AB469" s="79"/>
      <c r="AC469" s="79"/>
    </row>
    <row r="470" spans="1:29" ht="12.75" customHeight="1">
      <c r="A470" s="79"/>
      <c r="B470" s="79"/>
      <c r="C470" s="79"/>
      <c r="D470" s="79"/>
      <c r="E470" s="79"/>
      <c r="F470" s="79"/>
      <c r="G470" s="79"/>
      <c r="H470" s="79"/>
      <c r="I470" s="125"/>
      <c r="J470" s="79"/>
      <c r="K470" s="79"/>
      <c r="L470" s="79"/>
      <c r="M470" s="79"/>
      <c r="N470" s="79"/>
      <c r="O470" s="79"/>
      <c r="P470" s="79"/>
      <c r="Q470" s="79"/>
      <c r="R470" s="79"/>
      <c r="S470" s="79"/>
      <c r="T470" s="79"/>
      <c r="U470" s="79"/>
      <c r="V470" s="79"/>
      <c r="W470" s="79"/>
      <c r="X470" s="79"/>
      <c r="Y470" s="79"/>
      <c r="Z470" s="79"/>
      <c r="AA470" s="79"/>
      <c r="AB470" s="79"/>
      <c r="AC470" s="79"/>
    </row>
    <row r="471" spans="1:29" ht="12.75" customHeight="1">
      <c r="A471" s="79"/>
      <c r="B471" s="79"/>
      <c r="C471" s="79"/>
      <c r="D471" s="79"/>
      <c r="E471" s="79"/>
      <c r="F471" s="79"/>
      <c r="G471" s="79"/>
      <c r="H471" s="79"/>
      <c r="I471" s="125"/>
      <c r="J471" s="79"/>
      <c r="K471" s="79"/>
      <c r="L471" s="79"/>
      <c r="M471" s="79"/>
      <c r="N471" s="79"/>
      <c r="O471" s="79"/>
      <c r="P471" s="79"/>
      <c r="Q471" s="79"/>
      <c r="R471" s="79"/>
      <c r="S471" s="79"/>
      <c r="T471" s="79"/>
      <c r="U471" s="79"/>
      <c r="V471" s="79"/>
      <c r="W471" s="79"/>
      <c r="X471" s="79"/>
      <c r="Y471" s="79"/>
      <c r="Z471" s="79"/>
      <c r="AA471" s="79"/>
      <c r="AB471" s="79"/>
      <c r="AC471" s="79"/>
    </row>
    <row r="472" spans="1:29" ht="12.75" customHeight="1">
      <c r="A472" s="79"/>
      <c r="B472" s="79"/>
      <c r="C472" s="79"/>
      <c r="D472" s="79"/>
      <c r="E472" s="79"/>
      <c r="F472" s="79"/>
      <c r="G472" s="79"/>
      <c r="H472" s="79"/>
      <c r="I472" s="125"/>
      <c r="J472" s="79"/>
      <c r="K472" s="79"/>
      <c r="L472" s="79"/>
      <c r="M472" s="79"/>
      <c r="N472" s="79"/>
      <c r="O472" s="79"/>
      <c r="P472" s="79"/>
      <c r="Q472" s="79"/>
      <c r="R472" s="79"/>
      <c r="S472" s="79"/>
      <c r="T472" s="79"/>
      <c r="U472" s="79"/>
      <c r="V472" s="79"/>
      <c r="W472" s="79"/>
      <c r="X472" s="79"/>
      <c r="Y472" s="79"/>
      <c r="Z472" s="79"/>
      <c r="AA472" s="79"/>
      <c r="AB472" s="79"/>
      <c r="AC472" s="79"/>
    </row>
    <row r="473" spans="1:29" ht="12.75" customHeight="1">
      <c r="A473" s="79"/>
      <c r="B473" s="79"/>
      <c r="C473" s="79"/>
      <c r="D473" s="79"/>
      <c r="E473" s="79"/>
      <c r="F473" s="79"/>
      <c r="G473" s="79"/>
      <c r="H473" s="79"/>
      <c r="I473" s="125"/>
      <c r="J473" s="79"/>
      <c r="K473" s="79"/>
      <c r="L473" s="79"/>
      <c r="M473" s="79"/>
      <c r="N473" s="79"/>
      <c r="O473" s="79"/>
      <c r="P473" s="79"/>
      <c r="Q473" s="79"/>
      <c r="R473" s="79"/>
      <c r="S473" s="79"/>
      <c r="T473" s="79"/>
      <c r="U473" s="79"/>
      <c r="V473" s="79"/>
      <c r="W473" s="79"/>
      <c r="X473" s="79"/>
      <c r="Y473" s="79"/>
      <c r="Z473" s="79"/>
      <c r="AA473" s="79"/>
      <c r="AB473" s="79"/>
      <c r="AC473" s="79"/>
    </row>
    <row r="474" spans="1:29" ht="12.75" customHeight="1">
      <c r="A474" s="79"/>
      <c r="B474" s="79"/>
      <c r="C474" s="79"/>
      <c r="D474" s="79"/>
      <c r="E474" s="79"/>
      <c r="F474" s="79"/>
      <c r="G474" s="79"/>
      <c r="H474" s="79"/>
      <c r="I474" s="125"/>
      <c r="J474" s="79"/>
      <c r="K474" s="79"/>
      <c r="L474" s="79"/>
      <c r="M474" s="79"/>
      <c r="N474" s="79"/>
      <c r="O474" s="79"/>
      <c r="P474" s="79"/>
      <c r="Q474" s="79"/>
      <c r="R474" s="79"/>
      <c r="S474" s="79"/>
      <c r="T474" s="79"/>
      <c r="U474" s="79"/>
      <c r="V474" s="79"/>
      <c r="W474" s="79"/>
      <c r="X474" s="79"/>
      <c r="Y474" s="79"/>
      <c r="Z474" s="79"/>
      <c r="AA474" s="79"/>
      <c r="AB474" s="79"/>
      <c r="AC474" s="79"/>
    </row>
    <row r="475" spans="1:29" ht="12.75" customHeight="1">
      <c r="A475" s="79"/>
      <c r="B475" s="79"/>
      <c r="C475" s="79"/>
      <c r="D475" s="79"/>
      <c r="E475" s="79"/>
      <c r="F475" s="79"/>
      <c r="G475" s="79"/>
      <c r="H475" s="79"/>
      <c r="I475" s="125"/>
      <c r="J475" s="79"/>
      <c r="K475" s="79"/>
      <c r="L475" s="79"/>
      <c r="M475" s="79"/>
      <c r="N475" s="79"/>
      <c r="O475" s="79"/>
      <c r="P475" s="79"/>
      <c r="Q475" s="79"/>
      <c r="R475" s="79"/>
      <c r="S475" s="79"/>
      <c r="T475" s="79"/>
      <c r="U475" s="79"/>
      <c r="V475" s="79"/>
      <c r="W475" s="79"/>
      <c r="X475" s="79"/>
      <c r="Y475" s="79"/>
      <c r="Z475" s="79"/>
      <c r="AA475" s="79"/>
      <c r="AB475" s="79"/>
      <c r="AC475" s="79"/>
    </row>
    <row r="476" spans="1:29" ht="12.75" customHeight="1">
      <c r="A476" s="79"/>
      <c r="B476" s="79"/>
      <c r="C476" s="79"/>
      <c r="D476" s="79"/>
      <c r="E476" s="79"/>
      <c r="F476" s="79"/>
      <c r="G476" s="79"/>
      <c r="H476" s="79"/>
      <c r="I476" s="125"/>
      <c r="J476" s="79"/>
      <c r="K476" s="79"/>
      <c r="L476" s="79"/>
      <c r="M476" s="79"/>
      <c r="N476" s="79"/>
      <c r="O476" s="79"/>
      <c r="P476" s="79"/>
      <c r="Q476" s="79"/>
      <c r="R476" s="79"/>
      <c r="S476" s="79"/>
      <c r="T476" s="79"/>
      <c r="U476" s="79"/>
      <c r="V476" s="79"/>
      <c r="W476" s="79"/>
      <c r="X476" s="79"/>
      <c r="Y476" s="79"/>
      <c r="Z476" s="79"/>
      <c r="AA476" s="79"/>
      <c r="AB476" s="79"/>
      <c r="AC476" s="79"/>
    </row>
    <row r="477" spans="1:29" ht="12.75" customHeight="1">
      <c r="A477" s="79"/>
      <c r="B477" s="79"/>
      <c r="C477" s="79"/>
      <c r="D477" s="79"/>
      <c r="E477" s="79"/>
      <c r="F477" s="79"/>
      <c r="G477" s="79"/>
      <c r="H477" s="79"/>
      <c r="I477" s="125"/>
      <c r="J477" s="79"/>
      <c r="K477" s="79"/>
      <c r="L477" s="79"/>
      <c r="M477" s="79"/>
      <c r="N477" s="79"/>
      <c r="O477" s="79"/>
      <c r="P477" s="79"/>
      <c r="Q477" s="79"/>
      <c r="R477" s="79"/>
      <c r="S477" s="79"/>
      <c r="T477" s="79"/>
      <c r="U477" s="79"/>
      <c r="V477" s="79"/>
      <c r="W477" s="79"/>
      <c r="X477" s="79"/>
      <c r="Y477" s="79"/>
      <c r="Z477" s="79"/>
      <c r="AA477" s="79"/>
      <c r="AB477" s="79"/>
      <c r="AC477" s="79"/>
    </row>
    <row r="478" spans="1:29" ht="12.75" customHeight="1">
      <c r="A478" s="79"/>
      <c r="B478" s="79"/>
      <c r="C478" s="79"/>
      <c r="D478" s="79"/>
      <c r="E478" s="79"/>
      <c r="F478" s="79"/>
      <c r="G478" s="79"/>
      <c r="H478" s="79"/>
      <c r="I478" s="125"/>
      <c r="J478" s="79"/>
      <c r="K478" s="79"/>
      <c r="L478" s="79"/>
      <c r="M478" s="79"/>
      <c r="N478" s="79"/>
      <c r="O478" s="79"/>
      <c r="P478" s="79"/>
      <c r="Q478" s="79"/>
      <c r="R478" s="79"/>
      <c r="S478" s="79"/>
      <c r="T478" s="79"/>
      <c r="U478" s="79"/>
      <c r="V478" s="79"/>
      <c r="W478" s="79"/>
      <c r="X478" s="79"/>
      <c r="Y478" s="79"/>
      <c r="Z478" s="79"/>
      <c r="AA478" s="79"/>
      <c r="AB478" s="79"/>
      <c r="AC478" s="79"/>
    </row>
    <row r="479" spans="1:29" ht="12.75" customHeight="1">
      <c r="A479" s="79"/>
      <c r="B479" s="79"/>
      <c r="C479" s="79"/>
      <c r="D479" s="79"/>
      <c r="E479" s="79"/>
      <c r="F479" s="79"/>
      <c r="G479" s="79"/>
      <c r="H479" s="79"/>
      <c r="I479" s="125"/>
      <c r="J479" s="79"/>
      <c r="K479" s="79"/>
      <c r="L479" s="79"/>
      <c r="M479" s="79"/>
      <c r="N479" s="79"/>
      <c r="O479" s="79"/>
      <c r="P479" s="79"/>
      <c r="Q479" s="79"/>
      <c r="R479" s="79"/>
      <c r="S479" s="79"/>
      <c r="T479" s="79"/>
      <c r="U479" s="79"/>
      <c r="V479" s="79"/>
      <c r="W479" s="79"/>
      <c r="X479" s="79"/>
      <c r="Y479" s="79"/>
      <c r="Z479" s="79"/>
      <c r="AA479" s="79"/>
      <c r="AB479" s="79"/>
      <c r="AC479" s="79"/>
    </row>
    <row r="480" spans="1:29" ht="12.75" customHeight="1">
      <c r="A480" s="79"/>
      <c r="B480" s="79"/>
      <c r="C480" s="79"/>
      <c r="D480" s="79"/>
      <c r="E480" s="79"/>
      <c r="F480" s="79"/>
      <c r="G480" s="79"/>
      <c r="H480" s="79"/>
      <c r="I480" s="125"/>
      <c r="J480" s="79"/>
      <c r="K480" s="79"/>
      <c r="L480" s="79"/>
      <c r="M480" s="79"/>
      <c r="N480" s="79"/>
      <c r="O480" s="79"/>
      <c r="P480" s="79"/>
      <c r="Q480" s="79"/>
      <c r="R480" s="79"/>
      <c r="S480" s="79"/>
      <c r="T480" s="79"/>
      <c r="U480" s="79"/>
      <c r="V480" s="79"/>
      <c r="W480" s="79"/>
      <c r="X480" s="79"/>
      <c r="Y480" s="79"/>
      <c r="Z480" s="79"/>
      <c r="AA480" s="79"/>
      <c r="AB480" s="79"/>
      <c r="AC480" s="79"/>
    </row>
    <row r="481" spans="1:29" ht="12.75" customHeight="1">
      <c r="A481" s="79"/>
      <c r="B481" s="79"/>
      <c r="C481" s="79"/>
      <c r="D481" s="79"/>
      <c r="E481" s="79"/>
      <c r="F481" s="79"/>
      <c r="G481" s="79"/>
      <c r="H481" s="79"/>
      <c r="I481" s="125"/>
      <c r="J481" s="79"/>
      <c r="K481" s="79"/>
      <c r="L481" s="79"/>
      <c r="M481" s="79"/>
      <c r="N481" s="79"/>
      <c r="O481" s="79"/>
      <c r="P481" s="79"/>
      <c r="Q481" s="79"/>
      <c r="R481" s="79"/>
      <c r="S481" s="79"/>
      <c r="T481" s="79"/>
      <c r="U481" s="79"/>
      <c r="V481" s="79"/>
      <c r="W481" s="79"/>
      <c r="X481" s="79"/>
      <c r="Y481" s="79"/>
      <c r="Z481" s="79"/>
      <c r="AA481" s="79"/>
      <c r="AB481" s="79"/>
      <c r="AC481" s="79"/>
    </row>
    <row r="482" spans="1:29" ht="12.75" customHeight="1">
      <c r="A482" s="79"/>
      <c r="B482" s="79"/>
      <c r="C482" s="79"/>
      <c r="D482" s="79"/>
      <c r="E482" s="79"/>
      <c r="F482" s="79"/>
      <c r="G482" s="79"/>
      <c r="H482" s="79"/>
      <c r="I482" s="125"/>
      <c r="J482" s="79"/>
      <c r="K482" s="79"/>
      <c r="L482" s="79"/>
      <c r="M482" s="79"/>
      <c r="N482" s="79"/>
      <c r="O482" s="79"/>
      <c r="P482" s="79"/>
      <c r="Q482" s="79"/>
      <c r="R482" s="79"/>
      <c r="S482" s="79"/>
      <c r="T482" s="79"/>
      <c r="U482" s="79"/>
      <c r="V482" s="79"/>
      <c r="W482" s="79"/>
      <c r="X482" s="79"/>
      <c r="Y482" s="79"/>
      <c r="Z482" s="79"/>
      <c r="AA482" s="79"/>
      <c r="AB482" s="79"/>
      <c r="AC482" s="79"/>
    </row>
    <row r="483" spans="1:29" ht="12.75" customHeight="1">
      <c r="A483" s="79"/>
      <c r="B483" s="79"/>
      <c r="C483" s="79"/>
      <c r="D483" s="79"/>
      <c r="E483" s="79"/>
      <c r="F483" s="79"/>
      <c r="G483" s="79"/>
      <c r="H483" s="79"/>
      <c r="I483" s="125"/>
      <c r="J483" s="79"/>
      <c r="K483" s="79"/>
      <c r="L483" s="79"/>
      <c r="M483" s="79"/>
      <c r="N483" s="79"/>
      <c r="O483" s="79"/>
      <c r="P483" s="79"/>
      <c r="Q483" s="79"/>
      <c r="R483" s="79"/>
      <c r="S483" s="79"/>
      <c r="T483" s="79"/>
      <c r="U483" s="79"/>
      <c r="V483" s="79"/>
      <c r="W483" s="79"/>
      <c r="X483" s="79"/>
      <c r="Y483" s="79"/>
      <c r="Z483" s="79"/>
      <c r="AA483" s="79"/>
      <c r="AB483" s="79"/>
      <c r="AC483" s="79"/>
    </row>
    <row r="484" spans="1:29" ht="12.75" customHeight="1">
      <c r="A484" s="79"/>
      <c r="B484" s="79"/>
      <c r="C484" s="79"/>
      <c r="D484" s="79"/>
      <c r="E484" s="79"/>
      <c r="F484" s="79"/>
      <c r="G484" s="79"/>
      <c r="H484" s="79"/>
      <c r="I484" s="125"/>
      <c r="J484" s="79"/>
      <c r="K484" s="79"/>
      <c r="L484" s="79"/>
      <c r="M484" s="79"/>
      <c r="N484" s="79"/>
      <c r="O484" s="79"/>
      <c r="P484" s="79"/>
      <c r="Q484" s="79"/>
      <c r="R484" s="79"/>
      <c r="S484" s="79"/>
      <c r="T484" s="79"/>
      <c r="U484" s="79"/>
      <c r="V484" s="79"/>
      <c r="W484" s="79"/>
      <c r="X484" s="79"/>
      <c r="Y484" s="79"/>
      <c r="Z484" s="79"/>
      <c r="AA484" s="79"/>
      <c r="AB484" s="79"/>
      <c r="AC484" s="79"/>
    </row>
    <row r="485" spans="1:29" ht="12.75" customHeight="1">
      <c r="A485" s="79"/>
      <c r="B485" s="79"/>
      <c r="C485" s="79"/>
      <c r="D485" s="79"/>
      <c r="E485" s="79"/>
      <c r="F485" s="79"/>
      <c r="G485" s="79"/>
      <c r="H485" s="79"/>
      <c r="I485" s="125"/>
      <c r="J485" s="79"/>
      <c r="K485" s="79"/>
      <c r="L485" s="79"/>
      <c r="M485" s="79"/>
      <c r="N485" s="79"/>
      <c r="O485" s="79"/>
      <c r="P485" s="79"/>
      <c r="Q485" s="79"/>
      <c r="R485" s="79"/>
      <c r="S485" s="79"/>
      <c r="T485" s="79"/>
      <c r="U485" s="79"/>
      <c r="V485" s="79"/>
      <c r="W485" s="79"/>
      <c r="X485" s="79"/>
      <c r="Y485" s="79"/>
      <c r="Z485" s="79"/>
      <c r="AA485" s="79"/>
      <c r="AB485" s="79"/>
      <c r="AC485" s="79"/>
    </row>
    <row r="486" spans="1:29" ht="12.75" customHeight="1">
      <c r="A486" s="79"/>
      <c r="B486" s="79"/>
      <c r="C486" s="79"/>
      <c r="D486" s="79"/>
      <c r="E486" s="79"/>
      <c r="F486" s="79"/>
      <c r="G486" s="79"/>
      <c r="H486" s="79"/>
      <c r="I486" s="125"/>
      <c r="J486" s="79"/>
      <c r="K486" s="79"/>
      <c r="L486" s="79"/>
      <c r="M486" s="79"/>
      <c r="N486" s="79"/>
      <c r="O486" s="79"/>
      <c r="P486" s="79"/>
      <c r="Q486" s="79"/>
      <c r="R486" s="79"/>
      <c r="S486" s="79"/>
      <c r="T486" s="79"/>
      <c r="U486" s="79"/>
      <c r="V486" s="79"/>
      <c r="W486" s="79"/>
      <c r="X486" s="79"/>
      <c r="Y486" s="79"/>
      <c r="Z486" s="79"/>
      <c r="AA486" s="79"/>
      <c r="AB486" s="79"/>
      <c r="AC486" s="79"/>
    </row>
    <row r="487" spans="1:29" ht="12.75" customHeight="1">
      <c r="A487" s="79"/>
      <c r="B487" s="79"/>
      <c r="C487" s="79"/>
      <c r="D487" s="79"/>
      <c r="E487" s="79"/>
      <c r="F487" s="79"/>
      <c r="G487" s="79"/>
      <c r="H487" s="79"/>
      <c r="I487" s="125"/>
      <c r="J487" s="79"/>
      <c r="K487" s="79"/>
      <c r="L487" s="79"/>
      <c r="M487" s="79"/>
      <c r="N487" s="79"/>
      <c r="O487" s="79"/>
      <c r="P487" s="79"/>
      <c r="Q487" s="79"/>
      <c r="R487" s="79"/>
      <c r="S487" s="79"/>
      <c r="T487" s="79"/>
      <c r="U487" s="79"/>
      <c r="V487" s="79"/>
      <c r="W487" s="79"/>
      <c r="X487" s="79"/>
      <c r="Y487" s="79"/>
      <c r="Z487" s="79"/>
      <c r="AA487" s="79"/>
      <c r="AB487" s="79"/>
      <c r="AC487" s="79"/>
    </row>
    <row r="488" spans="1:29" ht="12.75" customHeight="1">
      <c r="A488" s="79"/>
      <c r="B488" s="79"/>
      <c r="C488" s="79"/>
      <c r="D488" s="79"/>
      <c r="E488" s="79"/>
      <c r="F488" s="79"/>
      <c r="G488" s="79"/>
      <c r="H488" s="79"/>
      <c r="I488" s="125"/>
      <c r="J488" s="79"/>
      <c r="K488" s="79"/>
      <c r="L488" s="79"/>
      <c r="M488" s="79"/>
      <c r="N488" s="79"/>
      <c r="O488" s="79"/>
      <c r="P488" s="79"/>
      <c r="Q488" s="79"/>
      <c r="R488" s="79"/>
      <c r="S488" s="79"/>
      <c r="T488" s="79"/>
      <c r="U488" s="79"/>
      <c r="V488" s="79"/>
      <c r="W488" s="79"/>
      <c r="X488" s="79"/>
      <c r="Y488" s="79"/>
      <c r="Z488" s="79"/>
      <c r="AA488" s="79"/>
      <c r="AB488" s="79"/>
      <c r="AC488" s="79"/>
    </row>
    <row r="489" spans="1:29" ht="12.75" customHeight="1">
      <c r="A489" s="79"/>
      <c r="B489" s="79"/>
      <c r="C489" s="79"/>
      <c r="D489" s="79"/>
      <c r="E489" s="79"/>
      <c r="F489" s="79"/>
      <c r="G489" s="79"/>
      <c r="H489" s="79"/>
      <c r="I489" s="125"/>
      <c r="J489" s="79"/>
      <c r="K489" s="79"/>
      <c r="L489" s="79"/>
      <c r="M489" s="79"/>
      <c r="N489" s="79"/>
      <c r="O489" s="79"/>
      <c r="P489" s="79"/>
      <c r="Q489" s="79"/>
      <c r="R489" s="79"/>
      <c r="S489" s="79"/>
      <c r="T489" s="79"/>
      <c r="U489" s="79"/>
      <c r="V489" s="79"/>
      <c r="W489" s="79"/>
      <c r="X489" s="79"/>
      <c r="Y489" s="79"/>
      <c r="Z489" s="79"/>
      <c r="AA489" s="79"/>
      <c r="AB489" s="79"/>
      <c r="AC489" s="79"/>
    </row>
    <row r="490" spans="1:29" ht="12.75" customHeight="1">
      <c r="A490" s="79"/>
      <c r="B490" s="79"/>
      <c r="C490" s="79"/>
      <c r="D490" s="79"/>
      <c r="E490" s="79"/>
      <c r="F490" s="79"/>
      <c r="G490" s="79"/>
      <c r="H490" s="79"/>
      <c r="I490" s="125"/>
      <c r="J490" s="79"/>
      <c r="K490" s="79"/>
      <c r="L490" s="79"/>
      <c r="M490" s="79"/>
      <c r="N490" s="79"/>
      <c r="O490" s="79"/>
      <c r="P490" s="79"/>
      <c r="Q490" s="79"/>
      <c r="R490" s="79"/>
      <c r="S490" s="79"/>
      <c r="T490" s="79"/>
      <c r="U490" s="79"/>
      <c r="V490" s="79"/>
      <c r="W490" s="79"/>
      <c r="X490" s="79"/>
      <c r="Y490" s="79"/>
      <c r="Z490" s="79"/>
      <c r="AA490" s="79"/>
      <c r="AB490" s="79"/>
      <c r="AC490" s="79"/>
    </row>
    <row r="491" spans="1:29" ht="12.75" customHeight="1">
      <c r="A491" s="79"/>
      <c r="B491" s="79"/>
      <c r="C491" s="79"/>
      <c r="D491" s="79"/>
      <c r="E491" s="79"/>
      <c r="F491" s="79"/>
      <c r="G491" s="79"/>
      <c r="H491" s="79"/>
      <c r="I491" s="125"/>
      <c r="J491" s="79"/>
      <c r="K491" s="79"/>
      <c r="L491" s="79"/>
      <c r="M491" s="79"/>
      <c r="N491" s="79"/>
      <c r="O491" s="79"/>
      <c r="P491" s="79"/>
      <c r="Q491" s="79"/>
      <c r="R491" s="79"/>
      <c r="S491" s="79"/>
      <c r="T491" s="79"/>
      <c r="U491" s="79"/>
      <c r="V491" s="79"/>
      <c r="W491" s="79"/>
      <c r="X491" s="79"/>
      <c r="Y491" s="79"/>
      <c r="Z491" s="79"/>
      <c r="AA491" s="79"/>
      <c r="AB491" s="79"/>
      <c r="AC491" s="79"/>
    </row>
    <row r="492" spans="1:29" ht="12.75" customHeight="1">
      <c r="A492" s="79"/>
      <c r="B492" s="79"/>
      <c r="C492" s="79"/>
      <c r="D492" s="79"/>
      <c r="E492" s="79"/>
      <c r="F492" s="79"/>
      <c r="G492" s="79"/>
      <c r="H492" s="79"/>
      <c r="I492" s="125"/>
      <c r="J492" s="79"/>
      <c r="K492" s="79"/>
      <c r="L492" s="79"/>
      <c r="M492" s="79"/>
      <c r="N492" s="79"/>
      <c r="O492" s="79"/>
      <c r="P492" s="79"/>
      <c r="Q492" s="79"/>
      <c r="R492" s="79"/>
      <c r="S492" s="79"/>
      <c r="T492" s="79"/>
      <c r="U492" s="79"/>
      <c r="V492" s="79"/>
      <c r="W492" s="79"/>
      <c r="X492" s="79"/>
      <c r="Y492" s="79"/>
      <c r="Z492" s="79"/>
      <c r="AA492" s="79"/>
      <c r="AB492" s="79"/>
      <c r="AC492" s="79"/>
    </row>
    <row r="493" spans="1:29" ht="12.75" customHeight="1">
      <c r="A493" s="79"/>
      <c r="B493" s="79"/>
      <c r="C493" s="79"/>
      <c r="D493" s="79"/>
      <c r="E493" s="79"/>
      <c r="F493" s="79"/>
      <c r="G493" s="79"/>
      <c r="H493" s="79"/>
      <c r="I493" s="125"/>
      <c r="J493" s="79"/>
      <c r="K493" s="79"/>
      <c r="L493" s="79"/>
      <c r="M493" s="79"/>
      <c r="N493" s="79"/>
      <c r="O493" s="79"/>
      <c r="P493" s="79"/>
      <c r="Q493" s="79"/>
      <c r="R493" s="79"/>
      <c r="S493" s="79"/>
      <c r="T493" s="79"/>
      <c r="U493" s="79"/>
      <c r="V493" s="79"/>
      <c r="W493" s="79"/>
      <c r="X493" s="79"/>
      <c r="Y493" s="79"/>
      <c r="Z493" s="79"/>
      <c r="AA493" s="79"/>
      <c r="AB493" s="79"/>
      <c r="AC493" s="79"/>
    </row>
    <row r="494" spans="1:29" ht="12.75" customHeight="1">
      <c r="A494" s="79"/>
      <c r="B494" s="79"/>
      <c r="C494" s="79"/>
      <c r="D494" s="79"/>
      <c r="E494" s="79"/>
      <c r="F494" s="79"/>
      <c r="G494" s="79"/>
      <c r="H494" s="79"/>
      <c r="I494" s="125"/>
      <c r="J494" s="79"/>
      <c r="K494" s="79"/>
      <c r="L494" s="79"/>
      <c r="M494" s="79"/>
      <c r="N494" s="79"/>
      <c r="O494" s="79"/>
      <c r="P494" s="79"/>
      <c r="Q494" s="79"/>
      <c r="R494" s="79"/>
      <c r="S494" s="79"/>
      <c r="T494" s="79"/>
      <c r="U494" s="79"/>
      <c r="V494" s="79"/>
      <c r="W494" s="79"/>
      <c r="X494" s="79"/>
      <c r="Y494" s="79"/>
      <c r="Z494" s="79"/>
      <c r="AA494" s="79"/>
      <c r="AB494" s="79"/>
      <c r="AC494" s="79"/>
    </row>
    <row r="495" spans="1:29" ht="12.75" customHeight="1">
      <c r="A495" s="79"/>
      <c r="B495" s="79"/>
      <c r="C495" s="79"/>
      <c r="D495" s="79"/>
      <c r="E495" s="79"/>
      <c r="F495" s="79"/>
      <c r="G495" s="79"/>
      <c r="H495" s="79"/>
      <c r="I495" s="125"/>
      <c r="J495" s="79"/>
      <c r="K495" s="79"/>
      <c r="L495" s="79"/>
      <c r="M495" s="79"/>
      <c r="N495" s="79"/>
      <c r="O495" s="79"/>
      <c r="P495" s="79"/>
      <c r="Q495" s="79"/>
      <c r="R495" s="79"/>
      <c r="S495" s="79"/>
      <c r="T495" s="79"/>
      <c r="U495" s="79"/>
      <c r="V495" s="79"/>
      <c r="W495" s="79"/>
      <c r="X495" s="79"/>
      <c r="Y495" s="79"/>
      <c r="Z495" s="79"/>
      <c r="AA495" s="79"/>
      <c r="AB495" s="79"/>
      <c r="AC495" s="79"/>
    </row>
    <row r="496" spans="1:29" ht="12.75" customHeight="1">
      <c r="A496" s="79"/>
      <c r="B496" s="79"/>
      <c r="C496" s="79"/>
      <c r="D496" s="79"/>
      <c r="E496" s="79"/>
      <c r="F496" s="79"/>
      <c r="G496" s="79"/>
      <c r="H496" s="79"/>
      <c r="I496" s="125"/>
      <c r="J496" s="79"/>
      <c r="K496" s="79"/>
      <c r="L496" s="79"/>
      <c r="M496" s="79"/>
      <c r="N496" s="79"/>
      <c r="O496" s="79"/>
      <c r="P496" s="79"/>
      <c r="Q496" s="79"/>
      <c r="R496" s="79"/>
      <c r="S496" s="79"/>
      <c r="T496" s="79"/>
      <c r="U496" s="79"/>
      <c r="V496" s="79"/>
      <c r="W496" s="79"/>
      <c r="X496" s="79"/>
      <c r="Y496" s="79"/>
      <c r="Z496" s="79"/>
      <c r="AA496" s="79"/>
      <c r="AB496" s="79"/>
      <c r="AC496" s="79"/>
    </row>
    <row r="497" spans="1:29" ht="12.75" customHeight="1">
      <c r="A497" s="79"/>
      <c r="B497" s="79"/>
      <c r="C497" s="79"/>
      <c r="D497" s="79"/>
      <c r="E497" s="79"/>
      <c r="F497" s="79"/>
      <c r="G497" s="79"/>
      <c r="H497" s="79"/>
      <c r="I497" s="125"/>
      <c r="J497" s="79"/>
      <c r="K497" s="79"/>
      <c r="L497" s="79"/>
      <c r="M497" s="79"/>
      <c r="N497" s="79"/>
      <c r="O497" s="79"/>
      <c r="P497" s="79"/>
      <c r="Q497" s="79"/>
      <c r="R497" s="79"/>
      <c r="S497" s="79"/>
      <c r="T497" s="79"/>
      <c r="U497" s="79"/>
      <c r="V497" s="79"/>
      <c r="W497" s="79"/>
      <c r="X497" s="79"/>
      <c r="Y497" s="79"/>
      <c r="Z497" s="79"/>
      <c r="AA497" s="79"/>
      <c r="AB497" s="79"/>
      <c r="AC497" s="79"/>
    </row>
    <row r="498" spans="1:29" ht="12.75" customHeight="1">
      <c r="A498" s="79"/>
      <c r="B498" s="79"/>
      <c r="C498" s="79"/>
      <c r="D498" s="79"/>
      <c r="E498" s="79"/>
      <c r="F498" s="79"/>
      <c r="G498" s="79"/>
      <c r="H498" s="79"/>
      <c r="I498" s="125"/>
      <c r="J498" s="79"/>
      <c r="K498" s="79"/>
      <c r="L498" s="79"/>
      <c r="M498" s="79"/>
      <c r="N498" s="79"/>
      <c r="O498" s="79"/>
      <c r="P498" s="79"/>
      <c r="Q498" s="79"/>
      <c r="R498" s="79"/>
      <c r="S498" s="79"/>
      <c r="T498" s="79"/>
      <c r="U498" s="79"/>
      <c r="V498" s="79"/>
      <c r="W498" s="79"/>
      <c r="X498" s="79"/>
      <c r="Y498" s="79"/>
      <c r="Z498" s="79"/>
      <c r="AA498" s="79"/>
      <c r="AB498" s="79"/>
      <c r="AC498" s="79"/>
    </row>
    <row r="499" spans="1:29" ht="12.75" customHeight="1">
      <c r="A499" s="79"/>
      <c r="B499" s="79"/>
      <c r="C499" s="79"/>
      <c r="D499" s="79"/>
      <c r="E499" s="79"/>
      <c r="F499" s="79"/>
      <c r="G499" s="79"/>
      <c r="H499" s="79"/>
      <c r="I499" s="125"/>
      <c r="J499" s="79"/>
      <c r="K499" s="79"/>
      <c r="L499" s="79"/>
      <c r="M499" s="79"/>
      <c r="N499" s="79"/>
      <c r="O499" s="79"/>
      <c r="P499" s="79"/>
      <c r="Q499" s="79"/>
      <c r="R499" s="79"/>
      <c r="S499" s="79"/>
      <c r="T499" s="79"/>
      <c r="U499" s="79"/>
      <c r="V499" s="79"/>
      <c r="W499" s="79"/>
      <c r="X499" s="79"/>
      <c r="Y499" s="79"/>
      <c r="Z499" s="79"/>
      <c r="AA499" s="79"/>
      <c r="AB499" s="79"/>
      <c r="AC499" s="79"/>
    </row>
    <row r="500" spans="1:29" ht="12.75" customHeight="1">
      <c r="A500" s="79"/>
      <c r="B500" s="79"/>
      <c r="C500" s="79"/>
      <c r="D500" s="79"/>
      <c r="E500" s="79"/>
      <c r="F500" s="79"/>
      <c r="G500" s="79"/>
      <c r="H500" s="79"/>
      <c r="I500" s="125"/>
      <c r="J500" s="79"/>
      <c r="K500" s="79"/>
      <c r="L500" s="79"/>
      <c r="M500" s="79"/>
      <c r="N500" s="79"/>
      <c r="O500" s="79"/>
      <c r="P500" s="79"/>
      <c r="Q500" s="79"/>
      <c r="R500" s="79"/>
      <c r="S500" s="79"/>
      <c r="T500" s="79"/>
      <c r="U500" s="79"/>
      <c r="V500" s="79"/>
      <c r="W500" s="79"/>
      <c r="X500" s="79"/>
      <c r="Y500" s="79"/>
      <c r="Z500" s="79"/>
      <c r="AA500" s="79"/>
      <c r="AB500" s="79"/>
      <c r="AC500" s="79"/>
    </row>
    <row r="501" spans="1:29" ht="12.75" customHeight="1">
      <c r="A501" s="79"/>
      <c r="B501" s="79"/>
      <c r="C501" s="79"/>
      <c r="D501" s="79"/>
      <c r="E501" s="79"/>
      <c r="F501" s="79"/>
      <c r="G501" s="79"/>
      <c r="H501" s="79"/>
      <c r="I501" s="125"/>
      <c r="J501" s="79"/>
      <c r="K501" s="79"/>
      <c r="L501" s="79"/>
      <c r="M501" s="79"/>
      <c r="N501" s="79"/>
      <c r="O501" s="79"/>
      <c r="P501" s="79"/>
      <c r="Q501" s="79"/>
      <c r="R501" s="79"/>
      <c r="S501" s="79"/>
      <c r="T501" s="79"/>
      <c r="U501" s="79"/>
      <c r="V501" s="79"/>
      <c r="W501" s="79"/>
      <c r="X501" s="79"/>
      <c r="Y501" s="79"/>
      <c r="Z501" s="79"/>
      <c r="AA501" s="79"/>
      <c r="AB501" s="79"/>
      <c r="AC501" s="79"/>
    </row>
    <row r="502" spans="1:29" ht="12.75" customHeight="1">
      <c r="A502" s="79"/>
      <c r="B502" s="79"/>
      <c r="C502" s="79"/>
      <c r="D502" s="79"/>
      <c r="E502" s="79"/>
      <c r="F502" s="79"/>
      <c r="G502" s="79"/>
      <c r="H502" s="79"/>
      <c r="I502" s="125"/>
      <c r="J502" s="79"/>
      <c r="K502" s="79"/>
      <c r="L502" s="79"/>
      <c r="M502" s="79"/>
      <c r="N502" s="79"/>
      <c r="O502" s="79"/>
      <c r="P502" s="79"/>
      <c r="Q502" s="79"/>
      <c r="R502" s="79"/>
      <c r="S502" s="79"/>
      <c r="T502" s="79"/>
      <c r="U502" s="79"/>
      <c r="V502" s="79"/>
      <c r="W502" s="79"/>
      <c r="X502" s="79"/>
      <c r="Y502" s="79"/>
      <c r="Z502" s="79"/>
      <c r="AA502" s="79"/>
      <c r="AB502" s="79"/>
      <c r="AC502" s="79"/>
    </row>
    <row r="503" spans="1:29" ht="12.75" customHeight="1">
      <c r="A503" s="79"/>
      <c r="B503" s="79"/>
      <c r="C503" s="79"/>
      <c r="D503" s="79"/>
      <c r="E503" s="79"/>
      <c r="F503" s="79"/>
      <c r="G503" s="79"/>
      <c r="H503" s="79"/>
      <c r="I503" s="125"/>
      <c r="J503" s="79"/>
      <c r="K503" s="79"/>
      <c r="L503" s="79"/>
      <c r="M503" s="79"/>
      <c r="N503" s="79"/>
      <c r="O503" s="79"/>
      <c r="P503" s="79"/>
      <c r="Q503" s="79"/>
      <c r="R503" s="79"/>
      <c r="S503" s="79"/>
      <c r="T503" s="79"/>
      <c r="U503" s="79"/>
      <c r="V503" s="79"/>
      <c r="W503" s="79"/>
      <c r="X503" s="79"/>
      <c r="Y503" s="79"/>
      <c r="Z503" s="79"/>
      <c r="AA503" s="79"/>
      <c r="AB503" s="79"/>
      <c r="AC503" s="79"/>
    </row>
    <row r="504" spans="1:29" ht="12.75" customHeight="1">
      <c r="A504" s="79"/>
      <c r="B504" s="79"/>
      <c r="C504" s="79"/>
      <c r="D504" s="79"/>
      <c r="E504" s="79"/>
      <c r="F504" s="79"/>
      <c r="G504" s="79"/>
      <c r="H504" s="79"/>
      <c r="I504" s="125"/>
      <c r="J504" s="79"/>
      <c r="K504" s="79"/>
      <c r="L504" s="79"/>
      <c r="M504" s="79"/>
      <c r="N504" s="79"/>
      <c r="O504" s="79"/>
      <c r="P504" s="79"/>
      <c r="Q504" s="79"/>
      <c r="R504" s="79"/>
      <c r="S504" s="79"/>
      <c r="T504" s="79"/>
      <c r="U504" s="79"/>
      <c r="V504" s="79"/>
      <c r="W504" s="79"/>
      <c r="X504" s="79"/>
      <c r="Y504" s="79"/>
      <c r="Z504" s="79"/>
      <c r="AA504" s="79"/>
      <c r="AB504" s="79"/>
      <c r="AC504" s="79"/>
    </row>
    <row r="505" spans="1:29" ht="12.75" customHeight="1">
      <c r="A505" s="79"/>
      <c r="B505" s="79"/>
      <c r="C505" s="79"/>
      <c r="D505" s="79"/>
      <c r="E505" s="79"/>
      <c r="F505" s="79"/>
      <c r="G505" s="79"/>
      <c r="H505" s="79"/>
      <c r="I505" s="125"/>
      <c r="J505" s="79"/>
      <c r="K505" s="79"/>
      <c r="L505" s="79"/>
      <c r="M505" s="79"/>
      <c r="N505" s="79"/>
      <c r="O505" s="79"/>
      <c r="P505" s="79"/>
      <c r="Q505" s="79"/>
      <c r="R505" s="79"/>
      <c r="S505" s="79"/>
      <c r="T505" s="79"/>
      <c r="U505" s="79"/>
      <c r="V505" s="79"/>
      <c r="W505" s="79"/>
      <c r="X505" s="79"/>
      <c r="Y505" s="79"/>
      <c r="Z505" s="79"/>
      <c r="AA505" s="79"/>
      <c r="AB505" s="79"/>
      <c r="AC505" s="79"/>
    </row>
    <row r="506" spans="1:29" ht="12.75" customHeight="1">
      <c r="A506" s="79"/>
      <c r="B506" s="79"/>
      <c r="C506" s="79"/>
      <c r="D506" s="79"/>
      <c r="E506" s="79"/>
      <c r="F506" s="79"/>
      <c r="G506" s="79"/>
      <c r="H506" s="79"/>
      <c r="I506" s="125"/>
      <c r="J506" s="79"/>
      <c r="K506" s="79"/>
      <c r="L506" s="79"/>
      <c r="M506" s="79"/>
      <c r="N506" s="79"/>
      <c r="O506" s="79"/>
      <c r="P506" s="79"/>
      <c r="Q506" s="79"/>
      <c r="R506" s="79"/>
      <c r="S506" s="79"/>
      <c r="T506" s="79"/>
      <c r="U506" s="79"/>
      <c r="V506" s="79"/>
      <c r="W506" s="79"/>
      <c r="X506" s="79"/>
      <c r="Y506" s="79"/>
      <c r="Z506" s="79"/>
      <c r="AA506" s="79"/>
      <c r="AB506" s="79"/>
      <c r="AC506" s="79"/>
    </row>
    <row r="507" spans="1:29" ht="12.75" customHeight="1">
      <c r="A507" s="79"/>
      <c r="B507" s="79"/>
      <c r="C507" s="79"/>
      <c r="D507" s="79"/>
      <c r="E507" s="79"/>
      <c r="F507" s="79"/>
      <c r="G507" s="79"/>
      <c r="H507" s="79"/>
      <c r="I507" s="125"/>
      <c r="J507" s="79"/>
      <c r="K507" s="79"/>
      <c r="L507" s="79"/>
      <c r="M507" s="79"/>
      <c r="N507" s="79"/>
      <c r="O507" s="79"/>
      <c r="P507" s="79"/>
      <c r="Q507" s="79"/>
      <c r="R507" s="79"/>
      <c r="S507" s="79"/>
      <c r="T507" s="79"/>
      <c r="U507" s="79"/>
      <c r="V507" s="79"/>
      <c r="W507" s="79"/>
      <c r="X507" s="79"/>
      <c r="Y507" s="79"/>
      <c r="Z507" s="79"/>
      <c r="AA507" s="79"/>
      <c r="AB507" s="79"/>
      <c r="AC507" s="79"/>
    </row>
    <row r="508" spans="1:29" ht="12.75" customHeight="1">
      <c r="A508" s="79"/>
      <c r="B508" s="79"/>
      <c r="C508" s="79"/>
      <c r="D508" s="79"/>
      <c r="E508" s="79"/>
      <c r="F508" s="79"/>
      <c r="G508" s="79"/>
      <c r="H508" s="79"/>
      <c r="I508" s="125"/>
      <c r="J508" s="79"/>
      <c r="K508" s="79"/>
      <c r="L508" s="79"/>
      <c r="M508" s="79"/>
      <c r="N508" s="79"/>
      <c r="O508" s="79"/>
      <c r="P508" s="79"/>
      <c r="Q508" s="79"/>
      <c r="R508" s="79"/>
      <c r="S508" s="79"/>
      <c r="T508" s="79"/>
      <c r="U508" s="79"/>
      <c r="V508" s="79"/>
      <c r="W508" s="79"/>
      <c r="X508" s="79"/>
      <c r="Y508" s="79"/>
      <c r="Z508" s="79"/>
      <c r="AA508" s="79"/>
      <c r="AB508" s="79"/>
      <c r="AC508" s="79"/>
    </row>
    <row r="509" spans="1:29" ht="12.75" customHeight="1">
      <c r="A509" s="79"/>
      <c r="B509" s="79"/>
      <c r="C509" s="79"/>
      <c r="D509" s="79"/>
      <c r="E509" s="79"/>
      <c r="F509" s="79"/>
      <c r="G509" s="79"/>
      <c r="H509" s="79"/>
      <c r="I509" s="125"/>
      <c r="J509" s="79"/>
      <c r="K509" s="79"/>
      <c r="L509" s="79"/>
      <c r="M509" s="79"/>
      <c r="N509" s="79"/>
      <c r="O509" s="79"/>
      <c r="P509" s="79"/>
      <c r="Q509" s="79"/>
      <c r="R509" s="79"/>
      <c r="S509" s="79"/>
      <c r="T509" s="79"/>
      <c r="U509" s="79"/>
      <c r="V509" s="79"/>
      <c r="W509" s="79"/>
      <c r="X509" s="79"/>
      <c r="Y509" s="79"/>
      <c r="Z509" s="79"/>
      <c r="AA509" s="79"/>
      <c r="AB509" s="79"/>
      <c r="AC509" s="79"/>
    </row>
    <row r="510" spans="1:29" ht="12.75" customHeight="1">
      <c r="A510" s="79"/>
      <c r="B510" s="79"/>
      <c r="C510" s="79"/>
      <c r="D510" s="79"/>
      <c r="E510" s="79"/>
      <c r="F510" s="79"/>
      <c r="G510" s="79"/>
      <c r="H510" s="79"/>
      <c r="I510" s="125"/>
      <c r="J510" s="79"/>
      <c r="K510" s="79"/>
      <c r="L510" s="79"/>
      <c r="M510" s="79"/>
      <c r="N510" s="79"/>
      <c r="O510" s="79"/>
      <c r="P510" s="79"/>
      <c r="Q510" s="79"/>
      <c r="R510" s="79"/>
      <c r="S510" s="79"/>
      <c r="T510" s="79"/>
      <c r="U510" s="79"/>
      <c r="V510" s="79"/>
      <c r="W510" s="79"/>
      <c r="X510" s="79"/>
      <c r="Y510" s="79"/>
      <c r="Z510" s="79"/>
      <c r="AA510" s="79"/>
      <c r="AB510" s="79"/>
      <c r="AC510" s="79"/>
    </row>
    <row r="511" spans="1:29" ht="12.75" customHeight="1">
      <c r="A511" s="79"/>
      <c r="B511" s="79"/>
      <c r="C511" s="79"/>
      <c r="D511" s="79"/>
      <c r="E511" s="79"/>
      <c r="F511" s="79"/>
      <c r="G511" s="79"/>
      <c r="H511" s="79"/>
      <c r="I511" s="125"/>
      <c r="J511" s="79"/>
      <c r="K511" s="79"/>
      <c r="L511" s="79"/>
      <c r="M511" s="79"/>
      <c r="N511" s="79"/>
      <c r="O511" s="79"/>
      <c r="P511" s="79"/>
      <c r="Q511" s="79"/>
      <c r="R511" s="79"/>
      <c r="S511" s="79"/>
      <c r="T511" s="79"/>
      <c r="U511" s="79"/>
      <c r="V511" s="79"/>
      <c r="W511" s="79"/>
      <c r="X511" s="79"/>
      <c r="Y511" s="79"/>
      <c r="Z511" s="79"/>
      <c r="AA511" s="79"/>
      <c r="AB511" s="79"/>
      <c r="AC511" s="79"/>
    </row>
    <row r="512" spans="1:29" ht="12.75" customHeight="1">
      <c r="A512" s="79"/>
      <c r="B512" s="79"/>
      <c r="C512" s="79"/>
      <c r="D512" s="79"/>
      <c r="E512" s="79"/>
      <c r="F512" s="79"/>
      <c r="G512" s="79"/>
      <c r="H512" s="79"/>
      <c r="I512" s="125"/>
      <c r="J512" s="79"/>
      <c r="K512" s="79"/>
      <c r="L512" s="79"/>
      <c r="M512" s="79"/>
      <c r="N512" s="79"/>
      <c r="O512" s="79"/>
      <c r="P512" s="79"/>
      <c r="Q512" s="79"/>
      <c r="R512" s="79"/>
      <c r="S512" s="79"/>
      <c r="T512" s="79"/>
      <c r="U512" s="79"/>
      <c r="V512" s="79"/>
      <c r="W512" s="79"/>
      <c r="X512" s="79"/>
      <c r="Y512" s="79"/>
      <c r="Z512" s="79"/>
      <c r="AA512" s="79"/>
      <c r="AB512" s="79"/>
      <c r="AC512" s="79"/>
    </row>
    <row r="513" spans="1:29" ht="12.75" customHeight="1">
      <c r="A513" s="79"/>
      <c r="B513" s="79"/>
      <c r="C513" s="79"/>
      <c r="D513" s="79"/>
      <c r="E513" s="79"/>
      <c r="F513" s="79"/>
      <c r="G513" s="79"/>
      <c r="H513" s="79"/>
      <c r="I513" s="125"/>
      <c r="J513" s="79"/>
      <c r="K513" s="79"/>
      <c r="L513" s="79"/>
      <c r="M513" s="79"/>
      <c r="N513" s="79"/>
      <c r="O513" s="79"/>
      <c r="P513" s="79"/>
      <c r="Q513" s="79"/>
      <c r="R513" s="79"/>
      <c r="S513" s="79"/>
      <c r="T513" s="79"/>
      <c r="U513" s="79"/>
      <c r="V513" s="79"/>
      <c r="W513" s="79"/>
      <c r="X513" s="79"/>
      <c r="Y513" s="79"/>
      <c r="Z513" s="79"/>
      <c r="AA513" s="79"/>
      <c r="AB513" s="79"/>
      <c r="AC513" s="79"/>
    </row>
    <row r="514" spans="1:29" ht="12.75" customHeight="1">
      <c r="A514" s="79"/>
      <c r="B514" s="79"/>
      <c r="C514" s="79"/>
      <c r="D514" s="79"/>
      <c r="E514" s="79"/>
      <c r="F514" s="79"/>
      <c r="G514" s="79"/>
      <c r="H514" s="79"/>
      <c r="I514" s="125"/>
      <c r="J514" s="79"/>
      <c r="K514" s="79"/>
      <c r="L514" s="79"/>
      <c r="M514" s="79"/>
      <c r="N514" s="79"/>
      <c r="O514" s="79"/>
      <c r="P514" s="79"/>
      <c r="Q514" s="79"/>
      <c r="R514" s="79"/>
      <c r="S514" s="79"/>
      <c r="T514" s="79"/>
      <c r="U514" s="79"/>
      <c r="V514" s="79"/>
      <c r="W514" s="79"/>
      <c r="X514" s="79"/>
      <c r="Y514" s="79"/>
      <c r="Z514" s="79"/>
      <c r="AA514" s="79"/>
      <c r="AB514" s="79"/>
      <c r="AC514" s="79"/>
    </row>
    <row r="515" spans="1:29" ht="12.75" customHeight="1">
      <c r="A515" s="79"/>
      <c r="B515" s="79"/>
      <c r="C515" s="79"/>
      <c r="D515" s="79"/>
      <c r="E515" s="79"/>
      <c r="F515" s="79"/>
      <c r="G515" s="79"/>
      <c r="H515" s="79"/>
      <c r="I515" s="125"/>
      <c r="J515" s="79"/>
      <c r="K515" s="79"/>
      <c r="L515" s="79"/>
      <c r="M515" s="79"/>
      <c r="N515" s="79"/>
      <c r="O515" s="79"/>
      <c r="P515" s="79"/>
      <c r="Q515" s="79"/>
      <c r="R515" s="79"/>
      <c r="S515" s="79"/>
      <c r="T515" s="79"/>
      <c r="U515" s="79"/>
      <c r="V515" s="79"/>
      <c r="W515" s="79"/>
      <c r="X515" s="79"/>
      <c r="Y515" s="79"/>
      <c r="Z515" s="79"/>
      <c r="AA515" s="79"/>
      <c r="AB515" s="79"/>
      <c r="AC515" s="79"/>
    </row>
    <row r="516" spans="1:29" ht="12.75" customHeight="1">
      <c r="A516" s="79"/>
      <c r="B516" s="79"/>
      <c r="C516" s="79"/>
      <c r="D516" s="79"/>
      <c r="E516" s="79"/>
      <c r="F516" s="79"/>
      <c r="G516" s="79"/>
      <c r="H516" s="79"/>
      <c r="I516" s="125"/>
      <c r="J516" s="79"/>
      <c r="K516" s="79"/>
      <c r="L516" s="79"/>
      <c r="M516" s="79"/>
      <c r="N516" s="79"/>
      <c r="O516" s="79"/>
      <c r="P516" s="79"/>
      <c r="Q516" s="79"/>
      <c r="R516" s="79"/>
      <c r="S516" s="79"/>
      <c r="T516" s="79"/>
      <c r="U516" s="79"/>
      <c r="V516" s="79"/>
      <c r="W516" s="79"/>
      <c r="X516" s="79"/>
      <c r="Y516" s="79"/>
      <c r="Z516" s="79"/>
      <c r="AA516" s="79"/>
      <c r="AB516" s="79"/>
      <c r="AC516" s="79"/>
    </row>
    <row r="517" spans="1:29" ht="12.75" customHeight="1">
      <c r="A517" s="79"/>
      <c r="B517" s="79"/>
      <c r="C517" s="79"/>
      <c r="D517" s="79"/>
      <c r="E517" s="79"/>
      <c r="F517" s="79"/>
      <c r="G517" s="79"/>
      <c r="H517" s="79"/>
      <c r="I517" s="125"/>
      <c r="J517" s="79"/>
      <c r="K517" s="79"/>
      <c r="L517" s="79"/>
      <c r="M517" s="79"/>
      <c r="N517" s="79"/>
      <c r="O517" s="79"/>
      <c r="P517" s="79"/>
      <c r="Q517" s="79"/>
      <c r="R517" s="79"/>
      <c r="S517" s="79"/>
      <c r="T517" s="79"/>
      <c r="U517" s="79"/>
      <c r="V517" s="79"/>
      <c r="W517" s="79"/>
      <c r="X517" s="79"/>
      <c r="Y517" s="79"/>
      <c r="Z517" s="79"/>
      <c r="AA517" s="79"/>
      <c r="AB517" s="79"/>
      <c r="AC517" s="79"/>
    </row>
    <row r="518" spans="1:29" ht="12.75" customHeight="1">
      <c r="A518" s="79"/>
      <c r="B518" s="79"/>
      <c r="C518" s="79"/>
      <c r="D518" s="79"/>
      <c r="E518" s="79"/>
      <c r="F518" s="79"/>
      <c r="G518" s="79"/>
      <c r="H518" s="79"/>
      <c r="I518" s="125"/>
      <c r="J518" s="79"/>
      <c r="K518" s="79"/>
      <c r="L518" s="79"/>
      <c r="M518" s="79"/>
      <c r="N518" s="79"/>
      <c r="O518" s="79"/>
      <c r="P518" s="79"/>
      <c r="Q518" s="79"/>
      <c r="R518" s="79"/>
      <c r="S518" s="79"/>
      <c r="T518" s="79"/>
      <c r="U518" s="79"/>
      <c r="V518" s="79"/>
      <c r="W518" s="79"/>
      <c r="X518" s="79"/>
      <c r="Y518" s="79"/>
      <c r="Z518" s="79"/>
      <c r="AA518" s="79"/>
      <c r="AB518" s="79"/>
      <c r="AC518" s="79"/>
    </row>
    <row r="519" spans="1:29" ht="12.75" customHeight="1">
      <c r="A519" s="79"/>
      <c r="B519" s="79"/>
      <c r="C519" s="79"/>
      <c r="D519" s="79"/>
      <c r="E519" s="79"/>
      <c r="F519" s="79"/>
      <c r="G519" s="79"/>
      <c r="H519" s="79"/>
      <c r="I519" s="125"/>
      <c r="J519" s="79"/>
      <c r="K519" s="79"/>
      <c r="L519" s="79"/>
      <c r="M519" s="79"/>
      <c r="N519" s="79"/>
      <c r="O519" s="79"/>
      <c r="P519" s="79"/>
      <c r="Q519" s="79"/>
      <c r="R519" s="79"/>
      <c r="S519" s="79"/>
      <c r="T519" s="79"/>
      <c r="U519" s="79"/>
      <c r="V519" s="79"/>
      <c r="W519" s="79"/>
      <c r="X519" s="79"/>
      <c r="Y519" s="79"/>
      <c r="Z519" s="79"/>
      <c r="AA519" s="79"/>
      <c r="AB519" s="79"/>
      <c r="AC519" s="79"/>
    </row>
    <row r="520" spans="1:29" ht="12.75" customHeight="1">
      <c r="A520" s="79"/>
      <c r="B520" s="79"/>
      <c r="C520" s="79"/>
      <c r="D520" s="79"/>
      <c r="E520" s="79"/>
      <c r="F520" s="79"/>
      <c r="G520" s="79"/>
      <c r="H520" s="79"/>
      <c r="I520" s="125"/>
      <c r="J520" s="79"/>
      <c r="K520" s="79"/>
      <c r="L520" s="79"/>
      <c r="M520" s="79"/>
      <c r="N520" s="79"/>
      <c r="O520" s="79"/>
      <c r="P520" s="79"/>
      <c r="Q520" s="79"/>
      <c r="R520" s="79"/>
      <c r="S520" s="79"/>
      <c r="T520" s="79"/>
      <c r="U520" s="79"/>
      <c r="V520" s="79"/>
      <c r="W520" s="79"/>
      <c r="X520" s="79"/>
      <c r="Y520" s="79"/>
      <c r="Z520" s="79"/>
      <c r="AA520" s="79"/>
      <c r="AB520" s="79"/>
      <c r="AC520" s="79"/>
    </row>
    <row r="521" spans="1:29" ht="12.75" customHeight="1">
      <c r="A521" s="79"/>
      <c r="B521" s="79"/>
      <c r="C521" s="79"/>
      <c r="D521" s="79"/>
      <c r="E521" s="79"/>
      <c r="F521" s="79"/>
      <c r="G521" s="79"/>
      <c r="H521" s="79"/>
      <c r="I521" s="125"/>
      <c r="J521" s="79"/>
      <c r="K521" s="79"/>
      <c r="L521" s="79"/>
      <c r="M521" s="79"/>
      <c r="N521" s="79"/>
      <c r="O521" s="79"/>
      <c r="P521" s="79"/>
      <c r="Q521" s="79"/>
      <c r="R521" s="79"/>
      <c r="S521" s="79"/>
      <c r="T521" s="79"/>
      <c r="U521" s="79"/>
      <c r="V521" s="79"/>
      <c r="W521" s="79"/>
      <c r="X521" s="79"/>
      <c r="Y521" s="79"/>
      <c r="Z521" s="79"/>
      <c r="AA521" s="79"/>
      <c r="AB521" s="79"/>
      <c r="AC521" s="79"/>
    </row>
    <row r="522" spans="1:29" ht="12.75" customHeight="1">
      <c r="A522" s="79"/>
      <c r="B522" s="79"/>
      <c r="C522" s="79"/>
      <c r="D522" s="79"/>
      <c r="E522" s="79"/>
      <c r="F522" s="79"/>
      <c r="G522" s="79"/>
      <c r="H522" s="79"/>
      <c r="I522" s="125"/>
      <c r="J522" s="79"/>
      <c r="K522" s="79"/>
      <c r="L522" s="79"/>
      <c r="M522" s="79"/>
      <c r="N522" s="79"/>
      <c r="O522" s="79"/>
      <c r="P522" s="79"/>
      <c r="Q522" s="79"/>
      <c r="R522" s="79"/>
      <c r="S522" s="79"/>
      <c r="T522" s="79"/>
      <c r="U522" s="79"/>
      <c r="V522" s="79"/>
      <c r="W522" s="79"/>
      <c r="X522" s="79"/>
      <c r="Y522" s="79"/>
      <c r="Z522" s="79"/>
      <c r="AA522" s="79"/>
      <c r="AB522" s="79"/>
      <c r="AC522" s="79"/>
    </row>
    <row r="523" spans="1:29" ht="12.75" customHeight="1">
      <c r="A523" s="79"/>
      <c r="B523" s="79"/>
      <c r="C523" s="79"/>
      <c r="D523" s="79"/>
      <c r="E523" s="79"/>
      <c r="F523" s="79"/>
      <c r="G523" s="79"/>
      <c r="H523" s="79"/>
      <c r="I523" s="125"/>
      <c r="J523" s="79"/>
      <c r="K523" s="79"/>
      <c r="L523" s="79"/>
      <c r="M523" s="79"/>
      <c r="N523" s="79"/>
      <c r="O523" s="79"/>
      <c r="P523" s="79"/>
      <c r="Q523" s="79"/>
      <c r="R523" s="79"/>
      <c r="S523" s="79"/>
      <c r="T523" s="79"/>
      <c r="U523" s="79"/>
      <c r="V523" s="79"/>
      <c r="W523" s="79"/>
      <c r="X523" s="79"/>
      <c r="Y523" s="79"/>
      <c r="Z523" s="79"/>
      <c r="AA523" s="79"/>
      <c r="AB523" s="79"/>
      <c r="AC523" s="79"/>
    </row>
    <row r="524" spans="1:29" ht="12.75" customHeight="1">
      <c r="A524" s="79"/>
      <c r="B524" s="79"/>
      <c r="C524" s="79"/>
      <c r="D524" s="79"/>
      <c r="E524" s="79"/>
      <c r="F524" s="79"/>
      <c r="G524" s="79"/>
      <c r="H524" s="79"/>
      <c r="I524" s="125"/>
      <c r="J524" s="79"/>
      <c r="K524" s="79"/>
      <c r="L524" s="79"/>
      <c r="M524" s="79"/>
      <c r="N524" s="79"/>
      <c r="O524" s="79"/>
      <c r="P524" s="79"/>
      <c r="Q524" s="79"/>
      <c r="R524" s="79"/>
      <c r="S524" s="79"/>
      <c r="T524" s="79"/>
      <c r="U524" s="79"/>
      <c r="V524" s="79"/>
      <c r="W524" s="79"/>
      <c r="X524" s="79"/>
      <c r="Y524" s="79"/>
      <c r="Z524" s="79"/>
      <c r="AA524" s="79"/>
      <c r="AB524" s="79"/>
      <c r="AC524" s="79"/>
    </row>
    <row r="525" spans="1:29" ht="12.75" customHeight="1">
      <c r="A525" s="79"/>
      <c r="B525" s="79"/>
      <c r="C525" s="79"/>
      <c r="D525" s="79"/>
      <c r="E525" s="79"/>
      <c r="F525" s="79"/>
      <c r="G525" s="79"/>
      <c r="H525" s="79"/>
      <c r="I525" s="125"/>
      <c r="J525" s="79"/>
      <c r="K525" s="79"/>
      <c r="L525" s="79"/>
      <c r="M525" s="79"/>
      <c r="N525" s="79"/>
      <c r="O525" s="79"/>
      <c r="P525" s="79"/>
      <c r="Q525" s="79"/>
      <c r="R525" s="79"/>
      <c r="S525" s="79"/>
      <c r="T525" s="79"/>
      <c r="U525" s="79"/>
      <c r="V525" s="79"/>
      <c r="W525" s="79"/>
      <c r="X525" s="79"/>
      <c r="Y525" s="79"/>
      <c r="Z525" s="79"/>
      <c r="AA525" s="79"/>
      <c r="AB525" s="79"/>
      <c r="AC525" s="79"/>
    </row>
    <row r="526" spans="1:29" ht="12.75" customHeight="1">
      <c r="A526" s="79"/>
      <c r="B526" s="79"/>
      <c r="C526" s="79"/>
      <c r="D526" s="79"/>
      <c r="E526" s="79"/>
      <c r="F526" s="79"/>
      <c r="G526" s="79"/>
      <c r="H526" s="79"/>
      <c r="I526" s="125"/>
      <c r="J526" s="79"/>
      <c r="K526" s="79"/>
      <c r="L526" s="79"/>
      <c r="M526" s="79"/>
      <c r="N526" s="79"/>
      <c r="O526" s="79"/>
      <c r="P526" s="79"/>
      <c r="Q526" s="79"/>
      <c r="R526" s="79"/>
      <c r="S526" s="79"/>
      <c r="T526" s="79"/>
      <c r="U526" s="79"/>
      <c r="V526" s="79"/>
      <c r="W526" s="79"/>
      <c r="X526" s="79"/>
      <c r="Y526" s="79"/>
      <c r="Z526" s="79"/>
      <c r="AA526" s="79"/>
      <c r="AB526" s="79"/>
      <c r="AC526" s="79"/>
    </row>
    <row r="527" spans="1:29" ht="12.75" customHeight="1">
      <c r="A527" s="79"/>
      <c r="B527" s="79"/>
      <c r="C527" s="79"/>
      <c r="D527" s="79"/>
      <c r="E527" s="79"/>
      <c r="F527" s="79"/>
      <c r="G527" s="79"/>
      <c r="H527" s="79"/>
      <c r="I527" s="125"/>
      <c r="J527" s="79"/>
      <c r="K527" s="79"/>
      <c r="L527" s="79"/>
      <c r="M527" s="79"/>
      <c r="N527" s="79"/>
      <c r="O527" s="79"/>
      <c r="P527" s="79"/>
      <c r="Q527" s="79"/>
      <c r="R527" s="79"/>
      <c r="S527" s="79"/>
      <c r="T527" s="79"/>
      <c r="U527" s="79"/>
      <c r="V527" s="79"/>
      <c r="W527" s="79"/>
      <c r="X527" s="79"/>
      <c r="Y527" s="79"/>
      <c r="Z527" s="79"/>
      <c r="AA527" s="79"/>
      <c r="AB527" s="79"/>
      <c r="AC527" s="79"/>
    </row>
    <row r="528" spans="1:29" ht="12.75" customHeight="1">
      <c r="A528" s="79"/>
      <c r="B528" s="79"/>
      <c r="C528" s="79"/>
      <c r="D528" s="79"/>
      <c r="E528" s="79"/>
      <c r="F528" s="79"/>
      <c r="G528" s="79"/>
      <c r="H528" s="79"/>
      <c r="I528" s="125"/>
      <c r="J528" s="79"/>
      <c r="K528" s="79"/>
      <c r="L528" s="79"/>
      <c r="M528" s="79"/>
      <c r="N528" s="79"/>
      <c r="O528" s="79"/>
      <c r="P528" s="79"/>
      <c r="Q528" s="79"/>
      <c r="R528" s="79"/>
      <c r="S528" s="79"/>
      <c r="T528" s="79"/>
      <c r="U528" s="79"/>
      <c r="V528" s="79"/>
      <c r="W528" s="79"/>
      <c r="X528" s="79"/>
      <c r="Y528" s="79"/>
      <c r="Z528" s="79"/>
      <c r="AA528" s="79"/>
      <c r="AB528" s="79"/>
      <c r="AC528" s="79"/>
    </row>
    <row r="529" spans="1:29" ht="12.75" customHeight="1">
      <c r="A529" s="79"/>
      <c r="B529" s="79"/>
      <c r="C529" s="79"/>
      <c r="D529" s="79"/>
      <c r="E529" s="79"/>
      <c r="F529" s="79"/>
      <c r="G529" s="79"/>
      <c r="H529" s="79"/>
      <c r="I529" s="125"/>
      <c r="J529" s="79"/>
      <c r="K529" s="79"/>
      <c r="L529" s="79"/>
      <c r="M529" s="79"/>
      <c r="N529" s="79"/>
      <c r="O529" s="79"/>
      <c r="P529" s="79"/>
      <c r="Q529" s="79"/>
      <c r="R529" s="79"/>
      <c r="S529" s="79"/>
      <c r="T529" s="79"/>
      <c r="U529" s="79"/>
      <c r="V529" s="79"/>
      <c r="W529" s="79"/>
      <c r="X529" s="79"/>
      <c r="Y529" s="79"/>
      <c r="Z529" s="79"/>
      <c r="AA529" s="79"/>
      <c r="AB529" s="79"/>
      <c r="AC529" s="79"/>
    </row>
    <row r="530" spans="1:29" ht="12.75" customHeight="1">
      <c r="A530" s="79"/>
      <c r="B530" s="79"/>
      <c r="C530" s="79"/>
      <c r="D530" s="79"/>
      <c r="E530" s="79"/>
      <c r="F530" s="79"/>
      <c r="G530" s="79"/>
      <c r="H530" s="79"/>
      <c r="I530" s="125"/>
      <c r="J530" s="79"/>
      <c r="K530" s="79"/>
      <c r="L530" s="79"/>
      <c r="M530" s="79"/>
      <c r="N530" s="79"/>
      <c r="O530" s="79"/>
      <c r="P530" s="79"/>
      <c r="Q530" s="79"/>
      <c r="R530" s="79"/>
      <c r="S530" s="79"/>
      <c r="T530" s="79"/>
      <c r="U530" s="79"/>
      <c r="V530" s="79"/>
      <c r="W530" s="79"/>
      <c r="X530" s="79"/>
      <c r="Y530" s="79"/>
      <c r="Z530" s="79"/>
      <c r="AA530" s="79"/>
      <c r="AB530" s="79"/>
      <c r="AC530" s="79"/>
    </row>
    <row r="531" spans="1:29" ht="12.75" customHeight="1">
      <c r="A531" s="79"/>
      <c r="B531" s="79"/>
      <c r="C531" s="79"/>
      <c r="D531" s="79"/>
      <c r="E531" s="79"/>
      <c r="F531" s="79"/>
      <c r="G531" s="79"/>
      <c r="H531" s="79"/>
      <c r="I531" s="125"/>
      <c r="J531" s="79"/>
      <c r="K531" s="79"/>
      <c r="L531" s="79"/>
      <c r="M531" s="79"/>
      <c r="N531" s="79"/>
      <c r="O531" s="79"/>
      <c r="P531" s="79"/>
      <c r="Q531" s="79"/>
      <c r="R531" s="79"/>
      <c r="S531" s="79"/>
      <c r="T531" s="79"/>
      <c r="U531" s="79"/>
      <c r="V531" s="79"/>
      <c r="W531" s="79"/>
      <c r="X531" s="79"/>
      <c r="Y531" s="79"/>
      <c r="Z531" s="79"/>
      <c r="AA531" s="79"/>
      <c r="AB531" s="79"/>
      <c r="AC531" s="79"/>
    </row>
    <row r="532" spans="1:29" ht="12.75" customHeight="1">
      <c r="A532" s="79"/>
      <c r="B532" s="79"/>
      <c r="C532" s="79"/>
      <c r="D532" s="79"/>
      <c r="E532" s="79"/>
      <c r="F532" s="79"/>
      <c r="G532" s="79"/>
      <c r="H532" s="79"/>
      <c r="I532" s="125"/>
      <c r="J532" s="79"/>
      <c r="K532" s="79"/>
      <c r="L532" s="79"/>
      <c r="M532" s="79"/>
      <c r="N532" s="79"/>
      <c r="O532" s="79"/>
      <c r="P532" s="79"/>
      <c r="Q532" s="79"/>
      <c r="R532" s="79"/>
      <c r="S532" s="79"/>
      <c r="T532" s="79"/>
      <c r="U532" s="79"/>
      <c r="V532" s="79"/>
      <c r="W532" s="79"/>
      <c r="X532" s="79"/>
      <c r="Y532" s="79"/>
      <c r="Z532" s="79"/>
      <c r="AA532" s="79"/>
      <c r="AB532" s="79"/>
      <c r="AC532" s="79"/>
    </row>
    <row r="533" spans="1:29" ht="12.75" customHeight="1">
      <c r="A533" s="79"/>
      <c r="B533" s="79"/>
      <c r="C533" s="79"/>
      <c r="D533" s="79"/>
      <c r="E533" s="79"/>
      <c r="F533" s="79"/>
      <c r="G533" s="79"/>
      <c r="H533" s="79"/>
      <c r="I533" s="125"/>
      <c r="J533" s="79"/>
      <c r="K533" s="79"/>
      <c r="L533" s="79"/>
      <c r="M533" s="79"/>
      <c r="N533" s="79"/>
      <c r="O533" s="79"/>
      <c r="P533" s="79"/>
      <c r="Q533" s="79"/>
      <c r="R533" s="79"/>
      <c r="S533" s="79"/>
      <c r="T533" s="79"/>
      <c r="U533" s="79"/>
      <c r="V533" s="79"/>
      <c r="W533" s="79"/>
      <c r="X533" s="79"/>
      <c r="Y533" s="79"/>
      <c r="Z533" s="79"/>
      <c r="AA533" s="79"/>
      <c r="AB533" s="79"/>
      <c r="AC533" s="79"/>
    </row>
    <row r="534" spans="1:29" ht="12.75" customHeight="1">
      <c r="A534" s="79"/>
      <c r="B534" s="79"/>
      <c r="C534" s="79"/>
      <c r="D534" s="79"/>
      <c r="E534" s="79"/>
      <c r="F534" s="79"/>
      <c r="G534" s="79"/>
      <c r="H534" s="79"/>
      <c r="I534" s="125"/>
      <c r="J534" s="79"/>
      <c r="K534" s="79"/>
      <c r="L534" s="79"/>
      <c r="M534" s="79"/>
      <c r="N534" s="79"/>
      <c r="O534" s="79"/>
      <c r="P534" s="79"/>
      <c r="Q534" s="79"/>
      <c r="R534" s="79"/>
      <c r="S534" s="79"/>
      <c r="T534" s="79"/>
      <c r="U534" s="79"/>
      <c r="V534" s="79"/>
      <c r="W534" s="79"/>
      <c r="X534" s="79"/>
      <c r="Y534" s="79"/>
      <c r="Z534" s="79"/>
      <c r="AA534" s="79"/>
      <c r="AB534" s="79"/>
      <c r="AC534" s="79"/>
    </row>
    <row r="535" spans="1:29" ht="12.75" customHeight="1">
      <c r="A535" s="79"/>
      <c r="B535" s="79"/>
      <c r="C535" s="79"/>
      <c r="D535" s="79"/>
      <c r="E535" s="79"/>
      <c r="F535" s="79"/>
      <c r="G535" s="79"/>
      <c r="H535" s="79"/>
      <c r="I535" s="125"/>
      <c r="J535" s="79"/>
      <c r="K535" s="79"/>
      <c r="L535" s="79"/>
      <c r="M535" s="79"/>
      <c r="N535" s="79"/>
      <c r="O535" s="79"/>
      <c r="P535" s="79"/>
      <c r="Q535" s="79"/>
      <c r="R535" s="79"/>
      <c r="S535" s="79"/>
      <c r="T535" s="79"/>
      <c r="U535" s="79"/>
      <c r="V535" s="79"/>
      <c r="W535" s="79"/>
      <c r="X535" s="79"/>
      <c r="Y535" s="79"/>
      <c r="Z535" s="79"/>
      <c r="AA535" s="79"/>
      <c r="AB535" s="79"/>
      <c r="AC535" s="79"/>
    </row>
    <row r="536" spans="1:29" ht="12.75" customHeight="1">
      <c r="A536" s="79"/>
      <c r="B536" s="79"/>
      <c r="C536" s="79"/>
      <c r="D536" s="79"/>
      <c r="E536" s="79"/>
      <c r="F536" s="79"/>
      <c r="G536" s="79"/>
      <c r="H536" s="79"/>
      <c r="I536" s="125"/>
      <c r="J536" s="79"/>
      <c r="K536" s="79"/>
      <c r="L536" s="79"/>
      <c r="M536" s="79"/>
      <c r="N536" s="79"/>
      <c r="O536" s="79"/>
      <c r="P536" s="79"/>
      <c r="Q536" s="79"/>
      <c r="R536" s="79"/>
      <c r="S536" s="79"/>
      <c r="T536" s="79"/>
      <c r="U536" s="79"/>
      <c r="V536" s="79"/>
      <c r="W536" s="79"/>
      <c r="X536" s="79"/>
      <c r="Y536" s="79"/>
      <c r="Z536" s="79"/>
      <c r="AA536" s="79"/>
      <c r="AB536" s="79"/>
      <c r="AC536" s="79"/>
    </row>
    <row r="537" spans="1:29" ht="12.75" customHeight="1">
      <c r="A537" s="79"/>
      <c r="B537" s="79"/>
      <c r="C537" s="79"/>
      <c r="D537" s="79"/>
      <c r="E537" s="79"/>
      <c r="F537" s="79"/>
      <c r="G537" s="79"/>
      <c r="H537" s="79"/>
      <c r="I537" s="125"/>
      <c r="J537" s="79"/>
      <c r="K537" s="79"/>
      <c r="L537" s="79"/>
      <c r="M537" s="79"/>
      <c r="N537" s="79"/>
      <c r="O537" s="79"/>
      <c r="P537" s="79"/>
      <c r="Q537" s="79"/>
      <c r="R537" s="79"/>
      <c r="S537" s="79"/>
      <c r="T537" s="79"/>
      <c r="U537" s="79"/>
      <c r="V537" s="79"/>
      <c r="W537" s="79"/>
      <c r="X537" s="79"/>
      <c r="Y537" s="79"/>
      <c r="Z537" s="79"/>
      <c r="AA537" s="79"/>
      <c r="AB537" s="79"/>
      <c r="AC537" s="79"/>
    </row>
    <row r="538" spans="1:29" ht="12.75" customHeight="1">
      <c r="A538" s="79"/>
      <c r="B538" s="79"/>
      <c r="C538" s="79"/>
      <c r="D538" s="79"/>
      <c r="E538" s="79"/>
      <c r="F538" s="79"/>
      <c r="G538" s="79"/>
      <c r="H538" s="79"/>
      <c r="I538" s="125"/>
      <c r="J538" s="79"/>
      <c r="K538" s="79"/>
      <c r="L538" s="79"/>
      <c r="M538" s="79"/>
      <c r="N538" s="79"/>
      <c r="O538" s="79"/>
      <c r="P538" s="79"/>
      <c r="Q538" s="79"/>
      <c r="R538" s="79"/>
      <c r="S538" s="79"/>
      <c r="T538" s="79"/>
      <c r="U538" s="79"/>
      <c r="V538" s="79"/>
      <c r="W538" s="79"/>
      <c r="X538" s="79"/>
      <c r="Y538" s="79"/>
      <c r="Z538" s="79"/>
      <c r="AA538" s="79"/>
      <c r="AB538" s="79"/>
      <c r="AC538" s="79"/>
    </row>
    <row r="539" spans="1:29" ht="12.75" customHeight="1">
      <c r="A539" s="79"/>
      <c r="B539" s="79"/>
      <c r="C539" s="79"/>
      <c r="D539" s="79"/>
      <c r="E539" s="79"/>
      <c r="F539" s="79"/>
      <c r="G539" s="79"/>
      <c r="H539" s="79"/>
      <c r="I539" s="125"/>
      <c r="J539" s="79"/>
      <c r="K539" s="79"/>
      <c r="L539" s="79"/>
      <c r="M539" s="79"/>
      <c r="N539" s="79"/>
      <c r="O539" s="79"/>
      <c r="P539" s="79"/>
      <c r="Q539" s="79"/>
      <c r="R539" s="79"/>
      <c r="S539" s="79"/>
      <c r="T539" s="79"/>
      <c r="U539" s="79"/>
      <c r="V539" s="79"/>
      <c r="W539" s="79"/>
      <c r="X539" s="79"/>
      <c r="Y539" s="79"/>
      <c r="Z539" s="79"/>
      <c r="AA539" s="79"/>
      <c r="AB539" s="79"/>
      <c r="AC539" s="79"/>
    </row>
    <row r="540" spans="1:29" ht="12.75" customHeight="1">
      <c r="A540" s="79"/>
      <c r="B540" s="79"/>
      <c r="C540" s="79"/>
      <c r="D540" s="79"/>
      <c r="E540" s="79"/>
      <c r="F540" s="79"/>
      <c r="G540" s="79"/>
      <c r="H540" s="79"/>
      <c r="I540" s="125"/>
      <c r="J540" s="79"/>
      <c r="K540" s="79"/>
      <c r="L540" s="79"/>
      <c r="M540" s="79"/>
      <c r="N540" s="79"/>
      <c r="O540" s="79"/>
      <c r="P540" s="79"/>
      <c r="Q540" s="79"/>
      <c r="R540" s="79"/>
      <c r="S540" s="79"/>
      <c r="T540" s="79"/>
      <c r="U540" s="79"/>
      <c r="V540" s="79"/>
      <c r="W540" s="79"/>
      <c r="X540" s="79"/>
      <c r="Y540" s="79"/>
      <c r="Z540" s="79"/>
      <c r="AA540" s="79"/>
      <c r="AB540" s="79"/>
      <c r="AC540" s="79"/>
    </row>
    <row r="541" spans="1:29" ht="12.75" customHeight="1">
      <c r="A541" s="79"/>
      <c r="B541" s="79"/>
      <c r="C541" s="79"/>
      <c r="D541" s="79"/>
      <c r="E541" s="79"/>
      <c r="F541" s="79"/>
      <c r="G541" s="79"/>
      <c r="H541" s="79"/>
      <c r="I541" s="125"/>
      <c r="J541" s="79"/>
      <c r="K541" s="79"/>
      <c r="L541" s="79"/>
      <c r="M541" s="79"/>
      <c r="N541" s="79"/>
      <c r="O541" s="79"/>
      <c r="P541" s="79"/>
      <c r="Q541" s="79"/>
      <c r="R541" s="79"/>
      <c r="S541" s="79"/>
      <c r="T541" s="79"/>
      <c r="U541" s="79"/>
      <c r="V541" s="79"/>
      <c r="W541" s="79"/>
      <c r="X541" s="79"/>
      <c r="Y541" s="79"/>
      <c r="Z541" s="79"/>
      <c r="AA541" s="79"/>
      <c r="AB541" s="79"/>
      <c r="AC541" s="79"/>
    </row>
    <row r="542" spans="1:29" ht="12.75" customHeight="1">
      <c r="A542" s="79"/>
      <c r="B542" s="79"/>
      <c r="C542" s="79"/>
      <c r="D542" s="79"/>
      <c r="E542" s="79"/>
      <c r="F542" s="79"/>
      <c r="G542" s="79"/>
      <c r="H542" s="79"/>
      <c r="I542" s="125"/>
      <c r="J542" s="79"/>
      <c r="K542" s="79"/>
      <c r="L542" s="79"/>
      <c r="M542" s="79"/>
      <c r="N542" s="79"/>
      <c r="O542" s="79"/>
      <c r="P542" s="79"/>
      <c r="Q542" s="79"/>
      <c r="R542" s="79"/>
      <c r="S542" s="79"/>
      <c r="T542" s="79"/>
      <c r="U542" s="79"/>
      <c r="V542" s="79"/>
      <c r="W542" s="79"/>
      <c r="X542" s="79"/>
      <c r="Y542" s="79"/>
      <c r="Z542" s="79"/>
      <c r="AA542" s="79"/>
      <c r="AB542" s="79"/>
      <c r="AC542" s="79"/>
    </row>
    <row r="543" spans="1:29" ht="12.75" customHeight="1">
      <c r="A543" s="79"/>
      <c r="B543" s="79"/>
      <c r="C543" s="79"/>
      <c r="D543" s="79"/>
      <c r="E543" s="79"/>
      <c r="F543" s="79"/>
      <c r="G543" s="79"/>
      <c r="H543" s="79"/>
      <c r="I543" s="125"/>
      <c r="J543" s="79"/>
      <c r="K543" s="79"/>
      <c r="L543" s="79"/>
      <c r="M543" s="79"/>
      <c r="N543" s="79"/>
      <c r="O543" s="79"/>
      <c r="P543" s="79"/>
      <c r="Q543" s="79"/>
      <c r="R543" s="79"/>
      <c r="S543" s="79"/>
      <c r="T543" s="79"/>
      <c r="U543" s="79"/>
      <c r="V543" s="79"/>
      <c r="W543" s="79"/>
      <c r="X543" s="79"/>
      <c r="Y543" s="79"/>
      <c r="Z543" s="79"/>
      <c r="AA543" s="79"/>
      <c r="AB543" s="79"/>
      <c r="AC543" s="79"/>
    </row>
    <row r="544" spans="1:29" ht="12.75" customHeight="1">
      <c r="A544" s="79"/>
      <c r="B544" s="79"/>
      <c r="C544" s="79"/>
      <c r="D544" s="79"/>
      <c r="E544" s="79"/>
      <c r="F544" s="79"/>
      <c r="G544" s="79"/>
      <c r="H544" s="79"/>
      <c r="I544" s="125"/>
      <c r="J544" s="79"/>
      <c r="K544" s="79"/>
      <c r="L544" s="79"/>
      <c r="M544" s="79"/>
      <c r="N544" s="79"/>
      <c r="O544" s="79"/>
      <c r="P544" s="79"/>
      <c r="Q544" s="79"/>
      <c r="R544" s="79"/>
      <c r="S544" s="79"/>
      <c r="T544" s="79"/>
      <c r="U544" s="79"/>
      <c r="V544" s="79"/>
      <c r="W544" s="79"/>
      <c r="X544" s="79"/>
      <c r="Y544" s="79"/>
      <c r="Z544" s="79"/>
      <c r="AA544" s="79"/>
      <c r="AB544" s="79"/>
      <c r="AC544" s="79"/>
    </row>
    <row r="545" spans="1:29" ht="12.75" customHeight="1">
      <c r="A545" s="79"/>
      <c r="B545" s="79"/>
      <c r="C545" s="79"/>
      <c r="D545" s="79"/>
      <c r="E545" s="79"/>
      <c r="F545" s="79"/>
      <c r="G545" s="79"/>
      <c r="H545" s="79"/>
      <c r="I545" s="125"/>
      <c r="J545" s="79"/>
      <c r="K545" s="79"/>
      <c r="L545" s="79"/>
      <c r="M545" s="79"/>
      <c r="N545" s="79"/>
      <c r="O545" s="79"/>
      <c r="P545" s="79"/>
      <c r="Q545" s="79"/>
      <c r="R545" s="79"/>
      <c r="S545" s="79"/>
      <c r="T545" s="79"/>
      <c r="U545" s="79"/>
      <c r="V545" s="79"/>
      <c r="W545" s="79"/>
      <c r="X545" s="79"/>
      <c r="Y545" s="79"/>
      <c r="Z545" s="79"/>
      <c r="AA545" s="79"/>
      <c r="AB545" s="79"/>
      <c r="AC545" s="79"/>
    </row>
    <row r="546" spans="1:29" ht="12.75" customHeight="1">
      <c r="A546" s="79"/>
      <c r="B546" s="79"/>
      <c r="C546" s="79"/>
      <c r="D546" s="79"/>
      <c r="E546" s="79"/>
      <c r="F546" s="79"/>
      <c r="G546" s="79"/>
      <c r="H546" s="79"/>
      <c r="I546" s="125"/>
      <c r="J546" s="79"/>
      <c r="K546" s="79"/>
      <c r="L546" s="79"/>
      <c r="M546" s="79"/>
      <c r="N546" s="79"/>
      <c r="O546" s="79"/>
      <c r="P546" s="79"/>
      <c r="Q546" s="79"/>
      <c r="R546" s="79"/>
      <c r="S546" s="79"/>
      <c r="T546" s="79"/>
      <c r="U546" s="79"/>
      <c r="V546" s="79"/>
      <c r="W546" s="79"/>
      <c r="X546" s="79"/>
      <c r="Y546" s="79"/>
      <c r="Z546" s="79"/>
      <c r="AA546" s="79"/>
      <c r="AB546" s="79"/>
      <c r="AC546" s="79"/>
    </row>
    <row r="547" spans="1:29" ht="12.75" customHeight="1">
      <c r="A547" s="79"/>
      <c r="B547" s="79"/>
      <c r="C547" s="79"/>
      <c r="D547" s="79"/>
      <c r="E547" s="79"/>
      <c r="F547" s="79"/>
      <c r="G547" s="79"/>
      <c r="H547" s="79"/>
      <c r="I547" s="125"/>
      <c r="J547" s="79"/>
      <c r="K547" s="79"/>
      <c r="L547" s="79"/>
      <c r="M547" s="79"/>
      <c r="N547" s="79"/>
      <c r="O547" s="79"/>
      <c r="P547" s="79"/>
      <c r="Q547" s="79"/>
      <c r="R547" s="79"/>
      <c r="S547" s="79"/>
      <c r="T547" s="79"/>
      <c r="U547" s="79"/>
      <c r="V547" s="79"/>
      <c r="W547" s="79"/>
      <c r="X547" s="79"/>
      <c r="Y547" s="79"/>
      <c r="Z547" s="79"/>
      <c r="AA547" s="79"/>
      <c r="AB547" s="79"/>
      <c r="AC547" s="79"/>
    </row>
    <row r="548" spans="1:29" ht="12.75" customHeight="1">
      <c r="A548" s="79"/>
      <c r="B548" s="79"/>
      <c r="C548" s="79"/>
      <c r="D548" s="79"/>
      <c r="E548" s="79"/>
      <c r="F548" s="79"/>
      <c r="G548" s="79"/>
      <c r="H548" s="79"/>
      <c r="I548" s="125"/>
      <c r="J548" s="79"/>
      <c r="K548" s="79"/>
      <c r="L548" s="79"/>
      <c r="M548" s="79"/>
      <c r="N548" s="79"/>
      <c r="O548" s="79"/>
      <c r="P548" s="79"/>
      <c r="Q548" s="79"/>
      <c r="R548" s="79"/>
      <c r="S548" s="79"/>
      <c r="T548" s="79"/>
      <c r="U548" s="79"/>
      <c r="V548" s="79"/>
      <c r="W548" s="79"/>
      <c r="X548" s="79"/>
      <c r="Y548" s="79"/>
      <c r="Z548" s="79"/>
      <c r="AA548" s="79"/>
      <c r="AB548" s="79"/>
      <c r="AC548" s="79"/>
    </row>
    <row r="549" spans="1:29" ht="12.75" customHeight="1">
      <c r="A549" s="79"/>
      <c r="B549" s="79"/>
      <c r="C549" s="79"/>
      <c r="D549" s="79"/>
      <c r="E549" s="79"/>
      <c r="F549" s="79"/>
      <c r="G549" s="79"/>
      <c r="H549" s="79"/>
      <c r="I549" s="125"/>
      <c r="J549" s="79"/>
      <c r="K549" s="79"/>
      <c r="L549" s="79"/>
      <c r="M549" s="79"/>
      <c r="N549" s="79"/>
      <c r="O549" s="79"/>
      <c r="P549" s="79"/>
      <c r="Q549" s="79"/>
      <c r="R549" s="79"/>
      <c r="S549" s="79"/>
      <c r="T549" s="79"/>
      <c r="U549" s="79"/>
      <c r="V549" s="79"/>
      <c r="W549" s="79"/>
      <c r="X549" s="79"/>
      <c r="Y549" s="79"/>
      <c r="Z549" s="79"/>
      <c r="AA549" s="79"/>
      <c r="AB549" s="79"/>
      <c r="AC549" s="79"/>
    </row>
    <row r="550" spans="1:29" ht="12.75" customHeight="1">
      <c r="A550" s="79"/>
      <c r="B550" s="79"/>
      <c r="C550" s="79"/>
      <c r="D550" s="79"/>
      <c r="E550" s="79"/>
      <c r="F550" s="79"/>
      <c r="G550" s="79"/>
      <c r="H550" s="79"/>
      <c r="I550" s="125"/>
      <c r="J550" s="79"/>
      <c r="K550" s="79"/>
      <c r="L550" s="79"/>
      <c r="M550" s="79"/>
      <c r="N550" s="79"/>
      <c r="O550" s="79"/>
      <c r="P550" s="79"/>
      <c r="Q550" s="79"/>
      <c r="R550" s="79"/>
      <c r="S550" s="79"/>
      <c r="T550" s="79"/>
      <c r="U550" s="79"/>
      <c r="V550" s="79"/>
      <c r="W550" s="79"/>
      <c r="X550" s="79"/>
      <c r="Y550" s="79"/>
      <c r="Z550" s="79"/>
      <c r="AA550" s="79"/>
      <c r="AB550" s="79"/>
      <c r="AC550" s="79"/>
    </row>
    <row r="551" spans="1:29" ht="12.75" customHeight="1">
      <c r="A551" s="79"/>
      <c r="B551" s="79"/>
      <c r="C551" s="79"/>
      <c r="D551" s="79"/>
      <c r="E551" s="79"/>
      <c r="F551" s="79"/>
      <c r="G551" s="79"/>
      <c r="H551" s="79"/>
      <c r="I551" s="125"/>
      <c r="J551" s="79"/>
      <c r="K551" s="79"/>
      <c r="L551" s="79"/>
      <c r="M551" s="79"/>
      <c r="N551" s="79"/>
      <c r="O551" s="79"/>
      <c r="P551" s="79"/>
      <c r="Q551" s="79"/>
      <c r="R551" s="79"/>
      <c r="S551" s="79"/>
      <c r="T551" s="79"/>
      <c r="U551" s="79"/>
      <c r="V551" s="79"/>
      <c r="W551" s="79"/>
      <c r="X551" s="79"/>
      <c r="Y551" s="79"/>
      <c r="Z551" s="79"/>
      <c r="AA551" s="79"/>
      <c r="AB551" s="79"/>
      <c r="AC551" s="79"/>
    </row>
    <row r="552" spans="1:29" ht="12.75" customHeight="1">
      <c r="A552" s="79"/>
      <c r="B552" s="79"/>
      <c r="C552" s="79"/>
      <c r="D552" s="79"/>
      <c r="E552" s="79"/>
      <c r="F552" s="79"/>
      <c r="G552" s="79"/>
      <c r="H552" s="79"/>
      <c r="I552" s="125"/>
      <c r="J552" s="79"/>
      <c r="K552" s="79"/>
      <c r="L552" s="79"/>
      <c r="M552" s="79"/>
      <c r="N552" s="79"/>
      <c r="O552" s="79"/>
      <c r="P552" s="79"/>
      <c r="Q552" s="79"/>
      <c r="R552" s="79"/>
      <c r="S552" s="79"/>
      <c r="T552" s="79"/>
      <c r="U552" s="79"/>
      <c r="V552" s="79"/>
      <c r="W552" s="79"/>
      <c r="X552" s="79"/>
      <c r="Y552" s="79"/>
      <c r="Z552" s="79"/>
      <c r="AA552" s="79"/>
      <c r="AB552" s="79"/>
      <c r="AC552" s="79"/>
    </row>
    <row r="553" spans="1:29" ht="12.75" customHeight="1">
      <c r="A553" s="79"/>
      <c r="B553" s="79"/>
      <c r="C553" s="79"/>
      <c r="D553" s="79"/>
      <c r="E553" s="79"/>
      <c r="F553" s="79"/>
      <c r="G553" s="79"/>
      <c r="H553" s="79"/>
      <c r="I553" s="125"/>
      <c r="J553" s="79"/>
      <c r="K553" s="79"/>
      <c r="L553" s="79"/>
      <c r="M553" s="79"/>
      <c r="N553" s="79"/>
      <c r="O553" s="79"/>
      <c r="P553" s="79"/>
      <c r="Q553" s="79"/>
      <c r="R553" s="79"/>
      <c r="S553" s="79"/>
      <c r="T553" s="79"/>
      <c r="U553" s="79"/>
      <c r="V553" s="79"/>
      <c r="W553" s="79"/>
      <c r="X553" s="79"/>
      <c r="Y553" s="79"/>
      <c r="Z553" s="79"/>
      <c r="AA553" s="79"/>
      <c r="AB553" s="79"/>
      <c r="AC553" s="79"/>
    </row>
    <row r="554" spans="1:29" ht="12.75" customHeight="1">
      <c r="A554" s="79"/>
      <c r="B554" s="79"/>
      <c r="C554" s="79"/>
      <c r="D554" s="79"/>
      <c r="E554" s="79"/>
      <c r="F554" s="79"/>
      <c r="G554" s="79"/>
      <c r="H554" s="79"/>
      <c r="I554" s="125"/>
      <c r="J554" s="79"/>
      <c r="K554" s="79"/>
      <c r="L554" s="79"/>
      <c r="M554" s="79"/>
      <c r="N554" s="79"/>
      <c r="O554" s="79"/>
      <c r="P554" s="79"/>
      <c r="Q554" s="79"/>
      <c r="R554" s="79"/>
      <c r="S554" s="79"/>
      <c r="T554" s="79"/>
      <c r="U554" s="79"/>
      <c r="V554" s="79"/>
      <c r="W554" s="79"/>
      <c r="X554" s="79"/>
      <c r="Y554" s="79"/>
      <c r="Z554" s="79"/>
      <c r="AA554" s="79"/>
      <c r="AB554" s="79"/>
      <c r="AC554" s="79"/>
    </row>
    <row r="555" spans="1:29" ht="12.75" customHeight="1">
      <c r="A555" s="79"/>
      <c r="B555" s="79"/>
      <c r="C555" s="79"/>
      <c r="D555" s="79"/>
      <c r="E555" s="79"/>
      <c r="F555" s="79"/>
      <c r="G555" s="79"/>
      <c r="H555" s="79"/>
      <c r="I555" s="125"/>
      <c r="J555" s="79"/>
      <c r="K555" s="79"/>
      <c r="L555" s="79"/>
      <c r="M555" s="79"/>
      <c r="N555" s="79"/>
      <c r="O555" s="79"/>
      <c r="P555" s="79"/>
      <c r="Q555" s="79"/>
      <c r="R555" s="79"/>
      <c r="S555" s="79"/>
      <c r="T555" s="79"/>
      <c r="U555" s="79"/>
      <c r="V555" s="79"/>
      <c r="W555" s="79"/>
      <c r="X555" s="79"/>
      <c r="Y555" s="79"/>
      <c r="Z555" s="79"/>
      <c r="AA555" s="79"/>
      <c r="AB555" s="79"/>
      <c r="AC555" s="79"/>
    </row>
    <row r="556" spans="1:29" ht="12.75" customHeight="1">
      <c r="A556" s="79"/>
      <c r="B556" s="79"/>
      <c r="C556" s="79"/>
      <c r="D556" s="79"/>
      <c r="E556" s="79"/>
      <c r="F556" s="79"/>
      <c r="G556" s="79"/>
      <c r="H556" s="79"/>
      <c r="I556" s="125"/>
      <c r="J556" s="79"/>
      <c r="K556" s="79"/>
      <c r="L556" s="79"/>
      <c r="M556" s="79"/>
      <c r="N556" s="79"/>
      <c r="O556" s="79"/>
      <c r="P556" s="79"/>
      <c r="Q556" s="79"/>
      <c r="R556" s="79"/>
      <c r="S556" s="79"/>
      <c r="T556" s="79"/>
      <c r="U556" s="79"/>
      <c r="V556" s="79"/>
      <c r="W556" s="79"/>
      <c r="X556" s="79"/>
      <c r="Y556" s="79"/>
      <c r="Z556" s="79"/>
      <c r="AA556" s="79"/>
      <c r="AB556" s="79"/>
      <c r="AC556" s="79"/>
    </row>
    <row r="557" spans="1:29" ht="12.75" customHeight="1">
      <c r="A557" s="79"/>
      <c r="B557" s="79"/>
      <c r="C557" s="79"/>
      <c r="D557" s="79"/>
      <c r="E557" s="79"/>
      <c r="F557" s="79"/>
      <c r="G557" s="79"/>
      <c r="H557" s="79"/>
      <c r="I557" s="125"/>
      <c r="J557" s="79"/>
      <c r="K557" s="79"/>
      <c r="L557" s="79"/>
      <c r="M557" s="79"/>
      <c r="N557" s="79"/>
      <c r="O557" s="79"/>
      <c r="P557" s="79"/>
      <c r="Q557" s="79"/>
      <c r="R557" s="79"/>
      <c r="S557" s="79"/>
      <c r="T557" s="79"/>
      <c r="U557" s="79"/>
      <c r="V557" s="79"/>
      <c r="W557" s="79"/>
      <c r="X557" s="79"/>
      <c r="Y557" s="79"/>
      <c r="Z557" s="79"/>
      <c r="AA557" s="79"/>
      <c r="AB557" s="79"/>
      <c r="AC557" s="79"/>
    </row>
    <row r="558" spans="1:29" ht="12.75" customHeight="1">
      <c r="A558" s="79"/>
      <c r="B558" s="79"/>
      <c r="C558" s="79"/>
      <c r="D558" s="79"/>
      <c r="E558" s="79"/>
      <c r="F558" s="79"/>
      <c r="G558" s="79"/>
      <c r="H558" s="79"/>
      <c r="I558" s="125"/>
      <c r="J558" s="79"/>
      <c r="K558" s="79"/>
      <c r="L558" s="79"/>
      <c r="M558" s="79"/>
      <c r="N558" s="79"/>
      <c r="O558" s="79"/>
      <c r="P558" s="79"/>
      <c r="Q558" s="79"/>
      <c r="R558" s="79"/>
      <c r="S558" s="79"/>
      <c r="T558" s="79"/>
      <c r="U558" s="79"/>
      <c r="V558" s="79"/>
      <c r="W558" s="79"/>
      <c r="X558" s="79"/>
      <c r="Y558" s="79"/>
      <c r="Z558" s="79"/>
      <c r="AA558" s="79"/>
      <c r="AB558" s="79"/>
      <c r="AC558" s="79"/>
    </row>
    <row r="559" spans="1:29" ht="12.75" customHeight="1">
      <c r="A559" s="79"/>
      <c r="B559" s="79"/>
      <c r="C559" s="79"/>
      <c r="D559" s="79"/>
      <c r="E559" s="79"/>
      <c r="F559" s="79"/>
      <c r="G559" s="79"/>
      <c r="H559" s="79"/>
      <c r="I559" s="125"/>
      <c r="J559" s="79"/>
      <c r="K559" s="79"/>
      <c r="L559" s="79"/>
      <c r="M559" s="79"/>
      <c r="N559" s="79"/>
      <c r="O559" s="79"/>
      <c r="P559" s="79"/>
      <c r="Q559" s="79"/>
      <c r="R559" s="79"/>
      <c r="S559" s="79"/>
      <c r="T559" s="79"/>
      <c r="U559" s="79"/>
      <c r="V559" s="79"/>
      <c r="W559" s="79"/>
      <c r="X559" s="79"/>
      <c r="Y559" s="79"/>
      <c r="Z559" s="79"/>
      <c r="AA559" s="79"/>
      <c r="AB559" s="79"/>
      <c r="AC559" s="79"/>
    </row>
    <row r="560" spans="1:29" ht="12.75" customHeight="1">
      <c r="A560" s="79"/>
      <c r="B560" s="79"/>
      <c r="C560" s="79"/>
      <c r="D560" s="79"/>
      <c r="E560" s="79"/>
      <c r="F560" s="79"/>
      <c r="G560" s="79"/>
      <c r="H560" s="79"/>
      <c r="I560" s="125"/>
      <c r="J560" s="79"/>
      <c r="K560" s="79"/>
      <c r="L560" s="79"/>
      <c r="M560" s="79"/>
      <c r="N560" s="79"/>
      <c r="O560" s="79"/>
      <c r="P560" s="79"/>
      <c r="Q560" s="79"/>
      <c r="R560" s="79"/>
      <c r="S560" s="79"/>
      <c r="T560" s="79"/>
      <c r="U560" s="79"/>
      <c r="V560" s="79"/>
      <c r="W560" s="79"/>
      <c r="X560" s="79"/>
      <c r="Y560" s="79"/>
      <c r="Z560" s="79"/>
      <c r="AA560" s="79"/>
      <c r="AB560" s="79"/>
      <c r="AC560" s="79"/>
    </row>
    <row r="561" spans="1:29" ht="12.75" customHeight="1">
      <c r="A561" s="79"/>
      <c r="B561" s="79"/>
      <c r="C561" s="79"/>
      <c r="D561" s="79"/>
      <c r="E561" s="79"/>
      <c r="F561" s="79"/>
      <c r="G561" s="79"/>
      <c r="H561" s="79"/>
      <c r="I561" s="125"/>
      <c r="J561" s="79"/>
      <c r="K561" s="79"/>
      <c r="L561" s="79"/>
      <c r="M561" s="79"/>
      <c r="N561" s="79"/>
      <c r="O561" s="79"/>
      <c r="P561" s="79"/>
      <c r="Q561" s="79"/>
      <c r="R561" s="79"/>
      <c r="S561" s="79"/>
      <c r="T561" s="79"/>
      <c r="U561" s="79"/>
      <c r="V561" s="79"/>
      <c r="W561" s="79"/>
      <c r="X561" s="79"/>
      <c r="Y561" s="79"/>
      <c r="Z561" s="79"/>
      <c r="AA561" s="79"/>
      <c r="AB561" s="79"/>
      <c r="AC561" s="79"/>
    </row>
    <row r="562" spans="1:29" ht="12.75" customHeight="1">
      <c r="A562" s="79"/>
      <c r="B562" s="79"/>
      <c r="C562" s="79"/>
      <c r="D562" s="79"/>
      <c r="E562" s="79"/>
      <c r="F562" s="79"/>
      <c r="G562" s="79"/>
      <c r="H562" s="79"/>
      <c r="I562" s="125"/>
      <c r="J562" s="79"/>
      <c r="K562" s="79"/>
      <c r="L562" s="79"/>
      <c r="M562" s="79"/>
      <c r="N562" s="79"/>
      <c r="O562" s="79"/>
      <c r="P562" s="79"/>
      <c r="Q562" s="79"/>
      <c r="R562" s="79"/>
      <c r="S562" s="79"/>
      <c r="T562" s="79"/>
      <c r="U562" s="79"/>
      <c r="V562" s="79"/>
      <c r="W562" s="79"/>
      <c r="X562" s="79"/>
      <c r="Y562" s="79"/>
      <c r="Z562" s="79"/>
      <c r="AA562" s="79"/>
      <c r="AB562" s="79"/>
      <c r="AC562" s="79"/>
    </row>
    <row r="563" spans="1:29" ht="12.75" customHeight="1">
      <c r="A563" s="79"/>
      <c r="B563" s="79"/>
      <c r="C563" s="79"/>
      <c r="D563" s="79"/>
      <c r="E563" s="79"/>
      <c r="F563" s="79"/>
      <c r="G563" s="79"/>
      <c r="H563" s="79"/>
      <c r="I563" s="125"/>
      <c r="J563" s="79"/>
      <c r="K563" s="79"/>
      <c r="L563" s="79"/>
      <c r="M563" s="79"/>
      <c r="N563" s="79"/>
      <c r="O563" s="79"/>
      <c r="P563" s="79"/>
      <c r="Q563" s="79"/>
      <c r="R563" s="79"/>
      <c r="S563" s="79"/>
      <c r="T563" s="79"/>
      <c r="U563" s="79"/>
      <c r="V563" s="79"/>
      <c r="W563" s="79"/>
      <c r="X563" s="79"/>
      <c r="Y563" s="79"/>
      <c r="Z563" s="79"/>
      <c r="AA563" s="79"/>
      <c r="AB563" s="79"/>
      <c r="AC563" s="79"/>
    </row>
    <row r="564" spans="1:29" ht="12.75" customHeight="1">
      <c r="A564" s="79"/>
      <c r="B564" s="79"/>
      <c r="C564" s="79"/>
      <c r="D564" s="79"/>
      <c r="E564" s="79"/>
      <c r="F564" s="79"/>
      <c r="G564" s="79"/>
      <c r="H564" s="79"/>
      <c r="I564" s="125"/>
      <c r="J564" s="79"/>
      <c r="K564" s="79"/>
      <c r="L564" s="79"/>
      <c r="M564" s="79"/>
      <c r="N564" s="79"/>
      <c r="O564" s="79"/>
      <c r="P564" s="79"/>
      <c r="Q564" s="79"/>
      <c r="R564" s="79"/>
      <c r="S564" s="79"/>
      <c r="T564" s="79"/>
      <c r="U564" s="79"/>
      <c r="V564" s="79"/>
      <c r="W564" s="79"/>
      <c r="X564" s="79"/>
      <c r="Y564" s="79"/>
      <c r="Z564" s="79"/>
      <c r="AA564" s="79"/>
      <c r="AB564" s="79"/>
      <c r="AC564" s="79"/>
    </row>
    <row r="565" spans="1:29" ht="12.75" customHeight="1">
      <c r="A565" s="79"/>
      <c r="B565" s="79"/>
      <c r="C565" s="79"/>
      <c r="D565" s="79"/>
      <c r="E565" s="79"/>
      <c r="F565" s="79"/>
      <c r="G565" s="79"/>
      <c r="H565" s="79"/>
      <c r="I565" s="125"/>
      <c r="J565" s="79"/>
      <c r="K565" s="79"/>
      <c r="L565" s="79"/>
      <c r="M565" s="79"/>
      <c r="N565" s="79"/>
      <c r="O565" s="79"/>
      <c r="P565" s="79"/>
      <c r="Q565" s="79"/>
      <c r="R565" s="79"/>
      <c r="S565" s="79"/>
      <c r="T565" s="79"/>
      <c r="U565" s="79"/>
      <c r="V565" s="79"/>
      <c r="W565" s="79"/>
      <c r="X565" s="79"/>
      <c r="Y565" s="79"/>
      <c r="Z565" s="79"/>
      <c r="AA565" s="79"/>
      <c r="AB565" s="79"/>
      <c r="AC565" s="79"/>
    </row>
    <row r="566" spans="1:29" ht="12.75" customHeight="1">
      <c r="A566" s="79"/>
      <c r="B566" s="79"/>
      <c r="C566" s="79"/>
      <c r="D566" s="79"/>
      <c r="E566" s="79"/>
      <c r="F566" s="79"/>
      <c r="G566" s="79"/>
      <c r="H566" s="79"/>
      <c r="I566" s="125"/>
      <c r="J566" s="79"/>
      <c r="K566" s="79"/>
      <c r="L566" s="79"/>
      <c r="M566" s="79"/>
      <c r="N566" s="79"/>
      <c r="O566" s="79"/>
      <c r="P566" s="79"/>
      <c r="Q566" s="79"/>
      <c r="R566" s="79"/>
      <c r="S566" s="79"/>
      <c r="T566" s="79"/>
      <c r="U566" s="79"/>
      <c r="V566" s="79"/>
      <c r="W566" s="79"/>
      <c r="X566" s="79"/>
      <c r="Y566" s="79"/>
      <c r="Z566" s="79"/>
      <c r="AA566" s="79"/>
      <c r="AB566" s="79"/>
      <c r="AC566" s="79"/>
    </row>
    <row r="567" spans="1:29" ht="12.75" customHeight="1">
      <c r="A567" s="79"/>
      <c r="B567" s="79"/>
      <c r="C567" s="79"/>
      <c r="D567" s="79"/>
      <c r="E567" s="79"/>
      <c r="F567" s="79"/>
      <c r="G567" s="79"/>
      <c r="H567" s="79"/>
      <c r="I567" s="125"/>
      <c r="J567" s="79"/>
      <c r="K567" s="79"/>
      <c r="L567" s="79"/>
      <c r="M567" s="79"/>
      <c r="N567" s="79"/>
      <c r="O567" s="79"/>
      <c r="P567" s="79"/>
      <c r="Q567" s="79"/>
      <c r="R567" s="79"/>
      <c r="S567" s="79"/>
      <c r="T567" s="79"/>
      <c r="U567" s="79"/>
      <c r="V567" s="79"/>
      <c r="W567" s="79"/>
      <c r="X567" s="79"/>
      <c r="Y567" s="79"/>
      <c r="Z567" s="79"/>
      <c r="AA567" s="79"/>
      <c r="AB567" s="79"/>
      <c r="AC567" s="79"/>
    </row>
    <row r="568" spans="1:29" ht="12.75" customHeight="1">
      <c r="A568" s="79"/>
      <c r="B568" s="79"/>
      <c r="C568" s="79"/>
      <c r="D568" s="79"/>
      <c r="E568" s="79"/>
      <c r="F568" s="79"/>
      <c r="G568" s="79"/>
      <c r="H568" s="79"/>
      <c r="I568" s="125"/>
      <c r="J568" s="79"/>
      <c r="K568" s="79"/>
      <c r="L568" s="79"/>
      <c r="M568" s="79"/>
      <c r="N568" s="79"/>
      <c r="O568" s="79"/>
      <c r="P568" s="79"/>
      <c r="Q568" s="79"/>
      <c r="R568" s="79"/>
      <c r="S568" s="79"/>
      <c r="T568" s="79"/>
      <c r="U568" s="79"/>
      <c r="V568" s="79"/>
      <c r="W568" s="79"/>
      <c r="X568" s="79"/>
      <c r="Y568" s="79"/>
      <c r="Z568" s="79"/>
      <c r="AA568" s="79"/>
      <c r="AB568" s="79"/>
      <c r="AC568" s="79"/>
    </row>
    <row r="569" spans="1:29" ht="12.75" customHeight="1">
      <c r="A569" s="79"/>
      <c r="B569" s="79"/>
      <c r="C569" s="79"/>
      <c r="D569" s="79"/>
      <c r="E569" s="79"/>
      <c r="F569" s="79"/>
      <c r="G569" s="79"/>
      <c r="H569" s="79"/>
      <c r="I569" s="125"/>
      <c r="J569" s="79"/>
      <c r="K569" s="79"/>
      <c r="L569" s="79"/>
      <c r="M569" s="79"/>
      <c r="N569" s="79"/>
      <c r="O569" s="79"/>
      <c r="P569" s="79"/>
      <c r="Q569" s="79"/>
      <c r="R569" s="79"/>
      <c r="S569" s="79"/>
      <c r="T569" s="79"/>
      <c r="U569" s="79"/>
      <c r="V569" s="79"/>
      <c r="W569" s="79"/>
      <c r="X569" s="79"/>
      <c r="Y569" s="79"/>
      <c r="Z569" s="79"/>
      <c r="AA569" s="79"/>
      <c r="AB569" s="79"/>
      <c r="AC569" s="79"/>
    </row>
    <row r="570" spans="1:29" ht="12.75" customHeight="1">
      <c r="A570" s="79"/>
      <c r="B570" s="79"/>
      <c r="C570" s="79"/>
      <c r="D570" s="79"/>
      <c r="E570" s="79"/>
      <c r="F570" s="79"/>
      <c r="G570" s="79"/>
      <c r="H570" s="79"/>
      <c r="I570" s="125"/>
      <c r="J570" s="79"/>
      <c r="K570" s="79"/>
      <c r="L570" s="79"/>
      <c r="M570" s="79"/>
      <c r="N570" s="79"/>
      <c r="O570" s="79"/>
      <c r="P570" s="79"/>
      <c r="Q570" s="79"/>
      <c r="R570" s="79"/>
      <c r="S570" s="79"/>
      <c r="T570" s="79"/>
      <c r="U570" s="79"/>
      <c r="V570" s="79"/>
      <c r="W570" s="79"/>
      <c r="X570" s="79"/>
      <c r="Y570" s="79"/>
      <c r="Z570" s="79"/>
      <c r="AA570" s="79"/>
      <c r="AB570" s="79"/>
      <c r="AC570" s="79"/>
    </row>
    <row r="571" spans="1:29" ht="12.75" customHeight="1">
      <c r="A571" s="79"/>
      <c r="B571" s="79"/>
      <c r="C571" s="79"/>
      <c r="D571" s="79"/>
      <c r="E571" s="79"/>
      <c r="F571" s="79"/>
      <c r="G571" s="79"/>
      <c r="H571" s="79"/>
      <c r="I571" s="125"/>
      <c r="J571" s="79"/>
      <c r="K571" s="79"/>
      <c r="L571" s="79"/>
      <c r="M571" s="79"/>
      <c r="N571" s="79"/>
      <c r="O571" s="79"/>
      <c r="P571" s="79"/>
      <c r="Q571" s="79"/>
      <c r="R571" s="79"/>
      <c r="S571" s="79"/>
      <c r="T571" s="79"/>
      <c r="U571" s="79"/>
      <c r="V571" s="79"/>
      <c r="W571" s="79"/>
      <c r="X571" s="79"/>
      <c r="Y571" s="79"/>
      <c r="Z571" s="79"/>
      <c r="AA571" s="79"/>
      <c r="AB571" s="79"/>
      <c r="AC571" s="79"/>
    </row>
    <row r="572" spans="1:29" ht="12.75" customHeight="1">
      <c r="A572" s="79"/>
      <c r="B572" s="79"/>
      <c r="C572" s="79"/>
      <c r="D572" s="79"/>
      <c r="E572" s="79"/>
      <c r="F572" s="79"/>
      <c r="G572" s="79"/>
      <c r="H572" s="79"/>
      <c r="I572" s="125"/>
      <c r="J572" s="79"/>
      <c r="K572" s="79"/>
      <c r="L572" s="79"/>
      <c r="M572" s="79"/>
      <c r="N572" s="79"/>
      <c r="O572" s="79"/>
      <c r="P572" s="79"/>
      <c r="Q572" s="79"/>
      <c r="R572" s="79"/>
      <c r="S572" s="79"/>
      <c r="T572" s="79"/>
      <c r="U572" s="79"/>
      <c r="V572" s="79"/>
      <c r="W572" s="79"/>
      <c r="X572" s="79"/>
      <c r="Y572" s="79"/>
      <c r="Z572" s="79"/>
      <c r="AA572" s="79"/>
      <c r="AB572" s="79"/>
      <c r="AC572" s="79"/>
    </row>
    <row r="573" spans="1:29" ht="12.75" customHeight="1">
      <c r="A573" s="79"/>
      <c r="B573" s="79"/>
      <c r="C573" s="79"/>
      <c r="D573" s="79"/>
      <c r="E573" s="79"/>
      <c r="F573" s="79"/>
      <c r="G573" s="79"/>
      <c r="H573" s="79"/>
      <c r="I573" s="125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  <c r="U573" s="79"/>
      <c r="V573" s="79"/>
      <c r="W573" s="79"/>
      <c r="X573" s="79"/>
      <c r="Y573" s="79"/>
      <c r="Z573" s="79"/>
      <c r="AA573" s="79"/>
      <c r="AB573" s="79"/>
      <c r="AC573" s="79"/>
    </row>
    <row r="574" spans="1:29" ht="12.75" customHeight="1">
      <c r="A574" s="79"/>
      <c r="B574" s="79"/>
      <c r="C574" s="79"/>
      <c r="D574" s="79"/>
      <c r="E574" s="79"/>
      <c r="F574" s="79"/>
      <c r="G574" s="79"/>
      <c r="H574" s="79"/>
      <c r="I574" s="125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  <c r="U574" s="79"/>
      <c r="V574" s="79"/>
      <c r="W574" s="79"/>
      <c r="X574" s="79"/>
      <c r="Y574" s="79"/>
      <c r="Z574" s="79"/>
      <c r="AA574" s="79"/>
      <c r="AB574" s="79"/>
      <c r="AC574" s="79"/>
    </row>
    <row r="575" spans="1:29" ht="12.75" customHeight="1">
      <c r="A575" s="79"/>
      <c r="B575" s="79"/>
      <c r="C575" s="79"/>
      <c r="D575" s="79"/>
      <c r="E575" s="79"/>
      <c r="F575" s="79"/>
      <c r="G575" s="79"/>
      <c r="H575" s="79"/>
      <c r="I575" s="125"/>
      <c r="J575" s="79"/>
      <c r="K575" s="79"/>
      <c r="L575" s="79"/>
      <c r="M575" s="79"/>
      <c r="N575" s="79"/>
      <c r="O575" s="79"/>
      <c r="P575" s="79"/>
      <c r="Q575" s="79"/>
      <c r="R575" s="79"/>
      <c r="S575" s="79"/>
      <c r="T575" s="79"/>
      <c r="U575" s="79"/>
      <c r="V575" s="79"/>
      <c r="W575" s="79"/>
      <c r="X575" s="79"/>
      <c r="Y575" s="79"/>
      <c r="Z575" s="79"/>
      <c r="AA575" s="79"/>
      <c r="AB575" s="79"/>
      <c r="AC575" s="79"/>
    </row>
    <row r="576" spans="1:29" ht="12.75" customHeight="1">
      <c r="A576" s="79"/>
      <c r="B576" s="79"/>
      <c r="C576" s="79"/>
      <c r="D576" s="79"/>
      <c r="E576" s="79"/>
      <c r="F576" s="79"/>
      <c r="G576" s="79"/>
      <c r="H576" s="79"/>
      <c r="I576" s="125"/>
      <c r="J576" s="79"/>
      <c r="K576" s="79"/>
      <c r="L576" s="79"/>
      <c r="M576" s="79"/>
      <c r="N576" s="79"/>
      <c r="O576" s="79"/>
      <c r="P576" s="79"/>
      <c r="Q576" s="79"/>
      <c r="R576" s="79"/>
      <c r="S576" s="79"/>
      <c r="T576" s="79"/>
      <c r="U576" s="79"/>
      <c r="V576" s="79"/>
      <c r="W576" s="79"/>
      <c r="X576" s="79"/>
      <c r="Y576" s="79"/>
      <c r="Z576" s="79"/>
      <c r="AA576" s="79"/>
      <c r="AB576" s="79"/>
      <c r="AC576" s="79"/>
    </row>
    <row r="577" spans="1:29" ht="12.75" customHeight="1">
      <c r="A577" s="79"/>
      <c r="B577" s="79"/>
      <c r="C577" s="79"/>
      <c r="D577" s="79"/>
      <c r="E577" s="79"/>
      <c r="F577" s="79"/>
      <c r="G577" s="79"/>
      <c r="H577" s="79"/>
      <c r="I577" s="125"/>
      <c r="J577" s="79"/>
      <c r="K577" s="79"/>
      <c r="L577" s="79"/>
      <c r="M577" s="79"/>
      <c r="N577" s="79"/>
      <c r="O577" s="79"/>
      <c r="P577" s="79"/>
      <c r="Q577" s="79"/>
      <c r="R577" s="79"/>
      <c r="S577" s="79"/>
      <c r="T577" s="79"/>
      <c r="U577" s="79"/>
      <c r="V577" s="79"/>
      <c r="W577" s="79"/>
      <c r="X577" s="79"/>
      <c r="Y577" s="79"/>
      <c r="Z577" s="79"/>
      <c r="AA577" s="79"/>
      <c r="AB577" s="79"/>
      <c r="AC577" s="79"/>
    </row>
    <row r="578" spans="1:29" ht="12.75" customHeight="1">
      <c r="A578" s="79"/>
      <c r="B578" s="79"/>
      <c r="C578" s="79"/>
      <c r="D578" s="79"/>
      <c r="E578" s="79"/>
      <c r="F578" s="79"/>
      <c r="G578" s="79"/>
      <c r="H578" s="79"/>
      <c r="I578" s="125"/>
      <c r="J578" s="79"/>
      <c r="K578" s="79"/>
      <c r="L578" s="79"/>
      <c r="M578" s="79"/>
      <c r="N578" s="79"/>
      <c r="O578" s="79"/>
      <c r="P578" s="79"/>
      <c r="Q578" s="79"/>
      <c r="R578" s="79"/>
      <c r="S578" s="79"/>
      <c r="T578" s="79"/>
      <c r="U578" s="79"/>
      <c r="V578" s="79"/>
      <c r="W578" s="79"/>
      <c r="X578" s="79"/>
      <c r="Y578" s="79"/>
      <c r="Z578" s="79"/>
      <c r="AA578" s="79"/>
      <c r="AB578" s="79"/>
      <c r="AC578" s="79"/>
    </row>
    <row r="579" spans="1:29" ht="12.75" customHeight="1">
      <c r="A579" s="79"/>
      <c r="B579" s="79"/>
      <c r="C579" s="79"/>
      <c r="D579" s="79"/>
      <c r="E579" s="79"/>
      <c r="F579" s="79"/>
      <c r="G579" s="79"/>
      <c r="H579" s="79"/>
      <c r="I579" s="125"/>
      <c r="J579" s="79"/>
      <c r="K579" s="79"/>
      <c r="L579" s="79"/>
      <c r="M579" s="79"/>
      <c r="N579" s="79"/>
      <c r="O579" s="79"/>
      <c r="P579" s="79"/>
      <c r="Q579" s="79"/>
      <c r="R579" s="79"/>
      <c r="S579" s="79"/>
      <c r="T579" s="79"/>
      <c r="U579" s="79"/>
      <c r="V579" s="79"/>
      <c r="W579" s="79"/>
      <c r="X579" s="79"/>
      <c r="Y579" s="79"/>
      <c r="Z579" s="79"/>
      <c r="AA579" s="79"/>
      <c r="AB579" s="79"/>
      <c r="AC579" s="79"/>
    </row>
    <row r="580" spans="1:29" ht="12.75" customHeight="1">
      <c r="A580" s="79"/>
      <c r="B580" s="79"/>
      <c r="C580" s="79"/>
      <c r="D580" s="79"/>
      <c r="E580" s="79"/>
      <c r="F580" s="79"/>
      <c r="G580" s="79"/>
      <c r="H580" s="79"/>
      <c r="I580" s="125"/>
      <c r="J580" s="79"/>
      <c r="K580" s="79"/>
      <c r="L580" s="79"/>
      <c r="M580" s="79"/>
      <c r="N580" s="79"/>
      <c r="O580" s="79"/>
      <c r="P580" s="79"/>
      <c r="Q580" s="79"/>
      <c r="R580" s="79"/>
      <c r="S580" s="79"/>
      <c r="T580" s="79"/>
      <c r="U580" s="79"/>
      <c r="V580" s="79"/>
      <c r="W580" s="79"/>
      <c r="X580" s="79"/>
      <c r="Y580" s="79"/>
      <c r="Z580" s="79"/>
      <c r="AA580" s="79"/>
      <c r="AB580" s="79"/>
      <c r="AC580" s="79"/>
    </row>
    <row r="581" spans="1:29" ht="12.75" customHeight="1">
      <c r="A581" s="79"/>
      <c r="B581" s="79"/>
      <c r="C581" s="79"/>
      <c r="D581" s="79"/>
      <c r="E581" s="79"/>
      <c r="F581" s="79"/>
      <c r="G581" s="79"/>
      <c r="H581" s="79"/>
      <c r="I581" s="125"/>
      <c r="J581" s="79"/>
      <c r="K581" s="79"/>
      <c r="L581" s="79"/>
      <c r="M581" s="79"/>
      <c r="N581" s="79"/>
      <c r="O581" s="79"/>
      <c r="P581" s="79"/>
      <c r="Q581" s="79"/>
      <c r="R581" s="79"/>
      <c r="S581" s="79"/>
      <c r="T581" s="79"/>
      <c r="U581" s="79"/>
      <c r="V581" s="79"/>
      <c r="W581" s="79"/>
      <c r="X581" s="79"/>
      <c r="Y581" s="79"/>
      <c r="Z581" s="79"/>
      <c r="AA581" s="79"/>
      <c r="AB581" s="79"/>
      <c r="AC581" s="79"/>
    </row>
    <row r="582" spans="1:29" ht="12.75" customHeight="1">
      <c r="A582" s="79"/>
      <c r="B582" s="79"/>
      <c r="C582" s="79"/>
      <c r="D582" s="79"/>
      <c r="E582" s="79"/>
      <c r="F582" s="79"/>
      <c r="G582" s="79"/>
      <c r="H582" s="79"/>
      <c r="I582" s="125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  <c r="U582" s="79"/>
      <c r="V582" s="79"/>
      <c r="W582" s="79"/>
      <c r="X582" s="79"/>
      <c r="Y582" s="79"/>
      <c r="Z582" s="79"/>
      <c r="AA582" s="79"/>
      <c r="AB582" s="79"/>
      <c r="AC582" s="79"/>
    </row>
    <row r="583" spans="1:29" ht="12.75" customHeight="1">
      <c r="A583" s="79"/>
      <c r="B583" s="79"/>
      <c r="C583" s="79"/>
      <c r="D583" s="79"/>
      <c r="E583" s="79"/>
      <c r="F583" s="79"/>
      <c r="G583" s="79"/>
      <c r="H583" s="79"/>
      <c r="I583" s="125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  <c r="U583" s="79"/>
      <c r="V583" s="79"/>
      <c r="W583" s="79"/>
      <c r="X583" s="79"/>
      <c r="Y583" s="79"/>
      <c r="Z583" s="79"/>
      <c r="AA583" s="79"/>
      <c r="AB583" s="79"/>
      <c r="AC583" s="79"/>
    </row>
    <row r="584" spans="1:29" ht="12.75" customHeight="1">
      <c r="A584" s="79"/>
      <c r="B584" s="79"/>
      <c r="C584" s="79"/>
      <c r="D584" s="79"/>
      <c r="E584" s="79"/>
      <c r="F584" s="79"/>
      <c r="G584" s="79"/>
      <c r="H584" s="79"/>
      <c r="I584" s="125"/>
      <c r="J584" s="79"/>
      <c r="K584" s="79"/>
      <c r="L584" s="79"/>
      <c r="M584" s="79"/>
      <c r="N584" s="79"/>
      <c r="O584" s="79"/>
      <c r="P584" s="79"/>
      <c r="Q584" s="79"/>
      <c r="R584" s="79"/>
      <c r="S584" s="79"/>
      <c r="T584" s="79"/>
      <c r="U584" s="79"/>
      <c r="V584" s="79"/>
      <c r="W584" s="79"/>
      <c r="X584" s="79"/>
      <c r="Y584" s="79"/>
      <c r="Z584" s="79"/>
      <c r="AA584" s="79"/>
      <c r="AB584" s="79"/>
      <c r="AC584" s="79"/>
    </row>
    <row r="585" spans="1:29" ht="12.75" customHeight="1">
      <c r="A585" s="79"/>
      <c r="B585" s="79"/>
      <c r="C585" s="79"/>
      <c r="D585" s="79"/>
      <c r="E585" s="79"/>
      <c r="F585" s="79"/>
      <c r="G585" s="79"/>
      <c r="H585" s="79"/>
      <c r="I585" s="125"/>
      <c r="J585" s="79"/>
      <c r="K585" s="79"/>
      <c r="L585" s="79"/>
      <c r="M585" s="79"/>
      <c r="N585" s="79"/>
      <c r="O585" s="79"/>
      <c r="P585" s="79"/>
      <c r="Q585" s="79"/>
      <c r="R585" s="79"/>
      <c r="S585" s="79"/>
      <c r="T585" s="79"/>
      <c r="U585" s="79"/>
      <c r="V585" s="79"/>
      <c r="W585" s="79"/>
      <c r="X585" s="79"/>
      <c r="Y585" s="79"/>
      <c r="Z585" s="79"/>
      <c r="AA585" s="79"/>
      <c r="AB585" s="79"/>
      <c r="AC585" s="79"/>
    </row>
    <row r="586" spans="1:29" ht="12.75" customHeight="1">
      <c r="A586" s="79"/>
      <c r="B586" s="79"/>
      <c r="C586" s="79"/>
      <c r="D586" s="79"/>
      <c r="E586" s="79"/>
      <c r="F586" s="79"/>
      <c r="G586" s="79"/>
      <c r="H586" s="79"/>
      <c r="I586" s="125"/>
      <c r="J586" s="79"/>
      <c r="K586" s="79"/>
      <c r="L586" s="79"/>
      <c r="M586" s="79"/>
      <c r="N586" s="79"/>
      <c r="O586" s="79"/>
      <c r="P586" s="79"/>
      <c r="Q586" s="79"/>
      <c r="R586" s="79"/>
      <c r="S586" s="79"/>
      <c r="T586" s="79"/>
      <c r="U586" s="79"/>
      <c r="V586" s="79"/>
      <c r="W586" s="79"/>
      <c r="X586" s="79"/>
      <c r="Y586" s="79"/>
      <c r="Z586" s="79"/>
      <c r="AA586" s="79"/>
      <c r="AB586" s="79"/>
      <c r="AC586" s="79"/>
    </row>
    <row r="587" spans="1:29" ht="12.75" customHeight="1">
      <c r="A587" s="79"/>
      <c r="B587" s="79"/>
      <c r="C587" s="79"/>
      <c r="D587" s="79"/>
      <c r="E587" s="79"/>
      <c r="F587" s="79"/>
      <c r="G587" s="79"/>
      <c r="H587" s="79"/>
      <c r="I587" s="125"/>
      <c r="J587" s="79"/>
      <c r="K587" s="79"/>
      <c r="L587" s="79"/>
      <c r="M587" s="79"/>
      <c r="N587" s="79"/>
      <c r="O587" s="79"/>
      <c r="P587" s="79"/>
      <c r="Q587" s="79"/>
      <c r="R587" s="79"/>
      <c r="S587" s="79"/>
      <c r="T587" s="79"/>
      <c r="U587" s="79"/>
      <c r="V587" s="79"/>
      <c r="W587" s="79"/>
      <c r="X587" s="79"/>
      <c r="Y587" s="79"/>
      <c r="Z587" s="79"/>
      <c r="AA587" s="79"/>
      <c r="AB587" s="79"/>
      <c r="AC587" s="79"/>
    </row>
    <row r="588" spans="1:29" ht="12.75" customHeight="1">
      <c r="A588" s="79"/>
      <c r="B588" s="79"/>
      <c r="C588" s="79"/>
      <c r="D588" s="79"/>
      <c r="E588" s="79"/>
      <c r="F588" s="79"/>
      <c r="G588" s="79"/>
      <c r="H588" s="79"/>
      <c r="I588" s="125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  <c r="U588" s="79"/>
      <c r="V588" s="79"/>
      <c r="W588" s="79"/>
      <c r="X588" s="79"/>
      <c r="Y588" s="79"/>
      <c r="Z588" s="79"/>
      <c r="AA588" s="79"/>
      <c r="AB588" s="79"/>
      <c r="AC588" s="79"/>
    </row>
    <row r="589" spans="1:29" ht="12.75" customHeight="1">
      <c r="A589" s="79"/>
      <c r="B589" s="79"/>
      <c r="C589" s="79"/>
      <c r="D589" s="79"/>
      <c r="E589" s="79"/>
      <c r="F589" s="79"/>
      <c r="G589" s="79"/>
      <c r="H589" s="79"/>
      <c r="I589" s="125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  <c r="U589" s="79"/>
      <c r="V589" s="79"/>
      <c r="W589" s="79"/>
      <c r="X589" s="79"/>
      <c r="Y589" s="79"/>
      <c r="Z589" s="79"/>
      <c r="AA589" s="79"/>
      <c r="AB589" s="79"/>
      <c r="AC589" s="79"/>
    </row>
    <row r="590" spans="1:29" ht="12.75" customHeight="1">
      <c r="A590" s="79"/>
      <c r="B590" s="79"/>
      <c r="C590" s="79"/>
      <c r="D590" s="79"/>
      <c r="E590" s="79"/>
      <c r="F590" s="79"/>
      <c r="G590" s="79"/>
      <c r="H590" s="79"/>
      <c r="I590" s="125"/>
      <c r="J590" s="79"/>
      <c r="K590" s="79"/>
      <c r="L590" s="79"/>
      <c r="M590" s="79"/>
      <c r="N590" s="79"/>
      <c r="O590" s="79"/>
      <c r="P590" s="79"/>
      <c r="Q590" s="79"/>
      <c r="R590" s="79"/>
      <c r="S590" s="79"/>
      <c r="T590" s="79"/>
      <c r="U590" s="79"/>
      <c r="V590" s="79"/>
      <c r="W590" s="79"/>
      <c r="X590" s="79"/>
      <c r="Y590" s="79"/>
      <c r="Z590" s="79"/>
      <c r="AA590" s="79"/>
      <c r="AB590" s="79"/>
      <c r="AC590" s="79"/>
    </row>
    <row r="591" spans="1:29" ht="12.75" customHeight="1">
      <c r="A591" s="79"/>
      <c r="B591" s="79"/>
      <c r="C591" s="79"/>
      <c r="D591" s="79"/>
      <c r="E591" s="79"/>
      <c r="F591" s="79"/>
      <c r="G591" s="79"/>
      <c r="H591" s="79"/>
      <c r="I591" s="125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  <c r="U591" s="79"/>
      <c r="V591" s="79"/>
      <c r="W591" s="79"/>
      <c r="X591" s="79"/>
      <c r="Y591" s="79"/>
      <c r="Z591" s="79"/>
      <c r="AA591" s="79"/>
      <c r="AB591" s="79"/>
      <c r="AC591" s="79"/>
    </row>
    <row r="592" spans="1:29" ht="12.75" customHeight="1">
      <c r="A592" s="79"/>
      <c r="B592" s="79"/>
      <c r="C592" s="79"/>
      <c r="D592" s="79"/>
      <c r="E592" s="79"/>
      <c r="F592" s="79"/>
      <c r="G592" s="79"/>
      <c r="H592" s="79"/>
      <c r="I592" s="125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  <c r="U592" s="79"/>
      <c r="V592" s="79"/>
      <c r="W592" s="79"/>
      <c r="X592" s="79"/>
      <c r="Y592" s="79"/>
      <c r="Z592" s="79"/>
      <c r="AA592" s="79"/>
      <c r="AB592" s="79"/>
      <c r="AC592" s="79"/>
    </row>
    <row r="593" spans="1:29" ht="12.75" customHeight="1">
      <c r="A593" s="79"/>
      <c r="B593" s="79"/>
      <c r="C593" s="79"/>
      <c r="D593" s="79"/>
      <c r="E593" s="79"/>
      <c r="F593" s="79"/>
      <c r="G593" s="79"/>
      <c r="H593" s="79"/>
      <c r="I593" s="125"/>
      <c r="J593" s="79"/>
      <c r="K593" s="79"/>
      <c r="L593" s="79"/>
      <c r="M593" s="79"/>
      <c r="N593" s="79"/>
      <c r="O593" s="79"/>
      <c r="P593" s="79"/>
      <c r="Q593" s="79"/>
      <c r="R593" s="79"/>
      <c r="S593" s="79"/>
      <c r="T593" s="79"/>
      <c r="U593" s="79"/>
      <c r="V593" s="79"/>
      <c r="W593" s="79"/>
      <c r="X593" s="79"/>
      <c r="Y593" s="79"/>
      <c r="Z593" s="79"/>
      <c r="AA593" s="79"/>
      <c r="AB593" s="79"/>
      <c r="AC593" s="79"/>
    </row>
    <row r="594" spans="1:29" ht="12.75" customHeight="1">
      <c r="A594" s="79"/>
      <c r="B594" s="79"/>
      <c r="C594" s="79"/>
      <c r="D594" s="79"/>
      <c r="E594" s="79"/>
      <c r="F594" s="79"/>
      <c r="G594" s="79"/>
      <c r="H594" s="79"/>
      <c r="I594" s="125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  <c r="U594" s="79"/>
      <c r="V594" s="79"/>
      <c r="W594" s="79"/>
      <c r="X594" s="79"/>
      <c r="Y594" s="79"/>
      <c r="Z594" s="79"/>
      <c r="AA594" s="79"/>
      <c r="AB594" s="79"/>
      <c r="AC594" s="79"/>
    </row>
    <row r="595" spans="1:29" ht="12.75" customHeight="1">
      <c r="A595" s="79"/>
      <c r="B595" s="79"/>
      <c r="C595" s="79"/>
      <c r="D595" s="79"/>
      <c r="E595" s="79"/>
      <c r="F595" s="79"/>
      <c r="G595" s="79"/>
      <c r="H595" s="79"/>
      <c r="I595" s="125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  <c r="U595" s="79"/>
      <c r="V595" s="79"/>
      <c r="W595" s="79"/>
      <c r="X595" s="79"/>
      <c r="Y595" s="79"/>
      <c r="Z595" s="79"/>
      <c r="AA595" s="79"/>
      <c r="AB595" s="79"/>
      <c r="AC595" s="79"/>
    </row>
    <row r="596" spans="1:29" ht="12.75" customHeight="1">
      <c r="A596" s="79"/>
      <c r="B596" s="79"/>
      <c r="C596" s="79"/>
      <c r="D596" s="79"/>
      <c r="E596" s="79"/>
      <c r="F596" s="79"/>
      <c r="G596" s="79"/>
      <c r="H596" s="79"/>
      <c r="I596" s="125"/>
      <c r="J596" s="79"/>
      <c r="K596" s="79"/>
      <c r="L596" s="79"/>
      <c r="M596" s="79"/>
      <c r="N596" s="79"/>
      <c r="O596" s="79"/>
      <c r="P596" s="79"/>
      <c r="Q596" s="79"/>
      <c r="R596" s="79"/>
      <c r="S596" s="79"/>
      <c r="T596" s="79"/>
      <c r="U596" s="79"/>
      <c r="V596" s="79"/>
      <c r="W596" s="79"/>
      <c r="X596" s="79"/>
      <c r="Y596" s="79"/>
      <c r="Z596" s="79"/>
      <c r="AA596" s="79"/>
      <c r="AB596" s="79"/>
      <c r="AC596" s="79"/>
    </row>
    <row r="597" spans="1:29" ht="12.75" customHeight="1">
      <c r="A597" s="79"/>
      <c r="B597" s="79"/>
      <c r="C597" s="79"/>
      <c r="D597" s="79"/>
      <c r="E597" s="79"/>
      <c r="F597" s="79"/>
      <c r="G597" s="79"/>
      <c r="H597" s="79"/>
      <c r="I597" s="125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  <c r="U597" s="79"/>
      <c r="V597" s="79"/>
      <c r="W597" s="79"/>
      <c r="X597" s="79"/>
      <c r="Y597" s="79"/>
      <c r="Z597" s="79"/>
      <c r="AA597" s="79"/>
      <c r="AB597" s="79"/>
      <c r="AC597" s="79"/>
    </row>
    <row r="598" spans="1:29" ht="12.75" customHeight="1">
      <c r="A598" s="79"/>
      <c r="B598" s="79"/>
      <c r="C598" s="79"/>
      <c r="D598" s="79"/>
      <c r="E598" s="79"/>
      <c r="F598" s="79"/>
      <c r="G598" s="79"/>
      <c r="H598" s="79"/>
      <c r="I598" s="125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  <c r="U598" s="79"/>
      <c r="V598" s="79"/>
      <c r="W598" s="79"/>
      <c r="X598" s="79"/>
      <c r="Y598" s="79"/>
      <c r="Z598" s="79"/>
      <c r="AA598" s="79"/>
      <c r="AB598" s="79"/>
      <c r="AC598" s="79"/>
    </row>
    <row r="599" spans="1:29" ht="12.75" customHeight="1">
      <c r="A599" s="79"/>
      <c r="B599" s="79"/>
      <c r="C599" s="79"/>
      <c r="D599" s="79"/>
      <c r="E599" s="79"/>
      <c r="F599" s="79"/>
      <c r="G599" s="79"/>
      <c r="H599" s="79"/>
      <c r="I599" s="125"/>
      <c r="J599" s="79"/>
      <c r="K599" s="79"/>
      <c r="L599" s="79"/>
      <c r="M599" s="79"/>
      <c r="N599" s="79"/>
      <c r="O599" s="79"/>
      <c r="P599" s="79"/>
      <c r="Q599" s="79"/>
      <c r="R599" s="79"/>
      <c r="S599" s="79"/>
      <c r="T599" s="79"/>
      <c r="U599" s="79"/>
      <c r="V599" s="79"/>
      <c r="W599" s="79"/>
      <c r="X599" s="79"/>
      <c r="Y599" s="79"/>
      <c r="Z599" s="79"/>
      <c r="AA599" s="79"/>
      <c r="AB599" s="79"/>
      <c r="AC599" s="79"/>
    </row>
    <row r="600" spans="1:29" ht="12.75" customHeight="1">
      <c r="A600" s="79"/>
      <c r="B600" s="79"/>
      <c r="C600" s="79"/>
      <c r="D600" s="79"/>
      <c r="E600" s="79"/>
      <c r="F600" s="79"/>
      <c r="G600" s="79"/>
      <c r="H600" s="79"/>
      <c r="I600" s="125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  <c r="U600" s="79"/>
      <c r="V600" s="79"/>
      <c r="W600" s="79"/>
      <c r="X600" s="79"/>
      <c r="Y600" s="79"/>
      <c r="Z600" s="79"/>
      <c r="AA600" s="79"/>
      <c r="AB600" s="79"/>
      <c r="AC600" s="79"/>
    </row>
    <row r="601" spans="1:29" ht="12.75" customHeight="1">
      <c r="A601" s="79"/>
      <c r="B601" s="79"/>
      <c r="C601" s="79"/>
      <c r="D601" s="79"/>
      <c r="E601" s="79"/>
      <c r="F601" s="79"/>
      <c r="G601" s="79"/>
      <c r="H601" s="79"/>
      <c r="I601" s="125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  <c r="U601" s="79"/>
      <c r="V601" s="79"/>
      <c r="W601" s="79"/>
      <c r="X601" s="79"/>
      <c r="Y601" s="79"/>
      <c r="Z601" s="79"/>
      <c r="AA601" s="79"/>
      <c r="AB601" s="79"/>
      <c r="AC601" s="79"/>
    </row>
    <row r="602" spans="1:29" ht="12.75" customHeight="1">
      <c r="A602" s="79"/>
      <c r="B602" s="79"/>
      <c r="C602" s="79"/>
      <c r="D602" s="79"/>
      <c r="E602" s="79"/>
      <c r="F602" s="79"/>
      <c r="G602" s="79"/>
      <c r="H602" s="79"/>
      <c r="I602" s="125"/>
      <c r="J602" s="79"/>
      <c r="K602" s="79"/>
      <c r="L602" s="79"/>
      <c r="M602" s="79"/>
      <c r="N602" s="79"/>
      <c r="O602" s="79"/>
      <c r="P602" s="79"/>
      <c r="Q602" s="79"/>
      <c r="R602" s="79"/>
      <c r="S602" s="79"/>
      <c r="T602" s="79"/>
      <c r="U602" s="79"/>
      <c r="V602" s="79"/>
      <c r="W602" s="79"/>
      <c r="X602" s="79"/>
      <c r="Y602" s="79"/>
      <c r="Z602" s="79"/>
      <c r="AA602" s="79"/>
      <c r="AB602" s="79"/>
      <c r="AC602" s="79"/>
    </row>
    <row r="603" spans="1:29" ht="12.75" customHeight="1">
      <c r="A603" s="79"/>
      <c r="B603" s="79"/>
      <c r="C603" s="79"/>
      <c r="D603" s="79"/>
      <c r="E603" s="79"/>
      <c r="F603" s="79"/>
      <c r="G603" s="79"/>
      <c r="H603" s="79"/>
      <c r="I603" s="125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  <c r="U603" s="79"/>
      <c r="V603" s="79"/>
      <c r="W603" s="79"/>
      <c r="X603" s="79"/>
      <c r="Y603" s="79"/>
      <c r="Z603" s="79"/>
      <c r="AA603" s="79"/>
      <c r="AB603" s="79"/>
      <c r="AC603" s="79"/>
    </row>
    <row r="604" spans="1:29" ht="12.75" customHeight="1">
      <c r="A604" s="79"/>
      <c r="B604" s="79"/>
      <c r="C604" s="79"/>
      <c r="D604" s="79"/>
      <c r="E604" s="79"/>
      <c r="F604" s="79"/>
      <c r="G604" s="79"/>
      <c r="H604" s="79"/>
      <c r="I604" s="125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  <c r="U604" s="79"/>
      <c r="V604" s="79"/>
      <c r="W604" s="79"/>
      <c r="X604" s="79"/>
      <c r="Y604" s="79"/>
      <c r="Z604" s="79"/>
      <c r="AA604" s="79"/>
      <c r="AB604" s="79"/>
      <c r="AC604" s="79"/>
    </row>
    <row r="605" spans="1:29" ht="12.75" customHeight="1">
      <c r="A605" s="79"/>
      <c r="B605" s="79"/>
      <c r="C605" s="79"/>
      <c r="D605" s="79"/>
      <c r="E605" s="79"/>
      <c r="F605" s="79"/>
      <c r="G605" s="79"/>
      <c r="H605" s="79"/>
      <c r="I605" s="125"/>
      <c r="J605" s="79"/>
      <c r="K605" s="79"/>
      <c r="L605" s="79"/>
      <c r="M605" s="79"/>
      <c r="N605" s="79"/>
      <c r="O605" s="79"/>
      <c r="P605" s="79"/>
      <c r="Q605" s="79"/>
      <c r="R605" s="79"/>
      <c r="S605" s="79"/>
      <c r="T605" s="79"/>
      <c r="U605" s="79"/>
      <c r="V605" s="79"/>
      <c r="W605" s="79"/>
      <c r="X605" s="79"/>
      <c r="Y605" s="79"/>
      <c r="Z605" s="79"/>
      <c r="AA605" s="79"/>
      <c r="AB605" s="79"/>
      <c r="AC605" s="79"/>
    </row>
    <row r="606" spans="1:29" ht="12.75" customHeight="1">
      <c r="A606" s="79"/>
      <c r="B606" s="79"/>
      <c r="C606" s="79"/>
      <c r="D606" s="79"/>
      <c r="E606" s="79"/>
      <c r="F606" s="79"/>
      <c r="G606" s="79"/>
      <c r="H606" s="79"/>
      <c r="I606" s="125"/>
      <c r="J606" s="79"/>
      <c r="K606" s="79"/>
      <c r="L606" s="79"/>
      <c r="M606" s="79"/>
      <c r="N606" s="79"/>
      <c r="O606" s="79"/>
      <c r="P606" s="79"/>
      <c r="Q606" s="79"/>
      <c r="R606" s="79"/>
      <c r="S606" s="79"/>
      <c r="T606" s="79"/>
      <c r="U606" s="79"/>
      <c r="V606" s="79"/>
      <c r="W606" s="79"/>
      <c r="X606" s="79"/>
      <c r="Y606" s="79"/>
      <c r="Z606" s="79"/>
      <c r="AA606" s="79"/>
      <c r="AB606" s="79"/>
      <c r="AC606" s="79"/>
    </row>
    <row r="607" spans="1:29" ht="12.75" customHeight="1">
      <c r="A607" s="79"/>
      <c r="B607" s="79"/>
      <c r="C607" s="79"/>
      <c r="D607" s="79"/>
      <c r="E607" s="79"/>
      <c r="F607" s="79"/>
      <c r="G607" s="79"/>
      <c r="H607" s="79"/>
      <c r="I607" s="125"/>
      <c r="J607" s="79"/>
      <c r="K607" s="79"/>
      <c r="L607" s="79"/>
      <c r="M607" s="79"/>
      <c r="N607" s="79"/>
      <c r="O607" s="79"/>
      <c r="P607" s="79"/>
      <c r="Q607" s="79"/>
      <c r="R607" s="79"/>
      <c r="S607" s="79"/>
      <c r="T607" s="79"/>
      <c r="U607" s="79"/>
      <c r="V607" s="79"/>
      <c r="W607" s="79"/>
      <c r="X607" s="79"/>
      <c r="Y607" s="79"/>
      <c r="Z607" s="79"/>
      <c r="AA607" s="79"/>
      <c r="AB607" s="79"/>
      <c r="AC607" s="79"/>
    </row>
    <row r="608" spans="1:29" ht="12.75" customHeight="1">
      <c r="A608" s="79"/>
      <c r="B608" s="79"/>
      <c r="C608" s="79"/>
      <c r="D608" s="79"/>
      <c r="E608" s="79"/>
      <c r="F608" s="79"/>
      <c r="G608" s="79"/>
      <c r="H608" s="79"/>
      <c r="I608" s="125"/>
      <c r="J608" s="79"/>
      <c r="K608" s="79"/>
      <c r="L608" s="79"/>
      <c r="M608" s="79"/>
      <c r="N608" s="79"/>
      <c r="O608" s="79"/>
      <c r="P608" s="79"/>
      <c r="Q608" s="79"/>
      <c r="R608" s="79"/>
      <c r="S608" s="79"/>
      <c r="T608" s="79"/>
      <c r="U608" s="79"/>
      <c r="V608" s="79"/>
      <c r="W608" s="79"/>
      <c r="X608" s="79"/>
      <c r="Y608" s="79"/>
      <c r="Z608" s="79"/>
      <c r="AA608" s="79"/>
      <c r="AB608" s="79"/>
      <c r="AC608" s="79"/>
    </row>
    <row r="609" spans="1:29" ht="12.75" customHeight="1">
      <c r="A609" s="79"/>
      <c r="B609" s="79"/>
      <c r="C609" s="79"/>
      <c r="D609" s="79"/>
      <c r="E609" s="79"/>
      <c r="F609" s="79"/>
      <c r="G609" s="79"/>
      <c r="H609" s="79"/>
      <c r="I609" s="125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  <c r="U609" s="79"/>
      <c r="V609" s="79"/>
      <c r="W609" s="79"/>
      <c r="X609" s="79"/>
      <c r="Y609" s="79"/>
      <c r="Z609" s="79"/>
      <c r="AA609" s="79"/>
      <c r="AB609" s="79"/>
      <c r="AC609" s="79"/>
    </row>
    <row r="610" spans="1:29" ht="12.75" customHeight="1">
      <c r="A610" s="79"/>
      <c r="B610" s="79"/>
      <c r="C610" s="79"/>
      <c r="D610" s="79"/>
      <c r="E610" s="79"/>
      <c r="F610" s="79"/>
      <c r="G610" s="79"/>
      <c r="H610" s="79"/>
      <c r="I610" s="125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  <c r="U610" s="79"/>
      <c r="V610" s="79"/>
      <c r="W610" s="79"/>
      <c r="X610" s="79"/>
      <c r="Y610" s="79"/>
      <c r="Z610" s="79"/>
      <c r="AA610" s="79"/>
      <c r="AB610" s="79"/>
      <c r="AC610" s="79"/>
    </row>
    <row r="611" spans="1:29" ht="12.75" customHeight="1">
      <c r="A611" s="79"/>
      <c r="B611" s="79"/>
      <c r="C611" s="79"/>
      <c r="D611" s="79"/>
      <c r="E611" s="79"/>
      <c r="F611" s="79"/>
      <c r="G611" s="79"/>
      <c r="H611" s="79"/>
      <c r="I611" s="125"/>
      <c r="J611" s="79"/>
      <c r="K611" s="79"/>
      <c r="L611" s="79"/>
      <c r="M611" s="79"/>
      <c r="N611" s="79"/>
      <c r="O611" s="79"/>
      <c r="P611" s="79"/>
      <c r="Q611" s="79"/>
      <c r="R611" s="79"/>
      <c r="S611" s="79"/>
      <c r="T611" s="79"/>
      <c r="U611" s="79"/>
      <c r="V611" s="79"/>
      <c r="W611" s="79"/>
      <c r="X611" s="79"/>
      <c r="Y611" s="79"/>
      <c r="Z611" s="79"/>
      <c r="AA611" s="79"/>
      <c r="AB611" s="79"/>
      <c r="AC611" s="79"/>
    </row>
    <row r="612" spans="1:29" ht="12.75" customHeight="1">
      <c r="A612" s="79"/>
      <c r="B612" s="79"/>
      <c r="C612" s="79"/>
      <c r="D612" s="79"/>
      <c r="E612" s="79"/>
      <c r="F612" s="79"/>
      <c r="G612" s="79"/>
      <c r="H612" s="79"/>
      <c r="I612" s="125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  <c r="U612" s="79"/>
      <c r="V612" s="79"/>
      <c r="W612" s="79"/>
      <c r="X612" s="79"/>
      <c r="Y612" s="79"/>
      <c r="Z612" s="79"/>
      <c r="AA612" s="79"/>
      <c r="AB612" s="79"/>
      <c r="AC612" s="79"/>
    </row>
    <row r="613" spans="1:29" ht="12.75" customHeight="1">
      <c r="A613" s="79"/>
      <c r="B613" s="79"/>
      <c r="C613" s="79"/>
      <c r="D613" s="79"/>
      <c r="E613" s="79"/>
      <c r="F613" s="79"/>
      <c r="G613" s="79"/>
      <c r="H613" s="79"/>
      <c r="I613" s="125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  <c r="U613" s="79"/>
      <c r="V613" s="79"/>
      <c r="W613" s="79"/>
      <c r="X613" s="79"/>
      <c r="Y613" s="79"/>
      <c r="Z613" s="79"/>
      <c r="AA613" s="79"/>
      <c r="AB613" s="79"/>
      <c r="AC613" s="79"/>
    </row>
    <row r="614" spans="1:29" ht="12.75" customHeight="1">
      <c r="A614" s="79"/>
      <c r="B614" s="79"/>
      <c r="C614" s="79"/>
      <c r="D614" s="79"/>
      <c r="E614" s="79"/>
      <c r="F614" s="79"/>
      <c r="G614" s="79"/>
      <c r="H614" s="79"/>
      <c r="I614" s="125"/>
      <c r="J614" s="79"/>
      <c r="K614" s="79"/>
      <c r="L614" s="79"/>
      <c r="M614" s="79"/>
      <c r="N614" s="79"/>
      <c r="O614" s="79"/>
      <c r="P614" s="79"/>
      <c r="Q614" s="79"/>
      <c r="R614" s="79"/>
      <c r="S614" s="79"/>
      <c r="T614" s="79"/>
      <c r="U614" s="79"/>
      <c r="V614" s="79"/>
      <c r="W614" s="79"/>
      <c r="X614" s="79"/>
      <c r="Y614" s="79"/>
      <c r="Z614" s="79"/>
      <c r="AA614" s="79"/>
      <c r="AB614" s="79"/>
      <c r="AC614" s="79"/>
    </row>
    <row r="615" spans="1:29" ht="12.75" customHeight="1">
      <c r="A615" s="79"/>
      <c r="B615" s="79"/>
      <c r="C615" s="79"/>
      <c r="D615" s="79"/>
      <c r="E615" s="79"/>
      <c r="F615" s="79"/>
      <c r="G615" s="79"/>
      <c r="H615" s="79"/>
      <c r="I615" s="125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  <c r="U615" s="79"/>
      <c r="V615" s="79"/>
      <c r="W615" s="79"/>
      <c r="X615" s="79"/>
      <c r="Y615" s="79"/>
      <c r="Z615" s="79"/>
      <c r="AA615" s="79"/>
      <c r="AB615" s="79"/>
      <c r="AC615" s="79"/>
    </row>
    <row r="616" spans="1:29" ht="12.75" customHeight="1">
      <c r="A616" s="79"/>
      <c r="B616" s="79"/>
      <c r="C616" s="79"/>
      <c r="D616" s="79"/>
      <c r="E616" s="79"/>
      <c r="F616" s="79"/>
      <c r="G616" s="79"/>
      <c r="H616" s="79"/>
      <c r="I616" s="125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  <c r="U616" s="79"/>
      <c r="V616" s="79"/>
      <c r="W616" s="79"/>
      <c r="X616" s="79"/>
      <c r="Y616" s="79"/>
      <c r="Z616" s="79"/>
      <c r="AA616" s="79"/>
      <c r="AB616" s="79"/>
      <c r="AC616" s="79"/>
    </row>
    <row r="617" spans="1:29" ht="12.75" customHeight="1">
      <c r="A617" s="79"/>
      <c r="B617" s="79"/>
      <c r="C617" s="79"/>
      <c r="D617" s="79"/>
      <c r="E617" s="79"/>
      <c r="F617" s="79"/>
      <c r="G617" s="79"/>
      <c r="H617" s="79"/>
      <c r="I617" s="125"/>
      <c r="J617" s="79"/>
      <c r="K617" s="79"/>
      <c r="L617" s="79"/>
      <c r="M617" s="79"/>
      <c r="N617" s="79"/>
      <c r="O617" s="79"/>
      <c r="P617" s="79"/>
      <c r="Q617" s="79"/>
      <c r="R617" s="79"/>
      <c r="S617" s="79"/>
      <c r="T617" s="79"/>
      <c r="U617" s="79"/>
      <c r="V617" s="79"/>
      <c r="W617" s="79"/>
      <c r="X617" s="79"/>
      <c r="Y617" s="79"/>
      <c r="Z617" s="79"/>
      <c r="AA617" s="79"/>
      <c r="AB617" s="79"/>
      <c r="AC617" s="79"/>
    </row>
    <row r="618" spans="1:29" ht="12.75" customHeight="1">
      <c r="A618" s="79"/>
      <c r="B618" s="79"/>
      <c r="C618" s="79"/>
      <c r="D618" s="79"/>
      <c r="E618" s="79"/>
      <c r="F618" s="79"/>
      <c r="G618" s="79"/>
      <c r="H618" s="79"/>
      <c r="I618" s="125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  <c r="U618" s="79"/>
      <c r="V618" s="79"/>
      <c r="W618" s="79"/>
      <c r="X618" s="79"/>
      <c r="Y618" s="79"/>
      <c r="Z618" s="79"/>
      <c r="AA618" s="79"/>
      <c r="AB618" s="79"/>
      <c r="AC618" s="79"/>
    </row>
    <row r="619" spans="1:29" ht="12.75" customHeight="1">
      <c r="A619" s="79"/>
      <c r="B619" s="79"/>
      <c r="C619" s="79"/>
      <c r="D619" s="79"/>
      <c r="E619" s="79"/>
      <c r="F619" s="79"/>
      <c r="G619" s="79"/>
      <c r="H619" s="79"/>
      <c r="I619" s="125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  <c r="U619" s="79"/>
      <c r="V619" s="79"/>
      <c r="W619" s="79"/>
      <c r="X619" s="79"/>
      <c r="Y619" s="79"/>
      <c r="Z619" s="79"/>
      <c r="AA619" s="79"/>
      <c r="AB619" s="79"/>
      <c r="AC619" s="79"/>
    </row>
    <row r="620" spans="1:29" ht="12.75" customHeight="1">
      <c r="A620" s="79"/>
      <c r="B620" s="79"/>
      <c r="C620" s="79"/>
      <c r="D620" s="79"/>
      <c r="E620" s="79"/>
      <c r="F620" s="79"/>
      <c r="G620" s="79"/>
      <c r="H620" s="79"/>
      <c r="I620" s="125"/>
      <c r="J620" s="79"/>
      <c r="K620" s="79"/>
      <c r="L620" s="79"/>
      <c r="M620" s="79"/>
      <c r="N620" s="79"/>
      <c r="O620" s="79"/>
      <c r="P620" s="79"/>
      <c r="Q620" s="79"/>
      <c r="R620" s="79"/>
      <c r="S620" s="79"/>
      <c r="T620" s="79"/>
      <c r="U620" s="79"/>
      <c r="V620" s="79"/>
      <c r="W620" s="79"/>
      <c r="X620" s="79"/>
      <c r="Y620" s="79"/>
      <c r="Z620" s="79"/>
      <c r="AA620" s="79"/>
      <c r="AB620" s="79"/>
      <c r="AC620" s="79"/>
    </row>
    <row r="621" spans="1:29" ht="12.75" customHeight="1">
      <c r="A621" s="79"/>
      <c r="B621" s="79"/>
      <c r="C621" s="79"/>
      <c r="D621" s="79"/>
      <c r="E621" s="79"/>
      <c r="F621" s="79"/>
      <c r="G621" s="79"/>
      <c r="H621" s="79"/>
      <c r="I621" s="125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  <c r="U621" s="79"/>
      <c r="V621" s="79"/>
      <c r="W621" s="79"/>
      <c r="X621" s="79"/>
      <c r="Y621" s="79"/>
      <c r="Z621" s="79"/>
      <c r="AA621" s="79"/>
      <c r="AB621" s="79"/>
      <c r="AC621" s="79"/>
    </row>
    <row r="622" spans="1:29" ht="12.75" customHeight="1">
      <c r="A622" s="79"/>
      <c r="B622" s="79"/>
      <c r="C622" s="79"/>
      <c r="D622" s="79"/>
      <c r="E622" s="79"/>
      <c r="F622" s="79"/>
      <c r="G622" s="79"/>
      <c r="H622" s="79"/>
      <c r="I622" s="125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  <c r="U622" s="79"/>
      <c r="V622" s="79"/>
      <c r="W622" s="79"/>
      <c r="X622" s="79"/>
      <c r="Y622" s="79"/>
      <c r="Z622" s="79"/>
      <c r="AA622" s="79"/>
      <c r="AB622" s="79"/>
      <c r="AC622" s="79"/>
    </row>
    <row r="623" spans="1:29" ht="12.75" customHeight="1">
      <c r="A623" s="79"/>
      <c r="B623" s="79"/>
      <c r="C623" s="79"/>
      <c r="D623" s="79"/>
      <c r="E623" s="79"/>
      <c r="F623" s="79"/>
      <c r="G623" s="79"/>
      <c r="H623" s="79"/>
      <c r="I623" s="125"/>
      <c r="J623" s="79"/>
      <c r="K623" s="79"/>
      <c r="L623" s="79"/>
      <c r="M623" s="79"/>
      <c r="N623" s="79"/>
      <c r="O623" s="79"/>
      <c r="P623" s="79"/>
      <c r="Q623" s="79"/>
      <c r="R623" s="79"/>
      <c r="S623" s="79"/>
      <c r="T623" s="79"/>
      <c r="U623" s="79"/>
      <c r="V623" s="79"/>
      <c r="W623" s="79"/>
      <c r="X623" s="79"/>
      <c r="Y623" s="79"/>
      <c r="Z623" s="79"/>
      <c r="AA623" s="79"/>
      <c r="AB623" s="79"/>
      <c r="AC623" s="79"/>
    </row>
    <row r="624" spans="1:29" ht="12.75" customHeight="1">
      <c r="A624" s="79"/>
      <c r="B624" s="79"/>
      <c r="C624" s="79"/>
      <c r="D624" s="79"/>
      <c r="E624" s="79"/>
      <c r="F624" s="79"/>
      <c r="G624" s="79"/>
      <c r="H624" s="79"/>
      <c r="I624" s="125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  <c r="U624" s="79"/>
      <c r="V624" s="79"/>
      <c r="W624" s="79"/>
      <c r="X624" s="79"/>
      <c r="Y624" s="79"/>
      <c r="Z624" s="79"/>
      <c r="AA624" s="79"/>
      <c r="AB624" s="79"/>
      <c r="AC624" s="79"/>
    </row>
    <row r="625" spans="1:29" ht="12.75" customHeight="1">
      <c r="A625" s="79"/>
      <c r="B625" s="79"/>
      <c r="C625" s="79"/>
      <c r="D625" s="79"/>
      <c r="E625" s="79"/>
      <c r="F625" s="79"/>
      <c r="G625" s="79"/>
      <c r="H625" s="79"/>
      <c r="I625" s="125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  <c r="U625" s="79"/>
      <c r="V625" s="79"/>
      <c r="W625" s="79"/>
      <c r="X625" s="79"/>
      <c r="Y625" s="79"/>
      <c r="Z625" s="79"/>
      <c r="AA625" s="79"/>
      <c r="AB625" s="79"/>
      <c r="AC625" s="79"/>
    </row>
    <row r="626" spans="1:29" ht="12.75" customHeight="1">
      <c r="A626" s="79"/>
      <c r="B626" s="79"/>
      <c r="C626" s="79"/>
      <c r="D626" s="79"/>
      <c r="E626" s="79"/>
      <c r="F626" s="79"/>
      <c r="G626" s="79"/>
      <c r="H626" s="79"/>
      <c r="I626" s="125"/>
      <c r="J626" s="79"/>
      <c r="K626" s="79"/>
      <c r="L626" s="79"/>
      <c r="M626" s="79"/>
      <c r="N626" s="79"/>
      <c r="O626" s="79"/>
      <c r="P626" s="79"/>
      <c r="Q626" s="79"/>
      <c r="R626" s="79"/>
      <c r="S626" s="79"/>
      <c r="T626" s="79"/>
      <c r="U626" s="79"/>
      <c r="V626" s="79"/>
      <c r="W626" s="79"/>
      <c r="X626" s="79"/>
      <c r="Y626" s="79"/>
      <c r="Z626" s="79"/>
      <c r="AA626" s="79"/>
      <c r="AB626" s="79"/>
      <c r="AC626" s="79"/>
    </row>
    <row r="627" spans="1:29" ht="12.75" customHeight="1">
      <c r="A627" s="79"/>
      <c r="B627" s="79"/>
      <c r="C627" s="79"/>
      <c r="D627" s="79"/>
      <c r="E627" s="79"/>
      <c r="F627" s="79"/>
      <c r="G627" s="79"/>
      <c r="H627" s="79"/>
      <c r="I627" s="125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  <c r="U627" s="79"/>
      <c r="V627" s="79"/>
      <c r="W627" s="79"/>
      <c r="X627" s="79"/>
      <c r="Y627" s="79"/>
      <c r="Z627" s="79"/>
      <c r="AA627" s="79"/>
      <c r="AB627" s="79"/>
      <c r="AC627" s="79"/>
    </row>
    <row r="628" spans="1:29" ht="12.75" customHeight="1">
      <c r="A628" s="79"/>
      <c r="B628" s="79"/>
      <c r="C628" s="79"/>
      <c r="D628" s="79"/>
      <c r="E628" s="79"/>
      <c r="F628" s="79"/>
      <c r="G628" s="79"/>
      <c r="H628" s="79"/>
      <c r="I628" s="125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  <c r="U628" s="79"/>
      <c r="V628" s="79"/>
      <c r="W628" s="79"/>
      <c r="X628" s="79"/>
      <c r="Y628" s="79"/>
      <c r="Z628" s="79"/>
      <c r="AA628" s="79"/>
      <c r="AB628" s="79"/>
      <c r="AC628" s="79"/>
    </row>
    <row r="629" spans="1:29" ht="12.75" customHeight="1">
      <c r="A629" s="79"/>
      <c r="B629" s="79"/>
      <c r="C629" s="79"/>
      <c r="D629" s="79"/>
      <c r="E629" s="79"/>
      <c r="F629" s="79"/>
      <c r="G629" s="79"/>
      <c r="H629" s="79"/>
      <c r="I629" s="125"/>
      <c r="J629" s="79"/>
      <c r="K629" s="79"/>
      <c r="L629" s="79"/>
      <c r="M629" s="79"/>
      <c r="N629" s="79"/>
      <c r="O629" s="79"/>
      <c r="P629" s="79"/>
      <c r="Q629" s="79"/>
      <c r="R629" s="79"/>
      <c r="S629" s="79"/>
      <c r="T629" s="79"/>
      <c r="U629" s="79"/>
      <c r="V629" s="79"/>
      <c r="W629" s="79"/>
      <c r="X629" s="79"/>
      <c r="Y629" s="79"/>
      <c r="Z629" s="79"/>
      <c r="AA629" s="79"/>
      <c r="AB629" s="79"/>
      <c r="AC629" s="79"/>
    </row>
    <row r="630" spans="1:29" ht="12.75" customHeight="1">
      <c r="A630" s="79"/>
      <c r="B630" s="79"/>
      <c r="C630" s="79"/>
      <c r="D630" s="79"/>
      <c r="E630" s="79"/>
      <c r="F630" s="79"/>
      <c r="G630" s="79"/>
      <c r="H630" s="79"/>
      <c r="I630" s="125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  <c r="U630" s="79"/>
      <c r="V630" s="79"/>
      <c r="W630" s="79"/>
      <c r="X630" s="79"/>
      <c r="Y630" s="79"/>
      <c r="Z630" s="79"/>
      <c r="AA630" s="79"/>
      <c r="AB630" s="79"/>
      <c r="AC630" s="79"/>
    </row>
    <row r="631" spans="1:29" ht="12.75" customHeight="1">
      <c r="A631" s="79"/>
      <c r="B631" s="79"/>
      <c r="C631" s="79"/>
      <c r="D631" s="79"/>
      <c r="E631" s="79"/>
      <c r="F631" s="79"/>
      <c r="G631" s="79"/>
      <c r="H631" s="79"/>
      <c r="I631" s="125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  <c r="U631" s="79"/>
      <c r="V631" s="79"/>
      <c r="W631" s="79"/>
      <c r="X631" s="79"/>
      <c r="Y631" s="79"/>
      <c r="Z631" s="79"/>
      <c r="AA631" s="79"/>
      <c r="AB631" s="79"/>
      <c r="AC631" s="79"/>
    </row>
    <row r="632" spans="1:29" ht="12.75" customHeight="1">
      <c r="A632" s="79"/>
      <c r="B632" s="79"/>
      <c r="C632" s="79"/>
      <c r="D632" s="79"/>
      <c r="E632" s="79"/>
      <c r="F632" s="79"/>
      <c r="G632" s="79"/>
      <c r="H632" s="79"/>
      <c r="I632" s="125"/>
      <c r="J632" s="79"/>
      <c r="K632" s="79"/>
      <c r="L632" s="79"/>
      <c r="M632" s="79"/>
      <c r="N632" s="79"/>
      <c r="O632" s="79"/>
      <c r="P632" s="79"/>
      <c r="Q632" s="79"/>
      <c r="R632" s="79"/>
      <c r="S632" s="79"/>
      <c r="T632" s="79"/>
      <c r="U632" s="79"/>
      <c r="V632" s="79"/>
      <c r="W632" s="79"/>
      <c r="X632" s="79"/>
      <c r="Y632" s="79"/>
      <c r="Z632" s="79"/>
      <c r="AA632" s="79"/>
      <c r="AB632" s="79"/>
      <c r="AC632" s="79"/>
    </row>
    <row r="633" spans="1:29" ht="12.75" customHeight="1">
      <c r="A633" s="79"/>
      <c r="B633" s="79"/>
      <c r="C633" s="79"/>
      <c r="D633" s="79"/>
      <c r="E633" s="79"/>
      <c r="F633" s="79"/>
      <c r="G633" s="79"/>
      <c r="H633" s="79"/>
      <c r="I633" s="125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  <c r="U633" s="79"/>
      <c r="V633" s="79"/>
      <c r="W633" s="79"/>
      <c r="X633" s="79"/>
      <c r="Y633" s="79"/>
      <c r="Z633" s="79"/>
      <c r="AA633" s="79"/>
      <c r="AB633" s="79"/>
      <c r="AC633" s="79"/>
    </row>
    <row r="634" spans="1:29" ht="12.75" customHeight="1">
      <c r="A634" s="79"/>
      <c r="B634" s="79"/>
      <c r="C634" s="79"/>
      <c r="D634" s="79"/>
      <c r="E634" s="79"/>
      <c r="F634" s="79"/>
      <c r="G634" s="79"/>
      <c r="H634" s="79"/>
      <c r="I634" s="125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  <c r="U634" s="79"/>
      <c r="V634" s="79"/>
      <c r="W634" s="79"/>
      <c r="X634" s="79"/>
      <c r="Y634" s="79"/>
      <c r="Z634" s="79"/>
      <c r="AA634" s="79"/>
      <c r="AB634" s="79"/>
      <c r="AC634" s="79"/>
    </row>
    <row r="635" spans="1:29" ht="12.75" customHeight="1">
      <c r="A635" s="79"/>
      <c r="B635" s="79"/>
      <c r="C635" s="79"/>
      <c r="D635" s="79"/>
      <c r="E635" s="79"/>
      <c r="F635" s="79"/>
      <c r="G635" s="79"/>
      <c r="H635" s="79"/>
      <c r="I635" s="125"/>
      <c r="J635" s="79"/>
      <c r="K635" s="79"/>
      <c r="L635" s="79"/>
      <c r="M635" s="79"/>
      <c r="N635" s="79"/>
      <c r="O635" s="79"/>
      <c r="P635" s="79"/>
      <c r="Q635" s="79"/>
      <c r="R635" s="79"/>
      <c r="S635" s="79"/>
      <c r="T635" s="79"/>
      <c r="U635" s="79"/>
      <c r="V635" s="79"/>
      <c r="W635" s="79"/>
      <c r="X635" s="79"/>
      <c r="Y635" s="79"/>
      <c r="Z635" s="79"/>
      <c r="AA635" s="79"/>
      <c r="AB635" s="79"/>
      <c r="AC635" s="79"/>
    </row>
    <row r="636" spans="1:29" ht="12.75" customHeight="1">
      <c r="A636" s="79"/>
      <c r="B636" s="79"/>
      <c r="C636" s="79"/>
      <c r="D636" s="79"/>
      <c r="E636" s="79"/>
      <c r="F636" s="79"/>
      <c r="G636" s="79"/>
      <c r="H636" s="79"/>
      <c r="I636" s="125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  <c r="U636" s="79"/>
      <c r="V636" s="79"/>
      <c r="W636" s="79"/>
      <c r="X636" s="79"/>
      <c r="Y636" s="79"/>
      <c r="Z636" s="79"/>
      <c r="AA636" s="79"/>
      <c r="AB636" s="79"/>
      <c r="AC636" s="79"/>
    </row>
    <row r="637" spans="1:29" ht="12.75" customHeight="1">
      <c r="A637" s="79"/>
      <c r="B637" s="79"/>
      <c r="C637" s="79"/>
      <c r="D637" s="79"/>
      <c r="E637" s="79"/>
      <c r="F637" s="79"/>
      <c r="G637" s="79"/>
      <c r="H637" s="79"/>
      <c r="I637" s="125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  <c r="U637" s="79"/>
      <c r="V637" s="79"/>
      <c r="W637" s="79"/>
      <c r="X637" s="79"/>
      <c r="Y637" s="79"/>
      <c r="Z637" s="79"/>
      <c r="AA637" s="79"/>
      <c r="AB637" s="79"/>
      <c r="AC637" s="79"/>
    </row>
    <row r="638" spans="1:29" ht="12.75" customHeight="1">
      <c r="A638" s="79"/>
      <c r="B638" s="79"/>
      <c r="C638" s="79"/>
      <c r="D638" s="79"/>
      <c r="E638" s="79"/>
      <c r="F638" s="79"/>
      <c r="G638" s="79"/>
      <c r="H638" s="79"/>
      <c r="I638" s="125"/>
      <c r="J638" s="79"/>
      <c r="K638" s="79"/>
      <c r="L638" s="79"/>
      <c r="M638" s="79"/>
      <c r="N638" s="79"/>
      <c r="O638" s="79"/>
      <c r="P638" s="79"/>
      <c r="Q638" s="79"/>
      <c r="R638" s="79"/>
      <c r="S638" s="79"/>
      <c r="T638" s="79"/>
      <c r="U638" s="79"/>
      <c r="V638" s="79"/>
      <c r="W638" s="79"/>
      <c r="X638" s="79"/>
      <c r="Y638" s="79"/>
      <c r="Z638" s="79"/>
      <c r="AA638" s="79"/>
      <c r="AB638" s="79"/>
      <c r="AC638" s="79"/>
    </row>
    <row r="639" spans="1:29" ht="12.75" customHeight="1">
      <c r="A639" s="79"/>
      <c r="B639" s="79"/>
      <c r="C639" s="79"/>
      <c r="D639" s="79"/>
      <c r="E639" s="79"/>
      <c r="F639" s="79"/>
      <c r="G639" s="79"/>
      <c r="H639" s="79"/>
      <c r="I639" s="125"/>
      <c r="J639" s="79"/>
      <c r="K639" s="79"/>
      <c r="L639" s="79"/>
      <c r="M639" s="79"/>
      <c r="N639" s="79"/>
      <c r="O639" s="79"/>
      <c r="P639" s="79"/>
      <c r="Q639" s="79"/>
      <c r="R639" s="79"/>
      <c r="S639" s="79"/>
      <c r="T639" s="79"/>
      <c r="U639" s="79"/>
      <c r="V639" s="79"/>
      <c r="W639" s="79"/>
      <c r="X639" s="79"/>
      <c r="Y639" s="79"/>
      <c r="Z639" s="79"/>
      <c r="AA639" s="79"/>
      <c r="AB639" s="79"/>
      <c r="AC639" s="79"/>
    </row>
    <row r="640" spans="1:29" ht="12.75" customHeight="1">
      <c r="A640" s="79"/>
      <c r="B640" s="79"/>
      <c r="C640" s="79"/>
      <c r="D640" s="79"/>
      <c r="E640" s="79"/>
      <c r="F640" s="79"/>
      <c r="G640" s="79"/>
      <c r="H640" s="79"/>
      <c r="I640" s="125"/>
      <c r="J640" s="79"/>
      <c r="K640" s="79"/>
      <c r="L640" s="79"/>
      <c r="M640" s="79"/>
      <c r="N640" s="79"/>
      <c r="O640" s="79"/>
      <c r="P640" s="79"/>
      <c r="Q640" s="79"/>
      <c r="R640" s="79"/>
      <c r="S640" s="79"/>
      <c r="T640" s="79"/>
      <c r="U640" s="79"/>
      <c r="V640" s="79"/>
      <c r="W640" s="79"/>
      <c r="X640" s="79"/>
      <c r="Y640" s="79"/>
      <c r="Z640" s="79"/>
      <c r="AA640" s="79"/>
      <c r="AB640" s="79"/>
      <c r="AC640" s="79"/>
    </row>
    <row r="641" spans="1:29" ht="12.75" customHeight="1">
      <c r="A641" s="79"/>
      <c r="B641" s="79"/>
      <c r="C641" s="79"/>
      <c r="D641" s="79"/>
      <c r="E641" s="79"/>
      <c r="F641" s="79"/>
      <c r="G641" s="79"/>
      <c r="H641" s="79"/>
      <c r="I641" s="125"/>
      <c r="J641" s="79"/>
      <c r="K641" s="79"/>
      <c r="L641" s="79"/>
      <c r="M641" s="79"/>
      <c r="N641" s="79"/>
      <c r="O641" s="79"/>
      <c r="P641" s="79"/>
      <c r="Q641" s="79"/>
      <c r="R641" s="79"/>
      <c r="S641" s="79"/>
      <c r="T641" s="79"/>
      <c r="U641" s="79"/>
      <c r="V641" s="79"/>
      <c r="W641" s="79"/>
      <c r="X641" s="79"/>
      <c r="Y641" s="79"/>
      <c r="Z641" s="79"/>
      <c r="AA641" s="79"/>
      <c r="AB641" s="79"/>
      <c r="AC641" s="79"/>
    </row>
    <row r="642" spans="1:29" ht="12.75" customHeight="1">
      <c r="A642" s="79"/>
      <c r="B642" s="79"/>
      <c r="C642" s="79"/>
      <c r="D642" s="79"/>
      <c r="E642" s="79"/>
      <c r="F642" s="79"/>
      <c r="G642" s="79"/>
      <c r="H642" s="79"/>
      <c r="I642" s="125"/>
      <c r="J642" s="79"/>
      <c r="K642" s="79"/>
      <c r="L642" s="79"/>
      <c r="M642" s="79"/>
      <c r="N642" s="79"/>
      <c r="O642" s="79"/>
      <c r="P642" s="79"/>
      <c r="Q642" s="79"/>
      <c r="R642" s="79"/>
      <c r="S642" s="79"/>
      <c r="T642" s="79"/>
      <c r="U642" s="79"/>
      <c r="V642" s="79"/>
      <c r="W642" s="79"/>
      <c r="X642" s="79"/>
      <c r="Y642" s="79"/>
      <c r="Z642" s="79"/>
      <c r="AA642" s="79"/>
      <c r="AB642" s="79"/>
      <c r="AC642" s="79"/>
    </row>
    <row r="643" spans="1:29" ht="12.75" customHeight="1">
      <c r="A643" s="79"/>
      <c r="B643" s="79"/>
      <c r="C643" s="79"/>
      <c r="D643" s="79"/>
      <c r="E643" s="79"/>
      <c r="F643" s="79"/>
      <c r="G643" s="79"/>
      <c r="H643" s="79"/>
      <c r="I643" s="125"/>
      <c r="J643" s="79"/>
      <c r="K643" s="79"/>
      <c r="L643" s="79"/>
      <c r="M643" s="79"/>
      <c r="N643" s="79"/>
      <c r="O643" s="79"/>
      <c r="P643" s="79"/>
      <c r="Q643" s="79"/>
      <c r="R643" s="79"/>
      <c r="S643" s="79"/>
      <c r="T643" s="79"/>
      <c r="U643" s="79"/>
      <c r="V643" s="79"/>
      <c r="W643" s="79"/>
      <c r="X643" s="79"/>
      <c r="Y643" s="79"/>
      <c r="Z643" s="79"/>
      <c r="AA643" s="79"/>
      <c r="AB643" s="79"/>
      <c r="AC643" s="79"/>
    </row>
    <row r="644" spans="1:29" ht="12.75" customHeight="1">
      <c r="A644" s="79"/>
      <c r="B644" s="79"/>
      <c r="C644" s="79"/>
      <c r="D644" s="79"/>
      <c r="E644" s="79"/>
      <c r="F644" s="79"/>
      <c r="G644" s="79"/>
      <c r="H644" s="79"/>
      <c r="I644" s="125"/>
      <c r="J644" s="79"/>
      <c r="K644" s="79"/>
      <c r="L644" s="79"/>
      <c r="M644" s="79"/>
      <c r="N644" s="79"/>
      <c r="O644" s="79"/>
      <c r="P644" s="79"/>
      <c r="Q644" s="79"/>
      <c r="R644" s="79"/>
      <c r="S644" s="79"/>
      <c r="T644" s="79"/>
      <c r="U644" s="79"/>
      <c r="V644" s="79"/>
      <c r="W644" s="79"/>
      <c r="X644" s="79"/>
      <c r="Y644" s="79"/>
      <c r="Z644" s="79"/>
      <c r="AA644" s="79"/>
      <c r="AB644" s="79"/>
      <c r="AC644" s="79"/>
    </row>
    <row r="645" spans="1:29" ht="12.75" customHeight="1">
      <c r="A645" s="79"/>
      <c r="B645" s="79"/>
      <c r="C645" s="79"/>
      <c r="D645" s="79"/>
      <c r="E645" s="79"/>
      <c r="F645" s="79"/>
      <c r="G645" s="79"/>
      <c r="H645" s="79"/>
      <c r="I645" s="125"/>
      <c r="J645" s="79"/>
      <c r="K645" s="79"/>
      <c r="L645" s="79"/>
      <c r="M645" s="79"/>
      <c r="N645" s="79"/>
      <c r="O645" s="79"/>
      <c r="P645" s="79"/>
      <c r="Q645" s="79"/>
      <c r="R645" s="79"/>
      <c r="S645" s="79"/>
      <c r="T645" s="79"/>
      <c r="U645" s="79"/>
      <c r="V645" s="79"/>
      <c r="W645" s="79"/>
      <c r="X645" s="79"/>
      <c r="Y645" s="79"/>
      <c r="Z645" s="79"/>
      <c r="AA645" s="79"/>
      <c r="AB645" s="79"/>
      <c r="AC645" s="79"/>
    </row>
    <row r="646" spans="1:29" ht="12.75" customHeight="1">
      <c r="A646" s="79"/>
      <c r="B646" s="79"/>
      <c r="C646" s="79"/>
      <c r="D646" s="79"/>
      <c r="E646" s="79"/>
      <c r="F646" s="79"/>
      <c r="G646" s="79"/>
      <c r="H646" s="79"/>
      <c r="I646" s="125"/>
      <c r="J646" s="79"/>
      <c r="K646" s="79"/>
      <c r="L646" s="79"/>
      <c r="M646" s="79"/>
      <c r="N646" s="79"/>
      <c r="O646" s="79"/>
      <c r="P646" s="79"/>
      <c r="Q646" s="79"/>
      <c r="R646" s="79"/>
      <c r="S646" s="79"/>
      <c r="T646" s="79"/>
      <c r="U646" s="79"/>
      <c r="V646" s="79"/>
      <c r="W646" s="79"/>
      <c r="X646" s="79"/>
      <c r="Y646" s="79"/>
      <c r="Z646" s="79"/>
      <c r="AA646" s="79"/>
      <c r="AB646" s="79"/>
      <c r="AC646" s="79"/>
    </row>
    <row r="647" spans="1:29" ht="12.75" customHeight="1">
      <c r="A647" s="79"/>
      <c r="B647" s="79"/>
      <c r="C647" s="79"/>
      <c r="D647" s="79"/>
      <c r="E647" s="79"/>
      <c r="F647" s="79"/>
      <c r="G647" s="79"/>
      <c r="H647" s="79"/>
      <c r="I647" s="125"/>
      <c r="J647" s="79"/>
      <c r="K647" s="79"/>
      <c r="L647" s="79"/>
      <c r="M647" s="79"/>
      <c r="N647" s="79"/>
      <c r="O647" s="79"/>
      <c r="P647" s="79"/>
      <c r="Q647" s="79"/>
      <c r="R647" s="79"/>
      <c r="S647" s="79"/>
      <c r="T647" s="79"/>
      <c r="U647" s="79"/>
      <c r="V647" s="79"/>
      <c r="W647" s="79"/>
      <c r="X647" s="79"/>
      <c r="Y647" s="79"/>
      <c r="Z647" s="79"/>
      <c r="AA647" s="79"/>
      <c r="AB647" s="79"/>
      <c r="AC647" s="79"/>
    </row>
    <row r="648" spans="1:29" ht="12.75" customHeight="1">
      <c r="A648" s="79"/>
      <c r="B648" s="79"/>
      <c r="C648" s="79"/>
      <c r="D648" s="79"/>
      <c r="E648" s="79"/>
      <c r="F648" s="79"/>
      <c r="G648" s="79"/>
      <c r="H648" s="79"/>
      <c r="I648" s="125"/>
      <c r="J648" s="79"/>
      <c r="K648" s="79"/>
      <c r="L648" s="79"/>
      <c r="M648" s="79"/>
      <c r="N648" s="79"/>
      <c r="O648" s="79"/>
      <c r="P648" s="79"/>
      <c r="Q648" s="79"/>
      <c r="R648" s="79"/>
      <c r="S648" s="79"/>
      <c r="T648" s="79"/>
      <c r="U648" s="79"/>
      <c r="V648" s="79"/>
      <c r="W648" s="79"/>
      <c r="X648" s="79"/>
      <c r="Y648" s="79"/>
      <c r="Z648" s="79"/>
      <c r="AA648" s="79"/>
      <c r="AB648" s="79"/>
      <c r="AC648" s="79"/>
    </row>
    <row r="649" spans="1:29" ht="12.75" customHeight="1">
      <c r="A649" s="79"/>
      <c r="B649" s="79"/>
      <c r="C649" s="79"/>
      <c r="D649" s="79"/>
      <c r="E649" s="79"/>
      <c r="F649" s="79"/>
      <c r="G649" s="79"/>
      <c r="H649" s="79"/>
      <c r="I649" s="125"/>
      <c r="J649" s="79"/>
      <c r="K649" s="79"/>
      <c r="L649" s="79"/>
      <c r="M649" s="79"/>
      <c r="N649" s="79"/>
      <c r="O649" s="79"/>
      <c r="P649" s="79"/>
      <c r="Q649" s="79"/>
      <c r="R649" s="79"/>
      <c r="S649" s="79"/>
      <c r="T649" s="79"/>
      <c r="U649" s="79"/>
      <c r="V649" s="79"/>
      <c r="W649" s="79"/>
      <c r="X649" s="79"/>
      <c r="Y649" s="79"/>
      <c r="Z649" s="79"/>
      <c r="AA649" s="79"/>
      <c r="AB649" s="79"/>
      <c r="AC649" s="79"/>
    </row>
    <row r="650" spans="1:29" ht="12.75" customHeight="1">
      <c r="A650" s="79"/>
      <c r="B650" s="79"/>
      <c r="C650" s="79"/>
      <c r="D650" s="79"/>
      <c r="E650" s="79"/>
      <c r="F650" s="79"/>
      <c r="G650" s="79"/>
      <c r="H650" s="79"/>
      <c r="I650" s="125"/>
      <c r="J650" s="79"/>
      <c r="K650" s="79"/>
      <c r="L650" s="79"/>
      <c r="M650" s="79"/>
      <c r="N650" s="79"/>
      <c r="O650" s="79"/>
      <c r="P650" s="79"/>
      <c r="Q650" s="79"/>
      <c r="R650" s="79"/>
      <c r="S650" s="79"/>
      <c r="T650" s="79"/>
      <c r="U650" s="79"/>
      <c r="V650" s="79"/>
      <c r="W650" s="79"/>
      <c r="X650" s="79"/>
      <c r="Y650" s="79"/>
      <c r="Z650" s="79"/>
      <c r="AA650" s="79"/>
      <c r="AB650" s="79"/>
      <c r="AC650" s="79"/>
    </row>
    <row r="651" spans="1:29" ht="12.75" customHeight="1">
      <c r="A651" s="79"/>
      <c r="B651" s="79"/>
      <c r="C651" s="79"/>
      <c r="D651" s="79"/>
      <c r="E651" s="79"/>
      <c r="F651" s="79"/>
      <c r="G651" s="79"/>
      <c r="H651" s="79"/>
      <c r="I651" s="125"/>
      <c r="J651" s="79"/>
      <c r="K651" s="79"/>
      <c r="L651" s="79"/>
      <c r="M651" s="79"/>
      <c r="N651" s="79"/>
      <c r="O651" s="79"/>
      <c r="P651" s="79"/>
      <c r="Q651" s="79"/>
      <c r="R651" s="79"/>
      <c r="S651" s="79"/>
      <c r="T651" s="79"/>
      <c r="U651" s="79"/>
      <c r="V651" s="79"/>
      <c r="W651" s="79"/>
      <c r="X651" s="79"/>
      <c r="Y651" s="79"/>
      <c r="Z651" s="79"/>
      <c r="AA651" s="79"/>
      <c r="AB651" s="79"/>
      <c r="AC651" s="79"/>
    </row>
    <row r="652" spans="1:29" ht="12.75" customHeight="1">
      <c r="A652" s="79"/>
      <c r="B652" s="79"/>
      <c r="C652" s="79"/>
      <c r="D652" s="79"/>
      <c r="E652" s="79"/>
      <c r="F652" s="79"/>
      <c r="G652" s="79"/>
      <c r="H652" s="79"/>
      <c r="I652" s="125"/>
      <c r="J652" s="79"/>
      <c r="K652" s="79"/>
      <c r="L652" s="79"/>
      <c r="M652" s="79"/>
      <c r="N652" s="79"/>
      <c r="O652" s="79"/>
      <c r="P652" s="79"/>
      <c r="Q652" s="79"/>
      <c r="R652" s="79"/>
      <c r="S652" s="79"/>
      <c r="T652" s="79"/>
      <c r="U652" s="79"/>
      <c r="V652" s="79"/>
      <c r="W652" s="79"/>
      <c r="X652" s="79"/>
      <c r="Y652" s="79"/>
      <c r="Z652" s="79"/>
      <c r="AA652" s="79"/>
      <c r="AB652" s="79"/>
      <c r="AC652" s="79"/>
    </row>
    <row r="653" spans="1:29" ht="12.75" customHeight="1">
      <c r="A653" s="79"/>
      <c r="B653" s="79"/>
      <c r="C653" s="79"/>
      <c r="D653" s="79"/>
      <c r="E653" s="79"/>
      <c r="F653" s="79"/>
      <c r="G653" s="79"/>
      <c r="H653" s="79"/>
      <c r="I653" s="125"/>
      <c r="J653" s="79"/>
      <c r="K653" s="79"/>
      <c r="L653" s="79"/>
      <c r="M653" s="79"/>
      <c r="N653" s="79"/>
      <c r="O653" s="79"/>
      <c r="P653" s="79"/>
      <c r="Q653" s="79"/>
      <c r="R653" s="79"/>
      <c r="S653" s="79"/>
      <c r="T653" s="79"/>
      <c r="U653" s="79"/>
      <c r="V653" s="79"/>
      <c r="W653" s="79"/>
      <c r="X653" s="79"/>
      <c r="Y653" s="79"/>
      <c r="Z653" s="79"/>
      <c r="AA653" s="79"/>
      <c r="AB653" s="79"/>
      <c r="AC653" s="79"/>
    </row>
    <row r="654" spans="1:29" ht="12.75" customHeight="1">
      <c r="A654" s="79"/>
      <c r="B654" s="79"/>
      <c r="C654" s="79"/>
      <c r="D654" s="79"/>
      <c r="E654" s="79"/>
      <c r="F654" s="79"/>
      <c r="G654" s="79"/>
      <c r="H654" s="79"/>
      <c r="I654" s="125"/>
      <c r="J654" s="79"/>
      <c r="K654" s="79"/>
      <c r="L654" s="79"/>
      <c r="M654" s="79"/>
      <c r="N654" s="79"/>
      <c r="O654" s="79"/>
      <c r="P654" s="79"/>
      <c r="Q654" s="79"/>
      <c r="R654" s="79"/>
      <c r="S654" s="79"/>
      <c r="T654" s="79"/>
      <c r="U654" s="79"/>
      <c r="V654" s="79"/>
      <c r="W654" s="79"/>
      <c r="X654" s="79"/>
      <c r="Y654" s="79"/>
      <c r="Z654" s="79"/>
      <c r="AA654" s="79"/>
      <c r="AB654" s="79"/>
      <c r="AC654" s="79"/>
    </row>
    <row r="655" spans="1:29" ht="12.75" customHeight="1">
      <c r="A655" s="79"/>
      <c r="B655" s="79"/>
      <c r="C655" s="79"/>
      <c r="D655" s="79"/>
      <c r="E655" s="79"/>
      <c r="F655" s="79"/>
      <c r="G655" s="79"/>
      <c r="H655" s="79"/>
      <c r="I655" s="125"/>
      <c r="J655" s="79"/>
      <c r="K655" s="79"/>
      <c r="L655" s="79"/>
      <c r="M655" s="79"/>
      <c r="N655" s="79"/>
      <c r="O655" s="79"/>
      <c r="P655" s="79"/>
      <c r="Q655" s="79"/>
      <c r="R655" s="79"/>
      <c r="S655" s="79"/>
      <c r="T655" s="79"/>
      <c r="U655" s="79"/>
      <c r="V655" s="79"/>
      <c r="W655" s="79"/>
      <c r="X655" s="79"/>
      <c r="Y655" s="79"/>
      <c r="Z655" s="79"/>
      <c r="AA655" s="79"/>
      <c r="AB655" s="79"/>
      <c r="AC655" s="79"/>
    </row>
    <row r="656" spans="1:29" ht="12.75" customHeight="1">
      <c r="A656" s="79"/>
      <c r="B656" s="79"/>
      <c r="C656" s="79"/>
      <c r="D656" s="79"/>
      <c r="E656" s="79"/>
      <c r="F656" s="79"/>
      <c r="G656" s="79"/>
      <c r="H656" s="79"/>
      <c r="I656" s="125"/>
      <c r="J656" s="79"/>
      <c r="K656" s="79"/>
      <c r="L656" s="79"/>
      <c r="M656" s="79"/>
      <c r="N656" s="79"/>
      <c r="O656" s="79"/>
      <c r="P656" s="79"/>
      <c r="Q656" s="79"/>
      <c r="R656" s="79"/>
      <c r="S656" s="79"/>
      <c r="T656" s="79"/>
      <c r="U656" s="79"/>
      <c r="V656" s="79"/>
      <c r="W656" s="79"/>
      <c r="X656" s="79"/>
      <c r="Y656" s="79"/>
      <c r="Z656" s="79"/>
      <c r="AA656" s="79"/>
      <c r="AB656" s="79"/>
      <c r="AC656" s="79"/>
    </row>
    <row r="657" spans="1:29" ht="12.75" customHeight="1">
      <c r="A657" s="79"/>
      <c r="B657" s="79"/>
      <c r="C657" s="79"/>
      <c r="D657" s="79"/>
      <c r="E657" s="79"/>
      <c r="F657" s="79"/>
      <c r="G657" s="79"/>
      <c r="H657" s="79"/>
      <c r="I657" s="125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  <c r="U657" s="79"/>
      <c r="V657" s="79"/>
      <c r="W657" s="79"/>
      <c r="X657" s="79"/>
      <c r="Y657" s="79"/>
      <c r="Z657" s="79"/>
      <c r="AA657" s="79"/>
      <c r="AB657" s="79"/>
      <c r="AC657" s="79"/>
    </row>
    <row r="658" spans="1:29" ht="12.75" customHeight="1">
      <c r="A658" s="79"/>
      <c r="B658" s="79"/>
      <c r="C658" s="79"/>
      <c r="D658" s="79"/>
      <c r="E658" s="79"/>
      <c r="F658" s="79"/>
      <c r="G658" s="79"/>
      <c r="H658" s="79"/>
      <c r="I658" s="125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  <c r="U658" s="79"/>
      <c r="V658" s="79"/>
      <c r="W658" s="79"/>
      <c r="X658" s="79"/>
      <c r="Y658" s="79"/>
      <c r="Z658" s="79"/>
      <c r="AA658" s="79"/>
      <c r="AB658" s="79"/>
      <c r="AC658" s="79"/>
    </row>
    <row r="659" spans="1:29" ht="12.75" customHeight="1">
      <c r="A659" s="79"/>
      <c r="B659" s="79"/>
      <c r="C659" s="79"/>
      <c r="D659" s="79"/>
      <c r="E659" s="79"/>
      <c r="F659" s="79"/>
      <c r="G659" s="79"/>
      <c r="H659" s="79"/>
      <c r="I659" s="125"/>
      <c r="J659" s="79"/>
      <c r="K659" s="79"/>
      <c r="L659" s="79"/>
      <c r="M659" s="79"/>
      <c r="N659" s="79"/>
      <c r="O659" s="79"/>
      <c r="P659" s="79"/>
      <c r="Q659" s="79"/>
      <c r="R659" s="79"/>
      <c r="S659" s="79"/>
      <c r="T659" s="79"/>
      <c r="U659" s="79"/>
      <c r="V659" s="79"/>
      <c r="W659" s="79"/>
      <c r="X659" s="79"/>
      <c r="Y659" s="79"/>
      <c r="Z659" s="79"/>
      <c r="AA659" s="79"/>
      <c r="AB659" s="79"/>
      <c r="AC659" s="79"/>
    </row>
    <row r="660" spans="1:29" ht="12.75" customHeight="1">
      <c r="A660" s="79"/>
      <c r="B660" s="79"/>
      <c r="C660" s="79"/>
      <c r="D660" s="79"/>
      <c r="E660" s="79"/>
      <c r="F660" s="79"/>
      <c r="G660" s="79"/>
      <c r="H660" s="79"/>
      <c r="I660" s="125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  <c r="U660" s="79"/>
      <c r="V660" s="79"/>
      <c r="W660" s="79"/>
      <c r="X660" s="79"/>
      <c r="Y660" s="79"/>
      <c r="Z660" s="79"/>
      <c r="AA660" s="79"/>
      <c r="AB660" s="79"/>
      <c r="AC660" s="79"/>
    </row>
    <row r="661" spans="1:29" ht="12.75" customHeight="1">
      <c r="A661" s="79"/>
      <c r="B661" s="79"/>
      <c r="C661" s="79"/>
      <c r="D661" s="79"/>
      <c r="E661" s="79"/>
      <c r="F661" s="79"/>
      <c r="G661" s="79"/>
      <c r="H661" s="79"/>
      <c r="I661" s="125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  <c r="U661" s="79"/>
      <c r="V661" s="79"/>
      <c r="W661" s="79"/>
      <c r="X661" s="79"/>
      <c r="Y661" s="79"/>
      <c r="Z661" s="79"/>
      <c r="AA661" s="79"/>
      <c r="AB661" s="79"/>
      <c r="AC661" s="79"/>
    </row>
    <row r="662" spans="1:29" ht="12.75" customHeight="1">
      <c r="A662" s="79"/>
      <c r="B662" s="79"/>
      <c r="C662" s="79"/>
      <c r="D662" s="79"/>
      <c r="E662" s="79"/>
      <c r="F662" s="79"/>
      <c r="G662" s="79"/>
      <c r="H662" s="79"/>
      <c r="I662" s="125"/>
      <c r="J662" s="79"/>
      <c r="K662" s="79"/>
      <c r="L662" s="79"/>
      <c r="M662" s="79"/>
      <c r="N662" s="79"/>
      <c r="O662" s="79"/>
      <c r="P662" s="79"/>
      <c r="Q662" s="79"/>
      <c r="R662" s="79"/>
      <c r="S662" s="79"/>
      <c r="T662" s="79"/>
      <c r="U662" s="79"/>
      <c r="V662" s="79"/>
      <c r="W662" s="79"/>
      <c r="X662" s="79"/>
      <c r="Y662" s="79"/>
      <c r="Z662" s="79"/>
      <c r="AA662" s="79"/>
      <c r="AB662" s="79"/>
      <c r="AC662" s="79"/>
    </row>
    <row r="663" spans="1:29" ht="12.75" customHeight="1">
      <c r="A663" s="79"/>
      <c r="B663" s="79"/>
      <c r="C663" s="79"/>
      <c r="D663" s="79"/>
      <c r="E663" s="79"/>
      <c r="F663" s="79"/>
      <c r="G663" s="79"/>
      <c r="H663" s="79"/>
      <c r="I663" s="125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  <c r="U663" s="79"/>
      <c r="V663" s="79"/>
      <c r="W663" s="79"/>
      <c r="X663" s="79"/>
      <c r="Y663" s="79"/>
      <c r="Z663" s="79"/>
      <c r="AA663" s="79"/>
      <c r="AB663" s="79"/>
      <c r="AC663" s="79"/>
    </row>
    <row r="664" spans="1:29" ht="12.75" customHeight="1">
      <c r="A664" s="79"/>
      <c r="B664" s="79"/>
      <c r="C664" s="79"/>
      <c r="D664" s="79"/>
      <c r="E664" s="79"/>
      <c r="F664" s="79"/>
      <c r="G664" s="79"/>
      <c r="H664" s="79"/>
      <c r="I664" s="125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  <c r="U664" s="79"/>
      <c r="V664" s="79"/>
      <c r="W664" s="79"/>
      <c r="X664" s="79"/>
      <c r="Y664" s="79"/>
      <c r="Z664" s="79"/>
      <c r="AA664" s="79"/>
      <c r="AB664" s="79"/>
      <c r="AC664" s="79"/>
    </row>
    <row r="665" spans="1:29" ht="12.75" customHeight="1">
      <c r="A665" s="79"/>
      <c r="B665" s="79"/>
      <c r="C665" s="79"/>
      <c r="D665" s="79"/>
      <c r="E665" s="79"/>
      <c r="F665" s="79"/>
      <c r="G665" s="79"/>
      <c r="H665" s="79"/>
      <c r="I665" s="125"/>
      <c r="J665" s="79"/>
      <c r="K665" s="79"/>
      <c r="L665" s="79"/>
      <c r="M665" s="79"/>
      <c r="N665" s="79"/>
      <c r="O665" s="79"/>
      <c r="P665" s="79"/>
      <c r="Q665" s="79"/>
      <c r="R665" s="79"/>
      <c r="S665" s="79"/>
      <c r="T665" s="79"/>
      <c r="U665" s="79"/>
      <c r="V665" s="79"/>
      <c r="W665" s="79"/>
      <c r="X665" s="79"/>
      <c r="Y665" s="79"/>
      <c r="Z665" s="79"/>
      <c r="AA665" s="79"/>
      <c r="AB665" s="79"/>
      <c r="AC665" s="79"/>
    </row>
    <row r="666" spans="1:29" ht="12.75" customHeight="1">
      <c r="A666" s="79"/>
      <c r="B666" s="79"/>
      <c r="C666" s="79"/>
      <c r="D666" s="79"/>
      <c r="E666" s="79"/>
      <c r="F666" s="79"/>
      <c r="G666" s="79"/>
      <c r="H666" s="79"/>
      <c r="I666" s="125"/>
      <c r="J666" s="79"/>
      <c r="K666" s="79"/>
      <c r="L666" s="79"/>
      <c r="M666" s="79"/>
      <c r="N666" s="79"/>
      <c r="O666" s="79"/>
      <c r="P666" s="79"/>
      <c r="Q666" s="79"/>
      <c r="R666" s="79"/>
      <c r="S666" s="79"/>
      <c r="T666" s="79"/>
      <c r="U666" s="79"/>
      <c r="V666" s="79"/>
      <c r="W666" s="79"/>
      <c r="X666" s="79"/>
      <c r="Y666" s="79"/>
      <c r="Z666" s="79"/>
      <c r="AA666" s="79"/>
      <c r="AB666" s="79"/>
      <c r="AC666" s="79"/>
    </row>
    <row r="667" spans="1:29" ht="12.75" customHeight="1">
      <c r="A667" s="79"/>
      <c r="B667" s="79"/>
      <c r="C667" s="79"/>
      <c r="D667" s="79"/>
      <c r="E667" s="79"/>
      <c r="F667" s="79"/>
      <c r="G667" s="79"/>
      <c r="H667" s="79"/>
      <c r="I667" s="125"/>
      <c r="J667" s="79"/>
      <c r="K667" s="79"/>
      <c r="L667" s="79"/>
      <c r="M667" s="79"/>
      <c r="N667" s="79"/>
      <c r="O667" s="79"/>
      <c r="P667" s="79"/>
      <c r="Q667" s="79"/>
      <c r="R667" s="79"/>
      <c r="S667" s="79"/>
      <c r="T667" s="79"/>
      <c r="U667" s="79"/>
      <c r="V667" s="79"/>
      <c r="W667" s="79"/>
      <c r="X667" s="79"/>
      <c r="Y667" s="79"/>
      <c r="Z667" s="79"/>
      <c r="AA667" s="79"/>
      <c r="AB667" s="79"/>
      <c r="AC667" s="79"/>
    </row>
    <row r="668" spans="1:29" ht="12.75" customHeight="1">
      <c r="A668" s="79"/>
      <c r="B668" s="79"/>
      <c r="C668" s="79"/>
      <c r="D668" s="79"/>
      <c r="E668" s="79"/>
      <c r="F668" s="79"/>
      <c r="G668" s="79"/>
      <c r="H668" s="79"/>
      <c r="I668" s="125"/>
      <c r="J668" s="79"/>
      <c r="K668" s="79"/>
      <c r="L668" s="79"/>
      <c r="M668" s="79"/>
      <c r="N668" s="79"/>
      <c r="O668" s="79"/>
      <c r="P668" s="79"/>
      <c r="Q668" s="79"/>
      <c r="R668" s="79"/>
      <c r="S668" s="79"/>
      <c r="T668" s="79"/>
      <c r="U668" s="79"/>
      <c r="V668" s="79"/>
      <c r="W668" s="79"/>
      <c r="X668" s="79"/>
      <c r="Y668" s="79"/>
      <c r="Z668" s="79"/>
      <c r="AA668" s="79"/>
      <c r="AB668" s="79"/>
      <c r="AC668" s="79"/>
    </row>
    <row r="669" spans="1:29" ht="12.75" customHeight="1">
      <c r="A669" s="79"/>
      <c r="B669" s="79"/>
      <c r="C669" s="79"/>
      <c r="D669" s="79"/>
      <c r="E669" s="79"/>
      <c r="F669" s="79"/>
      <c r="G669" s="79"/>
      <c r="H669" s="79"/>
      <c r="I669" s="125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  <c r="U669" s="79"/>
      <c r="V669" s="79"/>
      <c r="W669" s="79"/>
      <c r="X669" s="79"/>
      <c r="Y669" s="79"/>
      <c r="Z669" s="79"/>
      <c r="AA669" s="79"/>
      <c r="AB669" s="79"/>
      <c r="AC669" s="79"/>
    </row>
    <row r="670" spans="1:29" ht="12.75" customHeight="1">
      <c r="A670" s="79"/>
      <c r="B670" s="79"/>
      <c r="C670" s="79"/>
      <c r="D670" s="79"/>
      <c r="E670" s="79"/>
      <c r="F670" s="79"/>
      <c r="G670" s="79"/>
      <c r="H670" s="79"/>
      <c r="I670" s="125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  <c r="U670" s="79"/>
      <c r="V670" s="79"/>
      <c r="W670" s="79"/>
      <c r="X670" s="79"/>
      <c r="Y670" s="79"/>
      <c r="Z670" s="79"/>
      <c r="AA670" s="79"/>
      <c r="AB670" s="79"/>
      <c r="AC670" s="79"/>
    </row>
    <row r="671" spans="1:29" ht="12.75" customHeight="1">
      <c r="A671" s="79"/>
      <c r="B671" s="79"/>
      <c r="C671" s="79"/>
      <c r="D671" s="79"/>
      <c r="E671" s="79"/>
      <c r="F671" s="79"/>
      <c r="G671" s="79"/>
      <c r="H671" s="79"/>
      <c r="I671" s="125"/>
      <c r="J671" s="79"/>
      <c r="K671" s="79"/>
      <c r="L671" s="79"/>
      <c r="M671" s="79"/>
      <c r="N671" s="79"/>
      <c r="O671" s="79"/>
      <c r="P671" s="79"/>
      <c r="Q671" s="79"/>
      <c r="R671" s="79"/>
      <c r="S671" s="79"/>
      <c r="T671" s="79"/>
      <c r="U671" s="79"/>
      <c r="V671" s="79"/>
      <c r="W671" s="79"/>
      <c r="X671" s="79"/>
      <c r="Y671" s="79"/>
      <c r="Z671" s="79"/>
      <c r="AA671" s="79"/>
      <c r="AB671" s="79"/>
      <c r="AC671" s="79"/>
    </row>
    <row r="672" spans="1:29" ht="12.75" customHeight="1">
      <c r="A672" s="79"/>
      <c r="B672" s="79"/>
      <c r="C672" s="79"/>
      <c r="D672" s="79"/>
      <c r="E672" s="79"/>
      <c r="F672" s="79"/>
      <c r="G672" s="79"/>
      <c r="H672" s="79"/>
      <c r="I672" s="125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  <c r="U672" s="79"/>
      <c r="V672" s="79"/>
      <c r="W672" s="79"/>
      <c r="X672" s="79"/>
      <c r="Y672" s="79"/>
      <c r="Z672" s="79"/>
      <c r="AA672" s="79"/>
      <c r="AB672" s="79"/>
      <c r="AC672" s="79"/>
    </row>
    <row r="673" spans="1:29" ht="12.75" customHeight="1">
      <c r="A673" s="79"/>
      <c r="B673" s="79"/>
      <c r="C673" s="79"/>
      <c r="D673" s="79"/>
      <c r="E673" s="79"/>
      <c r="F673" s="79"/>
      <c r="G673" s="79"/>
      <c r="H673" s="79"/>
      <c r="I673" s="125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  <c r="U673" s="79"/>
      <c r="V673" s="79"/>
      <c r="W673" s="79"/>
      <c r="X673" s="79"/>
      <c r="Y673" s="79"/>
      <c r="Z673" s="79"/>
      <c r="AA673" s="79"/>
      <c r="AB673" s="79"/>
      <c r="AC673" s="79"/>
    </row>
    <row r="674" spans="1:29" ht="12.75" customHeight="1">
      <c r="A674" s="79"/>
      <c r="B674" s="79"/>
      <c r="C674" s="79"/>
      <c r="D674" s="79"/>
      <c r="E674" s="79"/>
      <c r="F674" s="79"/>
      <c r="G674" s="79"/>
      <c r="H674" s="79"/>
      <c r="I674" s="125"/>
      <c r="J674" s="79"/>
      <c r="K674" s="79"/>
      <c r="L674" s="79"/>
      <c r="M674" s="79"/>
      <c r="N674" s="79"/>
      <c r="O674" s="79"/>
      <c r="P674" s="79"/>
      <c r="Q674" s="79"/>
      <c r="R674" s="79"/>
      <c r="S674" s="79"/>
      <c r="T674" s="79"/>
      <c r="U674" s="79"/>
      <c r="V674" s="79"/>
      <c r="W674" s="79"/>
      <c r="X674" s="79"/>
      <c r="Y674" s="79"/>
      <c r="Z674" s="79"/>
      <c r="AA674" s="79"/>
      <c r="AB674" s="79"/>
      <c r="AC674" s="79"/>
    </row>
    <row r="675" spans="1:29" ht="12.75" customHeight="1">
      <c r="A675" s="79"/>
      <c r="B675" s="79"/>
      <c r="C675" s="79"/>
      <c r="D675" s="79"/>
      <c r="E675" s="79"/>
      <c r="F675" s="79"/>
      <c r="G675" s="79"/>
      <c r="H675" s="79"/>
      <c r="I675" s="125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  <c r="U675" s="79"/>
      <c r="V675" s="79"/>
      <c r="W675" s="79"/>
      <c r="X675" s="79"/>
      <c r="Y675" s="79"/>
      <c r="Z675" s="79"/>
      <c r="AA675" s="79"/>
      <c r="AB675" s="79"/>
      <c r="AC675" s="79"/>
    </row>
    <row r="676" spans="1:29" ht="12.75" customHeight="1">
      <c r="A676" s="79"/>
      <c r="B676" s="79"/>
      <c r="C676" s="79"/>
      <c r="D676" s="79"/>
      <c r="E676" s="79"/>
      <c r="F676" s="79"/>
      <c r="G676" s="79"/>
      <c r="H676" s="79"/>
      <c r="I676" s="125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  <c r="U676" s="79"/>
      <c r="V676" s="79"/>
      <c r="W676" s="79"/>
      <c r="X676" s="79"/>
      <c r="Y676" s="79"/>
      <c r="Z676" s="79"/>
      <c r="AA676" s="79"/>
      <c r="AB676" s="79"/>
      <c r="AC676" s="79"/>
    </row>
    <row r="677" spans="1:29" ht="12.75" customHeight="1">
      <c r="A677" s="79"/>
      <c r="B677" s="79"/>
      <c r="C677" s="79"/>
      <c r="D677" s="79"/>
      <c r="E677" s="79"/>
      <c r="F677" s="79"/>
      <c r="G677" s="79"/>
      <c r="H677" s="79"/>
      <c r="I677" s="125"/>
      <c r="J677" s="79"/>
      <c r="K677" s="79"/>
      <c r="L677" s="79"/>
      <c r="M677" s="79"/>
      <c r="N677" s="79"/>
      <c r="O677" s="79"/>
      <c r="P677" s="79"/>
      <c r="Q677" s="79"/>
      <c r="R677" s="79"/>
      <c r="S677" s="79"/>
      <c r="T677" s="79"/>
      <c r="U677" s="79"/>
      <c r="V677" s="79"/>
      <c r="W677" s="79"/>
      <c r="X677" s="79"/>
      <c r="Y677" s="79"/>
      <c r="Z677" s="79"/>
      <c r="AA677" s="79"/>
      <c r="AB677" s="79"/>
      <c r="AC677" s="79"/>
    </row>
    <row r="678" spans="1:29" ht="12.75" customHeight="1">
      <c r="A678" s="79"/>
      <c r="B678" s="79"/>
      <c r="C678" s="79"/>
      <c r="D678" s="79"/>
      <c r="E678" s="79"/>
      <c r="F678" s="79"/>
      <c r="G678" s="79"/>
      <c r="H678" s="79"/>
      <c r="I678" s="125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  <c r="U678" s="79"/>
      <c r="V678" s="79"/>
      <c r="W678" s="79"/>
      <c r="X678" s="79"/>
      <c r="Y678" s="79"/>
      <c r="Z678" s="79"/>
      <c r="AA678" s="79"/>
      <c r="AB678" s="79"/>
      <c r="AC678" s="79"/>
    </row>
    <row r="679" spans="1:29" ht="12.75" customHeight="1">
      <c r="A679" s="79"/>
      <c r="B679" s="79"/>
      <c r="C679" s="79"/>
      <c r="D679" s="79"/>
      <c r="E679" s="79"/>
      <c r="F679" s="79"/>
      <c r="G679" s="79"/>
      <c r="H679" s="79"/>
      <c r="I679" s="125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  <c r="U679" s="79"/>
      <c r="V679" s="79"/>
      <c r="W679" s="79"/>
      <c r="X679" s="79"/>
      <c r="Y679" s="79"/>
      <c r="Z679" s="79"/>
      <c r="AA679" s="79"/>
      <c r="AB679" s="79"/>
      <c r="AC679" s="79"/>
    </row>
    <row r="680" spans="1:29" ht="12.75" customHeight="1">
      <c r="A680" s="79"/>
      <c r="B680" s="79"/>
      <c r="C680" s="79"/>
      <c r="D680" s="79"/>
      <c r="E680" s="79"/>
      <c r="F680" s="79"/>
      <c r="G680" s="79"/>
      <c r="H680" s="79"/>
      <c r="I680" s="125"/>
      <c r="J680" s="79"/>
      <c r="K680" s="79"/>
      <c r="L680" s="79"/>
      <c r="M680" s="79"/>
      <c r="N680" s="79"/>
      <c r="O680" s="79"/>
      <c r="P680" s="79"/>
      <c r="Q680" s="79"/>
      <c r="R680" s="79"/>
      <c r="S680" s="79"/>
      <c r="T680" s="79"/>
      <c r="U680" s="79"/>
      <c r="V680" s="79"/>
      <c r="W680" s="79"/>
      <c r="X680" s="79"/>
      <c r="Y680" s="79"/>
      <c r="Z680" s="79"/>
      <c r="AA680" s="79"/>
      <c r="AB680" s="79"/>
      <c r="AC680" s="79"/>
    </row>
    <row r="681" spans="1:29" ht="12.75" customHeight="1">
      <c r="A681" s="79"/>
      <c r="B681" s="79"/>
      <c r="C681" s="79"/>
      <c r="D681" s="79"/>
      <c r="E681" s="79"/>
      <c r="F681" s="79"/>
      <c r="G681" s="79"/>
      <c r="H681" s="79"/>
      <c r="I681" s="125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  <c r="U681" s="79"/>
      <c r="V681" s="79"/>
      <c r="W681" s="79"/>
      <c r="X681" s="79"/>
      <c r="Y681" s="79"/>
      <c r="Z681" s="79"/>
      <c r="AA681" s="79"/>
      <c r="AB681" s="79"/>
      <c r="AC681" s="79"/>
    </row>
    <row r="682" spans="1:29" ht="12.75" customHeight="1">
      <c r="A682" s="79"/>
      <c r="B682" s="79"/>
      <c r="C682" s="79"/>
      <c r="D682" s="79"/>
      <c r="E682" s="79"/>
      <c r="F682" s="79"/>
      <c r="G682" s="79"/>
      <c r="H682" s="79"/>
      <c r="I682" s="125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  <c r="U682" s="79"/>
      <c r="V682" s="79"/>
      <c r="W682" s="79"/>
      <c r="X682" s="79"/>
      <c r="Y682" s="79"/>
      <c r="Z682" s="79"/>
      <c r="AA682" s="79"/>
      <c r="AB682" s="79"/>
      <c r="AC682" s="79"/>
    </row>
    <row r="683" spans="1:29" ht="12.75" customHeight="1">
      <c r="A683" s="79"/>
      <c r="B683" s="79"/>
      <c r="C683" s="79"/>
      <c r="D683" s="79"/>
      <c r="E683" s="79"/>
      <c r="F683" s="79"/>
      <c r="G683" s="79"/>
      <c r="H683" s="79"/>
      <c r="I683" s="125"/>
      <c r="J683" s="79"/>
      <c r="K683" s="79"/>
      <c r="L683" s="79"/>
      <c r="M683" s="79"/>
      <c r="N683" s="79"/>
      <c r="O683" s="79"/>
      <c r="P683" s="79"/>
      <c r="Q683" s="79"/>
      <c r="R683" s="79"/>
      <c r="S683" s="79"/>
      <c r="T683" s="79"/>
      <c r="U683" s="79"/>
      <c r="V683" s="79"/>
      <c r="W683" s="79"/>
      <c r="X683" s="79"/>
      <c r="Y683" s="79"/>
      <c r="Z683" s="79"/>
      <c r="AA683" s="79"/>
      <c r="AB683" s="79"/>
      <c r="AC683" s="79"/>
    </row>
    <row r="684" spans="1:29" ht="12.75" customHeight="1">
      <c r="A684" s="79"/>
      <c r="B684" s="79"/>
      <c r="C684" s="79"/>
      <c r="D684" s="79"/>
      <c r="E684" s="79"/>
      <c r="F684" s="79"/>
      <c r="G684" s="79"/>
      <c r="H684" s="79"/>
      <c r="I684" s="125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  <c r="U684" s="79"/>
      <c r="V684" s="79"/>
      <c r="W684" s="79"/>
      <c r="X684" s="79"/>
      <c r="Y684" s="79"/>
      <c r="Z684" s="79"/>
      <c r="AA684" s="79"/>
      <c r="AB684" s="79"/>
      <c r="AC684" s="79"/>
    </row>
    <row r="685" spans="1:29" ht="12.75" customHeight="1">
      <c r="A685" s="79"/>
      <c r="B685" s="79"/>
      <c r="C685" s="79"/>
      <c r="D685" s="79"/>
      <c r="E685" s="79"/>
      <c r="F685" s="79"/>
      <c r="G685" s="79"/>
      <c r="H685" s="79"/>
      <c r="I685" s="125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  <c r="U685" s="79"/>
      <c r="V685" s="79"/>
      <c r="W685" s="79"/>
      <c r="X685" s="79"/>
      <c r="Y685" s="79"/>
      <c r="Z685" s="79"/>
      <c r="AA685" s="79"/>
      <c r="AB685" s="79"/>
      <c r="AC685" s="79"/>
    </row>
    <row r="686" spans="1:29" ht="12.75" customHeight="1">
      <c r="A686" s="79"/>
      <c r="B686" s="79"/>
      <c r="C686" s="79"/>
      <c r="D686" s="79"/>
      <c r="E686" s="79"/>
      <c r="F686" s="79"/>
      <c r="G686" s="79"/>
      <c r="H686" s="79"/>
      <c r="I686" s="125"/>
      <c r="J686" s="79"/>
      <c r="K686" s="79"/>
      <c r="L686" s="79"/>
      <c r="M686" s="79"/>
      <c r="N686" s="79"/>
      <c r="O686" s="79"/>
      <c r="P686" s="79"/>
      <c r="Q686" s="79"/>
      <c r="R686" s="79"/>
      <c r="S686" s="79"/>
      <c r="T686" s="79"/>
      <c r="U686" s="79"/>
      <c r="V686" s="79"/>
      <c r="W686" s="79"/>
      <c r="X686" s="79"/>
      <c r="Y686" s="79"/>
      <c r="Z686" s="79"/>
      <c r="AA686" s="79"/>
      <c r="AB686" s="79"/>
      <c r="AC686" s="79"/>
    </row>
    <row r="687" spans="1:29" ht="12.75" customHeight="1">
      <c r="A687" s="79"/>
      <c r="B687" s="79"/>
      <c r="C687" s="79"/>
      <c r="D687" s="79"/>
      <c r="E687" s="79"/>
      <c r="F687" s="79"/>
      <c r="G687" s="79"/>
      <c r="H687" s="79"/>
      <c r="I687" s="125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  <c r="U687" s="79"/>
      <c r="V687" s="79"/>
      <c r="W687" s="79"/>
      <c r="X687" s="79"/>
      <c r="Y687" s="79"/>
      <c r="Z687" s="79"/>
      <c r="AA687" s="79"/>
      <c r="AB687" s="79"/>
      <c r="AC687" s="79"/>
    </row>
    <row r="688" spans="1:29" ht="12.75" customHeight="1">
      <c r="A688" s="79"/>
      <c r="B688" s="79"/>
      <c r="C688" s="79"/>
      <c r="D688" s="79"/>
      <c r="E688" s="79"/>
      <c r="F688" s="79"/>
      <c r="G688" s="79"/>
      <c r="H688" s="79"/>
      <c r="I688" s="125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  <c r="U688" s="79"/>
      <c r="V688" s="79"/>
      <c r="W688" s="79"/>
      <c r="X688" s="79"/>
      <c r="Y688" s="79"/>
      <c r="Z688" s="79"/>
      <c r="AA688" s="79"/>
      <c r="AB688" s="79"/>
      <c r="AC688" s="79"/>
    </row>
    <row r="689" spans="1:29" ht="12.75" customHeight="1">
      <c r="A689" s="79"/>
      <c r="B689" s="79"/>
      <c r="C689" s="79"/>
      <c r="D689" s="79"/>
      <c r="E689" s="79"/>
      <c r="F689" s="79"/>
      <c r="G689" s="79"/>
      <c r="H689" s="79"/>
      <c r="I689" s="125"/>
      <c r="J689" s="79"/>
      <c r="K689" s="79"/>
      <c r="L689" s="79"/>
      <c r="M689" s="79"/>
      <c r="N689" s="79"/>
      <c r="O689" s="79"/>
      <c r="P689" s="79"/>
      <c r="Q689" s="79"/>
      <c r="R689" s="79"/>
      <c r="S689" s="79"/>
      <c r="T689" s="79"/>
      <c r="U689" s="79"/>
      <c r="V689" s="79"/>
      <c r="W689" s="79"/>
      <c r="X689" s="79"/>
      <c r="Y689" s="79"/>
      <c r="Z689" s="79"/>
      <c r="AA689" s="79"/>
      <c r="AB689" s="79"/>
      <c r="AC689" s="79"/>
    </row>
    <row r="690" spans="1:29" ht="12.75" customHeight="1">
      <c r="A690" s="79"/>
      <c r="B690" s="79"/>
      <c r="C690" s="79"/>
      <c r="D690" s="79"/>
      <c r="E690" s="79"/>
      <c r="F690" s="79"/>
      <c r="G690" s="79"/>
      <c r="H690" s="79"/>
      <c r="I690" s="125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  <c r="U690" s="79"/>
      <c r="V690" s="79"/>
      <c r="W690" s="79"/>
      <c r="X690" s="79"/>
      <c r="Y690" s="79"/>
      <c r="Z690" s="79"/>
      <c r="AA690" s="79"/>
      <c r="AB690" s="79"/>
      <c r="AC690" s="79"/>
    </row>
    <row r="691" spans="1:29" ht="12.75" customHeight="1">
      <c r="A691" s="79"/>
      <c r="B691" s="79"/>
      <c r="C691" s="79"/>
      <c r="D691" s="79"/>
      <c r="E691" s="79"/>
      <c r="F691" s="79"/>
      <c r="G691" s="79"/>
      <c r="H691" s="79"/>
      <c r="I691" s="125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  <c r="U691" s="79"/>
      <c r="V691" s="79"/>
      <c r="W691" s="79"/>
      <c r="X691" s="79"/>
      <c r="Y691" s="79"/>
      <c r="Z691" s="79"/>
      <c r="AA691" s="79"/>
      <c r="AB691" s="79"/>
      <c r="AC691" s="79"/>
    </row>
    <row r="692" spans="1:29" ht="12.75" customHeight="1">
      <c r="A692" s="79"/>
      <c r="B692" s="79"/>
      <c r="C692" s="79"/>
      <c r="D692" s="79"/>
      <c r="E692" s="79"/>
      <c r="F692" s="79"/>
      <c r="G692" s="79"/>
      <c r="H692" s="79"/>
      <c r="I692" s="125"/>
      <c r="J692" s="79"/>
      <c r="K692" s="79"/>
      <c r="L692" s="79"/>
      <c r="M692" s="79"/>
      <c r="N692" s="79"/>
      <c r="O692" s="79"/>
      <c r="P692" s="79"/>
      <c r="Q692" s="79"/>
      <c r="R692" s="79"/>
      <c r="S692" s="79"/>
      <c r="T692" s="79"/>
      <c r="U692" s="79"/>
      <c r="V692" s="79"/>
      <c r="W692" s="79"/>
      <c r="X692" s="79"/>
      <c r="Y692" s="79"/>
      <c r="Z692" s="79"/>
      <c r="AA692" s="79"/>
      <c r="AB692" s="79"/>
      <c r="AC692" s="79"/>
    </row>
    <row r="693" spans="1:29" ht="12.75" customHeight="1">
      <c r="A693" s="79"/>
      <c r="B693" s="79"/>
      <c r="C693" s="79"/>
      <c r="D693" s="79"/>
      <c r="E693" s="79"/>
      <c r="F693" s="79"/>
      <c r="G693" s="79"/>
      <c r="H693" s="79"/>
      <c r="I693" s="125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  <c r="U693" s="79"/>
      <c r="V693" s="79"/>
      <c r="W693" s="79"/>
      <c r="X693" s="79"/>
      <c r="Y693" s="79"/>
      <c r="Z693" s="79"/>
      <c r="AA693" s="79"/>
      <c r="AB693" s="79"/>
      <c r="AC693" s="79"/>
    </row>
    <row r="694" spans="1:29" ht="12.75" customHeight="1">
      <c r="A694" s="79"/>
      <c r="B694" s="79"/>
      <c r="C694" s="79"/>
      <c r="D694" s="79"/>
      <c r="E694" s="79"/>
      <c r="F694" s="79"/>
      <c r="G694" s="79"/>
      <c r="H694" s="79"/>
      <c r="I694" s="125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  <c r="U694" s="79"/>
      <c r="V694" s="79"/>
      <c r="W694" s="79"/>
      <c r="X694" s="79"/>
      <c r="Y694" s="79"/>
      <c r="Z694" s="79"/>
      <c r="AA694" s="79"/>
      <c r="AB694" s="79"/>
      <c r="AC694" s="79"/>
    </row>
    <row r="695" spans="1:29" ht="12.75" customHeight="1">
      <c r="A695" s="79"/>
      <c r="B695" s="79"/>
      <c r="C695" s="79"/>
      <c r="D695" s="79"/>
      <c r="E695" s="79"/>
      <c r="F695" s="79"/>
      <c r="G695" s="79"/>
      <c r="H695" s="79"/>
      <c r="I695" s="125"/>
      <c r="J695" s="79"/>
      <c r="K695" s="79"/>
      <c r="L695" s="79"/>
      <c r="M695" s="79"/>
      <c r="N695" s="79"/>
      <c r="O695" s="79"/>
      <c r="P695" s="79"/>
      <c r="Q695" s="79"/>
      <c r="R695" s="79"/>
      <c r="S695" s="79"/>
      <c r="T695" s="79"/>
      <c r="U695" s="79"/>
      <c r="V695" s="79"/>
      <c r="W695" s="79"/>
      <c r="X695" s="79"/>
      <c r="Y695" s="79"/>
      <c r="Z695" s="79"/>
      <c r="AA695" s="79"/>
      <c r="AB695" s="79"/>
      <c r="AC695" s="79"/>
    </row>
    <row r="696" spans="1:29" ht="12.75" customHeight="1">
      <c r="A696" s="79"/>
      <c r="B696" s="79"/>
      <c r="C696" s="79"/>
      <c r="D696" s="79"/>
      <c r="E696" s="79"/>
      <c r="F696" s="79"/>
      <c r="G696" s="79"/>
      <c r="H696" s="79"/>
      <c r="I696" s="125"/>
      <c r="J696" s="79"/>
      <c r="K696" s="79"/>
      <c r="L696" s="79"/>
      <c r="M696" s="79"/>
      <c r="N696" s="79"/>
      <c r="O696" s="79"/>
      <c r="P696" s="79"/>
      <c r="Q696" s="79"/>
      <c r="R696" s="79"/>
      <c r="S696" s="79"/>
      <c r="T696" s="79"/>
      <c r="U696" s="79"/>
      <c r="V696" s="79"/>
      <c r="W696" s="79"/>
      <c r="X696" s="79"/>
      <c r="Y696" s="79"/>
      <c r="Z696" s="79"/>
      <c r="AA696" s="79"/>
      <c r="AB696" s="79"/>
      <c r="AC696" s="79"/>
    </row>
    <row r="697" spans="1:29" ht="12.75" customHeight="1">
      <c r="A697" s="79"/>
      <c r="B697" s="79"/>
      <c r="C697" s="79"/>
      <c r="D697" s="79"/>
      <c r="E697" s="79"/>
      <c r="F697" s="79"/>
      <c r="G697" s="79"/>
      <c r="H697" s="79"/>
      <c r="I697" s="125"/>
      <c r="J697" s="79"/>
      <c r="K697" s="79"/>
      <c r="L697" s="79"/>
      <c r="M697" s="79"/>
      <c r="N697" s="79"/>
      <c r="O697" s="79"/>
      <c r="P697" s="79"/>
      <c r="Q697" s="79"/>
      <c r="R697" s="79"/>
      <c r="S697" s="79"/>
      <c r="T697" s="79"/>
      <c r="U697" s="79"/>
      <c r="V697" s="79"/>
      <c r="W697" s="79"/>
      <c r="X697" s="79"/>
      <c r="Y697" s="79"/>
      <c r="Z697" s="79"/>
      <c r="AA697" s="79"/>
      <c r="AB697" s="79"/>
      <c r="AC697" s="79"/>
    </row>
    <row r="698" spans="1:29" ht="12.75" customHeight="1">
      <c r="A698" s="79"/>
      <c r="B698" s="79"/>
      <c r="C698" s="79"/>
      <c r="D698" s="79"/>
      <c r="E698" s="79"/>
      <c r="F698" s="79"/>
      <c r="G698" s="79"/>
      <c r="H698" s="79"/>
      <c r="I698" s="125"/>
      <c r="J698" s="79"/>
      <c r="K698" s="79"/>
      <c r="L698" s="79"/>
      <c r="M698" s="79"/>
      <c r="N698" s="79"/>
      <c r="O698" s="79"/>
      <c r="P698" s="79"/>
      <c r="Q698" s="79"/>
      <c r="R698" s="79"/>
      <c r="S698" s="79"/>
      <c r="T698" s="79"/>
      <c r="U698" s="79"/>
      <c r="V698" s="79"/>
      <c r="W698" s="79"/>
      <c r="X698" s="79"/>
      <c r="Y698" s="79"/>
      <c r="Z698" s="79"/>
      <c r="AA698" s="79"/>
      <c r="AB698" s="79"/>
      <c r="AC698" s="79"/>
    </row>
    <row r="699" spans="1:29" ht="12.75" customHeight="1">
      <c r="A699" s="79"/>
      <c r="B699" s="79"/>
      <c r="C699" s="79"/>
      <c r="D699" s="79"/>
      <c r="E699" s="79"/>
      <c r="F699" s="79"/>
      <c r="G699" s="79"/>
      <c r="H699" s="79"/>
      <c r="I699" s="125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  <c r="U699" s="79"/>
      <c r="V699" s="79"/>
      <c r="W699" s="79"/>
      <c r="X699" s="79"/>
      <c r="Y699" s="79"/>
      <c r="Z699" s="79"/>
      <c r="AA699" s="79"/>
      <c r="AB699" s="79"/>
      <c r="AC699" s="79"/>
    </row>
    <row r="700" spans="1:29" ht="12.75" customHeight="1">
      <c r="A700" s="79"/>
      <c r="B700" s="79"/>
      <c r="C700" s="79"/>
      <c r="D700" s="79"/>
      <c r="E700" s="79"/>
      <c r="F700" s="79"/>
      <c r="G700" s="79"/>
      <c r="H700" s="79"/>
      <c r="I700" s="125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  <c r="U700" s="79"/>
      <c r="V700" s="79"/>
      <c r="W700" s="79"/>
      <c r="X700" s="79"/>
      <c r="Y700" s="79"/>
      <c r="Z700" s="79"/>
      <c r="AA700" s="79"/>
      <c r="AB700" s="79"/>
      <c r="AC700" s="79"/>
    </row>
    <row r="701" spans="1:29" ht="12.75" customHeight="1">
      <c r="A701" s="79"/>
      <c r="B701" s="79"/>
      <c r="C701" s="79"/>
      <c r="D701" s="79"/>
      <c r="E701" s="79"/>
      <c r="F701" s="79"/>
      <c r="G701" s="79"/>
      <c r="H701" s="79"/>
      <c r="I701" s="125"/>
      <c r="J701" s="79"/>
      <c r="K701" s="79"/>
      <c r="L701" s="79"/>
      <c r="M701" s="79"/>
      <c r="N701" s="79"/>
      <c r="O701" s="79"/>
      <c r="P701" s="79"/>
      <c r="Q701" s="79"/>
      <c r="R701" s="79"/>
      <c r="S701" s="79"/>
      <c r="T701" s="79"/>
      <c r="U701" s="79"/>
      <c r="V701" s="79"/>
      <c r="W701" s="79"/>
      <c r="X701" s="79"/>
      <c r="Y701" s="79"/>
      <c r="Z701" s="79"/>
      <c r="AA701" s="79"/>
      <c r="AB701" s="79"/>
      <c r="AC701" s="79"/>
    </row>
    <row r="702" spans="1:29" ht="12.75" customHeight="1">
      <c r="A702" s="79"/>
      <c r="B702" s="79"/>
      <c r="C702" s="79"/>
      <c r="D702" s="79"/>
      <c r="E702" s="79"/>
      <c r="F702" s="79"/>
      <c r="G702" s="79"/>
      <c r="H702" s="79"/>
      <c r="I702" s="125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  <c r="U702" s="79"/>
      <c r="V702" s="79"/>
      <c r="W702" s="79"/>
      <c r="X702" s="79"/>
      <c r="Y702" s="79"/>
      <c r="Z702" s="79"/>
      <c r="AA702" s="79"/>
      <c r="AB702" s="79"/>
      <c r="AC702" s="79"/>
    </row>
    <row r="703" spans="1:29" ht="12.75" customHeight="1">
      <c r="A703" s="79"/>
      <c r="B703" s="79"/>
      <c r="C703" s="79"/>
      <c r="D703" s="79"/>
      <c r="E703" s="79"/>
      <c r="F703" s="79"/>
      <c r="G703" s="79"/>
      <c r="H703" s="79"/>
      <c r="I703" s="125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  <c r="U703" s="79"/>
      <c r="V703" s="79"/>
      <c r="W703" s="79"/>
      <c r="X703" s="79"/>
      <c r="Y703" s="79"/>
      <c r="Z703" s="79"/>
      <c r="AA703" s="79"/>
      <c r="AB703" s="79"/>
      <c r="AC703" s="79"/>
    </row>
    <row r="704" spans="1:29" ht="12.75" customHeight="1">
      <c r="A704" s="79"/>
      <c r="B704" s="79"/>
      <c r="C704" s="79"/>
      <c r="D704" s="79"/>
      <c r="E704" s="79"/>
      <c r="F704" s="79"/>
      <c r="G704" s="79"/>
      <c r="H704" s="79"/>
      <c r="I704" s="125"/>
      <c r="J704" s="79"/>
      <c r="K704" s="79"/>
      <c r="L704" s="79"/>
      <c r="M704" s="79"/>
      <c r="N704" s="79"/>
      <c r="O704" s="79"/>
      <c r="P704" s="79"/>
      <c r="Q704" s="79"/>
      <c r="R704" s="79"/>
      <c r="S704" s="79"/>
      <c r="T704" s="79"/>
      <c r="U704" s="79"/>
      <c r="V704" s="79"/>
      <c r="W704" s="79"/>
      <c r="X704" s="79"/>
      <c r="Y704" s="79"/>
      <c r="Z704" s="79"/>
      <c r="AA704" s="79"/>
      <c r="AB704" s="79"/>
      <c r="AC704" s="79"/>
    </row>
    <row r="705" spans="1:29" ht="12.75" customHeight="1">
      <c r="A705" s="79"/>
      <c r="B705" s="79"/>
      <c r="C705" s="79"/>
      <c r="D705" s="79"/>
      <c r="E705" s="79"/>
      <c r="F705" s="79"/>
      <c r="G705" s="79"/>
      <c r="H705" s="79"/>
      <c r="I705" s="125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  <c r="U705" s="79"/>
      <c r="V705" s="79"/>
      <c r="W705" s="79"/>
      <c r="X705" s="79"/>
      <c r="Y705" s="79"/>
      <c r="Z705" s="79"/>
      <c r="AA705" s="79"/>
      <c r="AB705" s="79"/>
      <c r="AC705" s="79"/>
    </row>
    <row r="706" spans="1:29" ht="12.75" customHeight="1">
      <c r="A706" s="79"/>
      <c r="B706" s="79"/>
      <c r="C706" s="79"/>
      <c r="D706" s="79"/>
      <c r="E706" s="79"/>
      <c r="F706" s="79"/>
      <c r="G706" s="79"/>
      <c r="H706" s="79"/>
      <c r="I706" s="125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  <c r="U706" s="79"/>
      <c r="V706" s="79"/>
      <c r="W706" s="79"/>
      <c r="X706" s="79"/>
      <c r="Y706" s="79"/>
      <c r="Z706" s="79"/>
      <c r="AA706" s="79"/>
      <c r="AB706" s="79"/>
      <c r="AC706" s="79"/>
    </row>
    <row r="707" spans="1:29" ht="12.75" customHeight="1">
      <c r="A707" s="79"/>
      <c r="B707" s="79"/>
      <c r="C707" s="79"/>
      <c r="D707" s="79"/>
      <c r="E707" s="79"/>
      <c r="F707" s="79"/>
      <c r="G707" s="79"/>
      <c r="H707" s="79"/>
      <c r="I707" s="125"/>
      <c r="J707" s="79"/>
      <c r="K707" s="79"/>
      <c r="L707" s="79"/>
      <c r="M707" s="79"/>
      <c r="N707" s="79"/>
      <c r="O707" s="79"/>
      <c r="P707" s="79"/>
      <c r="Q707" s="79"/>
      <c r="R707" s="79"/>
      <c r="S707" s="79"/>
      <c r="T707" s="79"/>
      <c r="U707" s="79"/>
      <c r="V707" s="79"/>
      <c r="W707" s="79"/>
      <c r="X707" s="79"/>
      <c r="Y707" s="79"/>
      <c r="Z707" s="79"/>
      <c r="AA707" s="79"/>
      <c r="AB707" s="79"/>
      <c r="AC707" s="79"/>
    </row>
    <row r="708" spans="1:29" ht="12.75" customHeight="1">
      <c r="A708" s="79"/>
      <c r="B708" s="79"/>
      <c r="C708" s="79"/>
      <c r="D708" s="79"/>
      <c r="E708" s="79"/>
      <c r="F708" s="79"/>
      <c r="G708" s="79"/>
      <c r="H708" s="79"/>
      <c r="I708" s="125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  <c r="U708" s="79"/>
      <c r="V708" s="79"/>
      <c r="W708" s="79"/>
      <c r="X708" s="79"/>
      <c r="Y708" s="79"/>
      <c r="Z708" s="79"/>
      <c r="AA708" s="79"/>
      <c r="AB708" s="79"/>
      <c r="AC708" s="79"/>
    </row>
    <row r="709" spans="1:29" ht="12.75" customHeight="1">
      <c r="A709" s="79"/>
      <c r="B709" s="79"/>
      <c r="C709" s="79"/>
      <c r="D709" s="79"/>
      <c r="E709" s="79"/>
      <c r="F709" s="79"/>
      <c r="G709" s="79"/>
      <c r="H709" s="79"/>
      <c r="I709" s="125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  <c r="U709" s="79"/>
      <c r="V709" s="79"/>
      <c r="W709" s="79"/>
      <c r="X709" s="79"/>
      <c r="Y709" s="79"/>
      <c r="Z709" s="79"/>
      <c r="AA709" s="79"/>
      <c r="AB709" s="79"/>
      <c r="AC709" s="79"/>
    </row>
    <row r="710" spans="1:29" ht="12.75" customHeight="1">
      <c r="A710" s="79"/>
      <c r="B710" s="79"/>
      <c r="C710" s="79"/>
      <c r="D710" s="79"/>
      <c r="E710" s="79"/>
      <c r="F710" s="79"/>
      <c r="G710" s="79"/>
      <c r="H710" s="79"/>
      <c r="I710" s="125"/>
      <c r="J710" s="79"/>
      <c r="K710" s="79"/>
      <c r="L710" s="79"/>
      <c r="M710" s="79"/>
      <c r="N710" s="79"/>
      <c r="O710" s="79"/>
      <c r="P710" s="79"/>
      <c r="Q710" s="79"/>
      <c r="R710" s="79"/>
      <c r="S710" s="79"/>
      <c r="T710" s="79"/>
      <c r="U710" s="79"/>
      <c r="V710" s="79"/>
      <c r="W710" s="79"/>
      <c r="X710" s="79"/>
      <c r="Y710" s="79"/>
      <c r="Z710" s="79"/>
      <c r="AA710" s="79"/>
      <c r="AB710" s="79"/>
      <c r="AC710" s="79"/>
    </row>
    <row r="711" spans="1:29" ht="12.75" customHeight="1">
      <c r="A711" s="79"/>
      <c r="B711" s="79"/>
      <c r="C711" s="79"/>
      <c r="D711" s="79"/>
      <c r="E711" s="79"/>
      <c r="F711" s="79"/>
      <c r="G711" s="79"/>
      <c r="H711" s="79"/>
      <c r="I711" s="125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  <c r="U711" s="79"/>
      <c r="V711" s="79"/>
      <c r="W711" s="79"/>
      <c r="X711" s="79"/>
      <c r="Y711" s="79"/>
      <c r="Z711" s="79"/>
      <c r="AA711" s="79"/>
      <c r="AB711" s="79"/>
      <c r="AC711" s="79"/>
    </row>
    <row r="712" spans="1:29" ht="12.75" customHeight="1">
      <c r="A712" s="79"/>
      <c r="B712" s="79"/>
      <c r="C712" s="79"/>
      <c r="D712" s="79"/>
      <c r="E712" s="79"/>
      <c r="F712" s="79"/>
      <c r="G712" s="79"/>
      <c r="H712" s="79"/>
      <c r="I712" s="125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  <c r="U712" s="79"/>
      <c r="V712" s="79"/>
      <c r="W712" s="79"/>
      <c r="X712" s="79"/>
      <c r="Y712" s="79"/>
      <c r="Z712" s="79"/>
      <c r="AA712" s="79"/>
      <c r="AB712" s="79"/>
      <c r="AC712" s="79"/>
    </row>
    <row r="713" spans="1:29" ht="12.75" customHeight="1">
      <c r="A713" s="79"/>
      <c r="B713" s="79"/>
      <c r="C713" s="79"/>
      <c r="D713" s="79"/>
      <c r="E713" s="79"/>
      <c r="F713" s="79"/>
      <c r="G713" s="79"/>
      <c r="H713" s="79"/>
      <c r="I713" s="125"/>
      <c r="J713" s="79"/>
      <c r="K713" s="79"/>
      <c r="L713" s="79"/>
      <c r="M713" s="79"/>
      <c r="N713" s="79"/>
      <c r="O713" s="79"/>
      <c r="P713" s="79"/>
      <c r="Q713" s="79"/>
      <c r="R713" s="79"/>
      <c r="S713" s="79"/>
      <c r="T713" s="79"/>
      <c r="U713" s="79"/>
      <c r="V713" s="79"/>
      <c r="W713" s="79"/>
      <c r="X713" s="79"/>
      <c r="Y713" s="79"/>
      <c r="Z713" s="79"/>
      <c r="AA713" s="79"/>
      <c r="AB713" s="79"/>
      <c r="AC713" s="79"/>
    </row>
    <row r="714" spans="1:29" ht="12.75" customHeight="1">
      <c r="A714" s="79"/>
      <c r="B714" s="79"/>
      <c r="C714" s="79"/>
      <c r="D714" s="79"/>
      <c r="E714" s="79"/>
      <c r="F714" s="79"/>
      <c r="G714" s="79"/>
      <c r="H714" s="79"/>
      <c r="I714" s="125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  <c r="U714" s="79"/>
      <c r="V714" s="79"/>
      <c r="W714" s="79"/>
      <c r="X714" s="79"/>
      <c r="Y714" s="79"/>
      <c r="Z714" s="79"/>
      <c r="AA714" s="79"/>
      <c r="AB714" s="79"/>
      <c r="AC714" s="79"/>
    </row>
    <row r="715" spans="1:29" ht="12.75" customHeight="1">
      <c r="A715" s="79"/>
      <c r="B715" s="79"/>
      <c r="C715" s="79"/>
      <c r="D715" s="79"/>
      <c r="E715" s="79"/>
      <c r="F715" s="79"/>
      <c r="G715" s="79"/>
      <c r="H715" s="79"/>
      <c r="I715" s="125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  <c r="U715" s="79"/>
      <c r="V715" s="79"/>
      <c r="W715" s="79"/>
      <c r="X715" s="79"/>
      <c r="Y715" s="79"/>
      <c r="Z715" s="79"/>
      <c r="AA715" s="79"/>
      <c r="AB715" s="79"/>
      <c r="AC715" s="79"/>
    </row>
    <row r="716" spans="1:29" ht="12.75" customHeight="1">
      <c r="A716" s="79"/>
      <c r="B716" s="79"/>
      <c r="C716" s="79"/>
      <c r="D716" s="79"/>
      <c r="E716" s="79"/>
      <c r="F716" s="79"/>
      <c r="G716" s="79"/>
      <c r="H716" s="79"/>
      <c r="I716" s="125"/>
      <c r="J716" s="79"/>
      <c r="K716" s="79"/>
      <c r="L716" s="79"/>
      <c r="M716" s="79"/>
      <c r="N716" s="79"/>
      <c r="O716" s="79"/>
      <c r="P716" s="79"/>
      <c r="Q716" s="79"/>
      <c r="R716" s="79"/>
      <c r="S716" s="79"/>
      <c r="T716" s="79"/>
      <c r="U716" s="79"/>
      <c r="V716" s="79"/>
      <c r="W716" s="79"/>
      <c r="X716" s="79"/>
      <c r="Y716" s="79"/>
      <c r="Z716" s="79"/>
      <c r="AA716" s="79"/>
      <c r="AB716" s="79"/>
      <c r="AC716" s="79"/>
    </row>
    <row r="717" spans="1:29" ht="12.75" customHeight="1">
      <c r="A717" s="79"/>
      <c r="B717" s="79"/>
      <c r="C717" s="79"/>
      <c r="D717" s="79"/>
      <c r="E717" s="79"/>
      <c r="F717" s="79"/>
      <c r="G717" s="79"/>
      <c r="H717" s="79"/>
      <c r="I717" s="125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  <c r="U717" s="79"/>
      <c r="V717" s="79"/>
      <c r="W717" s="79"/>
      <c r="X717" s="79"/>
      <c r="Y717" s="79"/>
      <c r="Z717" s="79"/>
      <c r="AA717" s="79"/>
      <c r="AB717" s="79"/>
      <c r="AC717" s="79"/>
    </row>
    <row r="718" spans="1:29" ht="12.75" customHeight="1">
      <c r="A718" s="79"/>
      <c r="B718" s="79"/>
      <c r="C718" s="79"/>
      <c r="D718" s="79"/>
      <c r="E718" s="79"/>
      <c r="F718" s="79"/>
      <c r="G718" s="79"/>
      <c r="H718" s="79"/>
      <c r="I718" s="125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  <c r="U718" s="79"/>
      <c r="V718" s="79"/>
      <c r="W718" s="79"/>
      <c r="X718" s="79"/>
      <c r="Y718" s="79"/>
      <c r="Z718" s="79"/>
      <c r="AA718" s="79"/>
      <c r="AB718" s="79"/>
      <c r="AC718" s="79"/>
    </row>
    <row r="719" spans="1:29" ht="12.75" customHeight="1">
      <c r="A719" s="79"/>
      <c r="B719" s="79"/>
      <c r="C719" s="79"/>
      <c r="D719" s="79"/>
      <c r="E719" s="79"/>
      <c r="F719" s="79"/>
      <c r="G719" s="79"/>
      <c r="H719" s="79"/>
      <c r="I719" s="125"/>
      <c r="J719" s="79"/>
      <c r="K719" s="79"/>
      <c r="L719" s="79"/>
      <c r="M719" s="79"/>
      <c r="N719" s="79"/>
      <c r="O719" s="79"/>
      <c r="P719" s="79"/>
      <c r="Q719" s="79"/>
      <c r="R719" s="79"/>
      <c r="S719" s="79"/>
      <c r="T719" s="79"/>
      <c r="U719" s="79"/>
      <c r="V719" s="79"/>
      <c r="W719" s="79"/>
      <c r="X719" s="79"/>
      <c r="Y719" s="79"/>
      <c r="Z719" s="79"/>
      <c r="AA719" s="79"/>
      <c r="AB719" s="79"/>
      <c r="AC719" s="79"/>
    </row>
    <row r="720" spans="1:29" ht="12.75" customHeight="1">
      <c r="A720" s="79"/>
      <c r="B720" s="79"/>
      <c r="C720" s="79"/>
      <c r="D720" s="79"/>
      <c r="E720" s="79"/>
      <c r="F720" s="79"/>
      <c r="G720" s="79"/>
      <c r="H720" s="79"/>
      <c r="I720" s="125"/>
      <c r="J720" s="79"/>
      <c r="K720" s="79"/>
      <c r="L720" s="79"/>
      <c r="M720" s="79"/>
      <c r="N720" s="79"/>
      <c r="O720" s="79"/>
      <c r="P720" s="79"/>
      <c r="Q720" s="79"/>
      <c r="R720" s="79"/>
      <c r="S720" s="79"/>
      <c r="T720" s="79"/>
      <c r="U720" s="79"/>
      <c r="V720" s="79"/>
      <c r="W720" s="79"/>
      <c r="X720" s="79"/>
      <c r="Y720" s="79"/>
      <c r="Z720" s="79"/>
      <c r="AA720" s="79"/>
      <c r="AB720" s="79"/>
      <c r="AC720" s="79"/>
    </row>
    <row r="721" spans="1:29" ht="12.75" customHeight="1">
      <c r="A721" s="79"/>
      <c r="B721" s="79"/>
      <c r="C721" s="79"/>
      <c r="D721" s="79"/>
      <c r="E721" s="79"/>
      <c r="F721" s="79"/>
      <c r="G721" s="79"/>
      <c r="H721" s="79"/>
      <c r="I721" s="125"/>
      <c r="J721" s="79"/>
      <c r="K721" s="79"/>
      <c r="L721" s="79"/>
      <c r="M721" s="79"/>
      <c r="N721" s="79"/>
      <c r="O721" s="79"/>
      <c r="P721" s="79"/>
      <c r="Q721" s="79"/>
      <c r="R721" s="79"/>
      <c r="S721" s="79"/>
      <c r="T721" s="79"/>
      <c r="U721" s="79"/>
      <c r="V721" s="79"/>
      <c r="W721" s="79"/>
      <c r="X721" s="79"/>
      <c r="Y721" s="79"/>
      <c r="Z721" s="79"/>
      <c r="AA721" s="79"/>
      <c r="AB721" s="79"/>
      <c r="AC721" s="79"/>
    </row>
    <row r="722" spans="1:29" ht="12.75" customHeight="1">
      <c r="A722" s="79"/>
      <c r="B722" s="79"/>
      <c r="C722" s="79"/>
      <c r="D722" s="79"/>
      <c r="E722" s="79"/>
      <c r="F722" s="79"/>
      <c r="G722" s="79"/>
      <c r="H722" s="79"/>
      <c r="I722" s="125"/>
      <c r="J722" s="79"/>
      <c r="K722" s="79"/>
      <c r="L722" s="79"/>
      <c r="M722" s="79"/>
      <c r="N722" s="79"/>
      <c r="O722" s="79"/>
      <c r="P722" s="79"/>
      <c r="Q722" s="79"/>
      <c r="R722" s="79"/>
      <c r="S722" s="79"/>
      <c r="T722" s="79"/>
      <c r="U722" s="79"/>
      <c r="V722" s="79"/>
      <c r="W722" s="79"/>
      <c r="X722" s="79"/>
      <c r="Y722" s="79"/>
      <c r="Z722" s="79"/>
      <c r="AA722" s="79"/>
      <c r="AB722" s="79"/>
      <c r="AC722" s="79"/>
    </row>
    <row r="723" spans="1:29" ht="12.75" customHeight="1">
      <c r="A723" s="79"/>
      <c r="B723" s="79"/>
      <c r="C723" s="79"/>
      <c r="D723" s="79"/>
      <c r="E723" s="79"/>
      <c r="F723" s="79"/>
      <c r="G723" s="79"/>
      <c r="H723" s="79"/>
      <c r="I723" s="125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  <c r="U723" s="79"/>
      <c r="V723" s="79"/>
      <c r="W723" s="79"/>
      <c r="X723" s="79"/>
      <c r="Y723" s="79"/>
      <c r="Z723" s="79"/>
      <c r="AA723" s="79"/>
      <c r="AB723" s="79"/>
      <c r="AC723" s="79"/>
    </row>
    <row r="724" spans="1:29" ht="12.75" customHeight="1">
      <c r="A724" s="79"/>
      <c r="B724" s="79"/>
      <c r="C724" s="79"/>
      <c r="D724" s="79"/>
      <c r="E724" s="79"/>
      <c r="F724" s="79"/>
      <c r="G724" s="79"/>
      <c r="H724" s="79"/>
      <c r="I724" s="125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  <c r="U724" s="79"/>
      <c r="V724" s="79"/>
      <c r="W724" s="79"/>
      <c r="X724" s="79"/>
      <c r="Y724" s="79"/>
      <c r="Z724" s="79"/>
      <c r="AA724" s="79"/>
      <c r="AB724" s="79"/>
      <c r="AC724" s="79"/>
    </row>
    <row r="725" spans="1:29" ht="12.75" customHeight="1">
      <c r="A725" s="79"/>
      <c r="B725" s="79"/>
      <c r="C725" s="79"/>
      <c r="D725" s="79"/>
      <c r="E725" s="79"/>
      <c r="F725" s="79"/>
      <c r="G725" s="79"/>
      <c r="H725" s="79"/>
      <c r="I725" s="125"/>
      <c r="J725" s="79"/>
      <c r="K725" s="79"/>
      <c r="L725" s="79"/>
      <c r="M725" s="79"/>
      <c r="N725" s="79"/>
      <c r="O725" s="79"/>
      <c r="P725" s="79"/>
      <c r="Q725" s="79"/>
      <c r="R725" s="79"/>
      <c r="S725" s="79"/>
      <c r="T725" s="79"/>
      <c r="U725" s="79"/>
      <c r="V725" s="79"/>
      <c r="W725" s="79"/>
      <c r="X725" s="79"/>
      <c r="Y725" s="79"/>
      <c r="Z725" s="79"/>
      <c r="AA725" s="79"/>
      <c r="AB725" s="79"/>
      <c r="AC725" s="79"/>
    </row>
    <row r="726" spans="1:29" ht="12.75" customHeight="1">
      <c r="A726" s="79"/>
      <c r="B726" s="79"/>
      <c r="C726" s="79"/>
      <c r="D726" s="79"/>
      <c r="E726" s="79"/>
      <c r="F726" s="79"/>
      <c r="G726" s="79"/>
      <c r="H726" s="79"/>
      <c r="I726" s="125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  <c r="U726" s="79"/>
      <c r="V726" s="79"/>
      <c r="W726" s="79"/>
      <c r="X726" s="79"/>
      <c r="Y726" s="79"/>
      <c r="Z726" s="79"/>
      <c r="AA726" s="79"/>
      <c r="AB726" s="79"/>
      <c r="AC726" s="79"/>
    </row>
    <row r="727" spans="1:29" ht="12.75" customHeight="1">
      <c r="A727" s="79"/>
      <c r="B727" s="79"/>
      <c r="C727" s="79"/>
      <c r="D727" s="79"/>
      <c r="E727" s="79"/>
      <c r="F727" s="79"/>
      <c r="G727" s="79"/>
      <c r="H727" s="79"/>
      <c r="I727" s="125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  <c r="U727" s="79"/>
      <c r="V727" s="79"/>
      <c r="W727" s="79"/>
      <c r="X727" s="79"/>
      <c r="Y727" s="79"/>
      <c r="Z727" s="79"/>
      <c r="AA727" s="79"/>
      <c r="AB727" s="79"/>
      <c r="AC727" s="79"/>
    </row>
    <row r="728" spans="1:29" ht="12.75" customHeight="1">
      <c r="A728" s="79"/>
      <c r="B728" s="79"/>
      <c r="C728" s="79"/>
      <c r="D728" s="79"/>
      <c r="E728" s="79"/>
      <c r="F728" s="79"/>
      <c r="G728" s="79"/>
      <c r="H728" s="79"/>
      <c r="I728" s="125"/>
      <c r="J728" s="79"/>
      <c r="K728" s="79"/>
      <c r="L728" s="79"/>
      <c r="M728" s="79"/>
      <c r="N728" s="79"/>
      <c r="O728" s="79"/>
      <c r="P728" s="79"/>
      <c r="Q728" s="79"/>
      <c r="R728" s="79"/>
      <c r="S728" s="79"/>
      <c r="T728" s="79"/>
      <c r="U728" s="79"/>
      <c r="V728" s="79"/>
      <c r="W728" s="79"/>
      <c r="X728" s="79"/>
      <c r="Y728" s="79"/>
      <c r="Z728" s="79"/>
      <c r="AA728" s="79"/>
      <c r="AB728" s="79"/>
      <c r="AC728" s="79"/>
    </row>
    <row r="729" spans="1:29" ht="12.75" customHeight="1">
      <c r="A729" s="79"/>
      <c r="B729" s="79"/>
      <c r="C729" s="79"/>
      <c r="D729" s="79"/>
      <c r="E729" s="79"/>
      <c r="F729" s="79"/>
      <c r="G729" s="79"/>
      <c r="H729" s="79"/>
      <c r="I729" s="125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  <c r="U729" s="79"/>
      <c r="V729" s="79"/>
      <c r="W729" s="79"/>
      <c r="X729" s="79"/>
      <c r="Y729" s="79"/>
      <c r="Z729" s="79"/>
      <c r="AA729" s="79"/>
      <c r="AB729" s="79"/>
      <c r="AC729" s="79"/>
    </row>
    <row r="730" spans="1:29" ht="12.75" customHeight="1">
      <c r="A730" s="79"/>
      <c r="B730" s="79"/>
      <c r="C730" s="79"/>
      <c r="D730" s="79"/>
      <c r="E730" s="79"/>
      <c r="F730" s="79"/>
      <c r="G730" s="79"/>
      <c r="H730" s="79"/>
      <c r="I730" s="125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  <c r="U730" s="79"/>
      <c r="V730" s="79"/>
      <c r="W730" s="79"/>
      <c r="X730" s="79"/>
      <c r="Y730" s="79"/>
      <c r="Z730" s="79"/>
      <c r="AA730" s="79"/>
      <c r="AB730" s="79"/>
      <c r="AC730" s="79"/>
    </row>
    <row r="731" spans="1:29" ht="12.75" customHeight="1">
      <c r="A731" s="79"/>
      <c r="B731" s="79"/>
      <c r="C731" s="79"/>
      <c r="D731" s="79"/>
      <c r="E731" s="79"/>
      <c r="F731" s="79"/>
      <c r="G731" s="79"/>
      <c r="H731" s="79"/>
      <c r="I731" s="125"/>
      <c r="J731" s="79"/>
      <c r="K731" s="79"/>
      <c r="L731" s="79"/>
      <c r="M731" s="79"/>
      <c r="N731" s="79"/>
      <c r="O731" s="79"/>
      <c r="P731" s="79"/>
      <c r="Q731" s="79"/>
      <c r="R731" s="79"/>
      <c r="S731" s="79"/>
      <c r="T731" s="79"/>
      <c r="U731" s="79"/>
      <c r="V731" s="79"/>
      <c r="W731" s="79"/>
      <c r="X731" s="79"/>
      <c r="Y731" s="79"/>
      <c r="Z731" s="79"/>
      <c r="AA731" s="79"/>
      <c r="AB731" s="79"/>
      <c r="AC731" s="79"/>
    </row>
    <row r="732" spans="1:29" ht="12.75" customHeight="1">
      <c r="A732" s="79"/>
      <c r="B732" s="79"/>
      <c r="C732" s="79"/>
      <c r="D732" s="79"/>
      <c r="E732" s="79"/>
      <c r="F732" s="79"/>
      <c r="G732" s="79"/>
      <c r="H732" s="79"/>
      <c r="I732" s="125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  <c r="U732" s="79"/>
      <c r="V732" s="79"/>
      <c r="W732" s="79"/>
      <c r="X732" s="79"/>
      <c r="Y732" s="79"/>
      <c r="Z732" s="79"/>
      <c r="AA732" s="79"/>
      <c r="AB732" s="79"/>
      <c r="AC732" s="79"/>
    </row>
    <row r="733" spans="1:29" ht="12.75" customHeight="1">
      <c r="A733" s="79"/>
      <c r="B733" s="79"/>
      <c r="C733" s="79"/>
      <c r="D733" s="79"/>
      <c r="E733" s="79"/>
      <c r="F733" s="79"/>
      <c r="G733" s="79"/>
      <c r="H733" s="79"/>
      <c r="I733" s="125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  <c r="U733" s="79"/>
      <c r="V733" s="79"/>
      <c r="W733" s="79"/>
      <c r="X733" s="79"/>
      <c r="Y733" s="79"/>
      <c r="Z733" s="79"/>
      <c r="AA733" s="79"/>
      <c r="AB733" s="79"/>
      <c r="AC733" s="79"/>
    </row>
    <row r="734" spans="1:29" ht="12.75" customHeight="1">
      <c r="A734" s="79"/>
      <c r="B734" s="79"/>
      <c r="C734" s="79"/>
      <c r="D734" s="79"/>
      <c r="E734" s="79"/>
      <c r="F734" s="79"/>
      <c r="G734" s="79"/>
      <c r="H734" s="79"/>
      <c r="I734" s="125"/>
      <c r="J734" s="79"/>
      <c r="K734" s="79"/>
      <c r="L734" s="79"/>
      <c r="M734" s="79"/>
      <c r="N734" s="79"/>
      <c r="O734" s="79"/>
      <c r="P734" s="79"/>
      <c r="Q734" s="79"/>
      <c r="R734" s="79"/>
      <c r="S734" s="79"/>
      <c r="T734" s="79"/>
      <c r="U734" s="79"/>
      <c r="V734" s="79"/>
      <c r="W734" s="79"/>
      <c r="X734" s="79"/>
      <c r="Y734" s="79"/>
      <c r="Z734" s="79"/>
      <c r="AA734" s="79"/>
      <c r="AB734" s="79"/>
      <c r="AC734" s="79"/>
    </row>
    <row r="735" spans="1:29" ht="12.75" customHeight="1">
      <c r="A735" s="79"/>
      <c r="B735" s="79"/>
      <c r="C735" s="79"/>
      <c r="D735" s="79"/>
      <c r="E735" s="79"/>
      <c r="F735" s="79"/>
      <c r="G735" s="79"/>
      <c r="H735" s="79"/>
      <c r="I735" s="125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  <c r="U735" s="79"/>
      <c r="V735" s="79"/>
      <c r="W735" s="79"/>
      <c r="X735" s="79"/>
      <c r="Y735" s="79"/>
      <c r="Z735" s="79"/>
      <c r="AA735" s="79"/>
      <c r="AB735" s="79"/>
      <c r="AC735" s="79"/>
    </row>
    <row r="736" spans="1:29" ht="12.75" customHeight="1">
      <c r="A736" s="79"/>
      <c r="B736" s="79"/>
      <c r="C736" s="79"/>
      <c r="D736" s="79"/>
      <c r="E736" s="79"/>
      <c r="F736" s="79"/>
      <c r="G736" s="79"/>
      <c r="H736" s="79"/>
      <c r="I736" s="125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  <c r="U736" s="79"/>
      <c r="V736" s="79"/>
      <c r="W736" s="79"/>
      <c r="X736" s="79"/>
      <c r="Y736" s="79"/>
      <c r="Z736" s="79"/>
      <c r="AA736" s="79"/>
      <c r="AB736" s="79"/>
      <c r="AC736" s="79"/>
    </row>
    <row r="737" spans="1:29" ht="12.75" customHeight="1">
      <c r="A737" s="79"/>
      <c r="B737" s="79"/>
      <c r="C737" s="79"/>
      <c r="D737" s="79"/>
      <c r="E737" s="79"/>
      <c r="F737" s="79"/>
      <c r="G737" s="79"/>
      <c r="H737" s="79"/>
      <c r="I737" s="125"/>
      <c r="J737" s="79"/>
      <c r="K737" s="79"/>
      <c r="L737" s="79"/>
      <c r="M737" s="79"/>
      <c r="N737" s="79"/>
      <c r="O737" s="79"/>
      <c r="P737" s="79"/>
      <c r="Q737" s="79"/>
      <c r="R737" s="79"/>
      <c r="S737" s="79"/>
      <c r="T737" s="79"/>
      <c r="U737" s="79"/>
      <c r="V737" s="79"/>
      <c r="W737" s="79"/>
      <c r="X737" s="79"/>
      <c r="Y737" s="79"/>
      <c r="Z737" s="79"/>
      <c r="AA737" s="79"/>
      <c r="AB737" s="79"/>
      <c r="AC737" s="79"/>
    </row>
    <row r="738" spans="1:29" ht="12.75" customHeight="1">
      <c r="A738" s="79"/>
      <c r="B738" s="79"/>
      <c r="C738" s="79"/>
      <c r="D738" s="79"/>
      <c r="E738" s="79"/>
      <c r="F738" s="79"/>
      <c r="G738" s="79"/>
      <c r="H738" s="79"/>
      <c r="I738" s="125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  <c r="U738" s="79"/>
      <c r="V738" s="79"/>
      <c r="W738" s="79"/>
      <c r="X738" s="79"/>
      <c r="Y738" s="79"/>
      <c r="Z738" s="79"/>
      <c r="AA738" s="79"/>
      <c r="AB738" s="79"/>
      <c r="AC738" s="79"/>
    </row>
    <row r="739" spans="1:29" ht="12.75" customHeight="1">
      <c r="A739" s="79"/>
      <c r="B739" s="79"/>
      <c r="C739" s="79"/>
      <c r="D739" s="79"/>
      <c r="E739" s="79"/>
      <c r="F739" s="79"/>
      <c r="G739" s="79"/>
      <c r="H739" s="79"/>
      <c r="I739" s="125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  <c r="U739" s="79"/>
      <c r="V739" s="79"/>
      <c r="W739" s="79"/>
      <c r="X739" s="79"/>
      <c r="Y739" s="79"/>
      <c r="Z739" s="79"/>
      <c r="AA739" s="79"/>
      <c r="AB739" s="79"/>
      <c r="AC739" s="79"/>
    </row>
    <row r="740" spans="1:29" ht="12.75" customHeight="1">
      <c r="A740" s="79"/>
      <c r="B740" s="79"/>
      <c r="C740" s="79"/>
      <c r="D740" s="79"/>
      <c r="E740" s="79"/>
      <c r="F740" s="79"/>
      <c r="G740" s="79"/>
      <c r="H740" s="79"/>
      <c r="I740" s="125"/>
      <c r="J740" s="79"/>
      <c r="K740" s="79"/>
      <c r="L740" s="79"/>
      <c r="M740" s="79"/>
      <c r="N740" s="79"/>
      <c r="O740" s="79"/>
      <c r="P740" s="79"/>
      <c r="Q740" s="79"/>
      <c r="R740" s="79"/>
      <c r="S740" s="79"/>
      <c r="T740" s="79"/>
      <c r="U740" s="79"/>
      <c r="V740" s="79"/>
      <c r="W740" s="79"/>
      <c r="X740" s="79"/>
      <c r="Y740" s="79"/>
      <c r="Z740" s="79"/>
      <c r="AA740" s="79"/>
      <c r="AB740" s="79"/>
      <c r="AC740" s="79"/>
    </row>
    <row r="741" spans="1:29" ht="12.75" customHeight="1">
      <c r="A741" s="79"/>
      <c r="B741" s="79"/>
      <c r="C741" s="79"/>
      <c r="D741" s="79"/>
      <c r="E741" s="79"/>
      <c r="F741" s="79"/>
      <c r="G741" s="79"/>
      <c r="H741" s="79"/>
      <c r="I741" s="125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  <c r="U741" s="79"/>
      <c r="V741" s="79"/>
      <c r="W741" s="79"/>
      <c r="X741" s="79"/>
      <c r="Y741" s="79"/>
      <c r="Z741" s="79"/>
      <c r="AA741" s="79"/>
      <c r="AB741" s="79"/>
      <c r="AC741" s="79"/>
    </row>
    <row r="742" spans="1:29" ht="12.75" customHeight="1">
      <c r="A742" s="79"/>
      <c r="B742" s="79"/>
      <c r="C742" s="79"/>
      <c r="D742" s="79"/>
      <c r="E742" s="79"/>
      <c r="F742" s="79"/>
      <c r="G742" s="79"/>
      <c r="H742" s="79"/>
      <c r="I742" s="125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  <c r="U742" s="79"/>
      <c r="V742" s="79"/>
      <c r="W742" s="79"/>
      <c r="X742" s="79"/>
      <c r="Y742" s="79"/>
      <c r="Z742" s="79"/>
      <c r="AA742" s="79"/>
      <c r="AB742" s="79"/>
      <c r="AC742" s="79"/>
    </row>
    <row r="743" spans="1:29" ht="12.75" customHeight="1">
      <c r="A743" s="79"/>
      <c r="B743" s="79"/>
      <c r="C743" s="79"/>
      <c r="D743" s="79"/>
      <c r="E743" s="79"/>
      <c r="F743" s="79"/>
      <c r="G743" s="79"/>
      <c r="H743" s="79"/>
      <c r="I743" s="125"/>
      <c r="J743" s="79"/>
      <c r="K743" s="79"/>
      <c r="L743" s="79"/>
      <c r="M743" s="79"/>
      <c r="N743" s="79"/>
      <c r="O743" s="79"/>
      <c r="P743" s="79"/>
      <c r="Q743" s="79"/>
      <c r="R743" s="79"/>
      <c r="S743" s="79"/>
      <c r="T743" s="79"/>
      <c r="U743" s="79"/>
      <c r="V743" s="79"/>
      <c r="W743" s="79"/>
      <c r="X743" s="79"/>
      <c r="Y743" s="79"/>
      <c r="Z743" s="79"/>
      <c r="AA743" s="79"/>
      <c r="AB743" s="79"/>
      <c r="AC743" s="79"/>
    </row>
    <row r="744" spans="1:29" ht="12.75" customHeight="1">
      <c r="A744" s="79"/>
      <c r="B744" s="79"/>
      <c r="C744" s="79"/>
      <c r="D744" s="79"/>
      <c r="E744" s="79"/>
      <c r="F744" s="79"/>
      <c r="G744" s="79"/>
      <c r="H744" s="79"/>
      <c r="I744" s="125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  <c r="U744" s="79"/>
      <c r="V744" s="79"/>
      <c r="W744" s="79"/>
      <c r="X744" s="79"/>
      <c r="Y744" s="79"/>
      <c r="Z744" s="79"/>
      <c r="AA744" s="79"/>
      <c r="AB744" s="79"/>
      <c r="AC744" s="79"/>
    </row>
    <row r="745" spans="1:29" ht="12.75" customHeight="1">
      <c r="A745" s="79"/>
      <c r="B745" s="79"/>
      <c r="C745" s="79"/>
      <c r="D745" s="79"/>
      <c r="E745" s="79"/>
      <c r="F745" s="79"/>
      <c r="G745" s="79"/>
      <c r="H745" s="79"/>
      <c r="I745" s="125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  <c r="U745" s="79"/>
      <c r="V745" s="79"/>
      <c r="W745" s="79"/>
      <c r="X745" s="79"/>
      <c r="Y745" s="79"/>
      <c r="Z745" s="79"/>
      <c r="AA745" s="79"/>
      <c r="AB745" s="79"/>
      <c r="AC745" s="79"/>
    </row>
    <row r="746" spans="1:29" ht="12.75" customHeight="1">
      <c r="A746" s="79"/>
      <c r="B746" s="79"/>
      <c r="C746" s="79"/>
      <c r="D746" s="79"/>
      <c r="E746" s="79"/>
      <c r="F746" s="79"/>
      <c r="G746" s="79"/>
      <c r="H746" s="79"/>
      <c r="I746" s="125"/>
      <c r="J746" s="79"/>
      <c r="K746" s="79"/>
      <c r="L746" s="79"/>
      <c r="M746" s="79"/>
      <c r="N746" s="79"/>
      <c r="O746" s="79"/>
      <c r="P746" s="79"/>
      <c r="Q746" s="79"/>
      <c r="R746" s="79"/>
      <c r="S746" s="79"/>
      <c r="T746" s="79"/>
      <c r="U746" s="79"/>
      <c r="V746" s="79"/>
      <c r="W746" s="79"/>
      <c r="X746" s="79"/>
      <c r="Y746" s="79"/>
      <c r="Z746" s="79"/>
      <c r="AA746" s="79"/>
      <c r="AB746" s="79"/>
      <c r="AC746" s="79"/>
    </row>
    <row r="747" spans="1:29" ht="12.75" customHeight="1">
      <c r="A747" s="79"/>
      <c r="B747" s="79"/>
      <c r="C747" s="79"/>
      <c r="D747" s="79"/>
      <c r="E747" s="79"/>
      <c r="F747" s="79"/>
      <c r="G747" s="79"/>
      <c r="H747" s="79"/>
      <c r="I747" s="125"/>
      <c r="J747" s="79"/>
      <c r="K747" s="79"/>
      <c r="L747" s="79"/>
      <c r="M747" s="79"/>
      <c r="N747" s="79"/>
      <c r="O747" s="79"/>
      <c r="P747" s="79"/>
      <c r="Q747" s="79"/>
      <c r="R747" s="79"/>
      <c r="S747" s="79"/>
      <c r="T747" s="79"/>
      <c r="U747" s="79"/>
      <c r="V747" s="79"/>
      <c r="W747" s="79"/>
      <c r="X747" s="79"/>
      <c r="Y747" s="79"/>
      <c r="Z747" s="79"/>
      <c r="AA747" s="79"/>
      <c r="AB747" s="79"/>
      <c r="AC747" s="79"/>
    </row>
    <row r="748" spans="1:29" ht="12.75" customHeight="1">
      <c r="A748" s="79"/>
      <c r="B748" s="79"/>
      <c r="C748" s="79"/>
      <c r="D748" s="79"/>
      <c r="E748" s="79"/>
      <c r="F748" s="79"/>
      <c r="G748" s="79"/>
      <c r="H748" s="79"/>
      <c r="I748" s="125"/>
      <c r="J748" s="79"/>
      <c r="K748" s="79"/>
      <c r="L748" s="79"/>
      <c r="M748" s="79"/>
      <c r="N748" s="79"/>
      <c r="O748" s="79"/>
      <c r="P748" s="79"/>
      <c r="Q748" s="79"/>
      <c r="R748" s="79"/>
      <c r="S748" s="79"/>
      <c r="T748" s="79"/>
      <c r="U748" s="79"/>
      <c r="V748" s="79"/>
      <c r="W748" s="79"/>
      <c r="X748" s="79"/>
      <c r="Y748" s="79"/>
      <c r="Z748" s="79"/>
      <c r="AA748" s="79"/>
      <c r="AB748" s="79"/>
      <c r="AC748" s="79"/>
    </row>
    <row r="749" spans="1:29" ht="12.75" customHeight="1">
      <c r="A749" s="79"/>
      <c r="B749" s="79"/>
      <c r="C749" s="79"/>
      <c r="D749" s="79"/>
      <c r="E749" s="79"/>
      <c r="F749" s="79"/>
      <c r="G749" s="79"/>
      <c r="H749" s="79"/>
      <c r="I749" s="125"/>
      <c r="J749" s="79"/>
      <c r="K749" s="79"/>
      <c r="L749" s="79"/>
      <c r="M749" s="79"/>
      <c r="N749" s="79"/>
      <c r="O749" s="79"/>
      <c r="P749" s="79"/>
      <c r="Q749" s="79"/>
      <c r="R749" s="79"/>
      <c r="S749" s="79"/>
      <c r="T749" s="79"/>
      <c r="U749" s="79"/>
      <c r="V749" s="79"/>
      <c r="W749" s="79"/>
      <c r="X749" s="79"/>
      <c r="Y749" s="79"/>
      <c r="Z749" s="79"/>
      <c r="AA749" s="79"/>
      <c r="AB749" s="79"/>
      <c r="AC749" s="79"/>
    </row>
    <row r="750" spans="1:29" ht="12.75" customHeight="1">
      <c r="A750" s="79"/>
      <c r="B750" s="79"/>
      <c r="C750" s="79"/>
      <c r="D750" s="79"/>
      <c r="E750" s="79"/>
      <c r="F750" s="79"/>
      <c r="G750" s="79"/>
      <c r="H750" s="79"/>
      <c r="I750" s="125"/>
      <c r="J750" s="79"/>
      <c r="K750" s="79"/>
      <c r="L750" s="79"/>
      <c r="M750" s="79"/>
      <c r="N750" s="79"/>
      <c r="O750" s="79"/>
      <c r="P750" s="79"/>
      <c r="Q750" s="79"/>
      <c r="R750" s="79"/>
      <c r="S750" s="79"/>
      <c r="T750" s="79"/>
      <c r="U750" s="79"/>
      <c r="V750" s="79"/>
      <c r="W750" s="79"/>
      <c r="X750" s="79"/>
      <c r="Y750" s="79"/>
      <c r="Z750" s="79"/>
      <c r="AA750" s="79"/>
      <c r="AB750" s="79"/>
      <c r="AC750" s="79"/>
    </row>
    <row r="751" spans="1:29" ht="12.75" customHeight="1">
      <c r="A751" s="79"/>
      <c r="B751" s="79"/>
      <c r="C751" s="79"/>
      <c r="D751" s="79"/>
      <c r="E751" s="79"/>
      <c r="F751" s="79"/>
      <c r="G751" s="79"/>
      <c r="H751" s="79"/>
      <c r="I751" s="125"/>
      <c r="J751" s="79"/>
      <c r="K751" s="79"/>
      <c r="L751" s="79"/>
      <c r="M751" s="79"/>
      <c r="N751" s="79"/>
      <c r="O751" s="79"/>
      <c r="P751" s="79"/>
      <c r="Q751" s="79"/>
      <c r="R751" s="79"/>
      <c r="S751" s="79"/>
      <c r="T751" s="79"/>
      <c r="U751" s="79"/>
      <c r="V751" s="79"/>
      <c r="W751" s="79"/>
      <c r="X751" s="79"/>
      <c r="Y751" s="79"/>
      <c r="Z751" s="79"/>
      <c r="AA751" s="79"/>
      <c r="AB751" s="79"/>
      <c r="AC751" s="79"/>
    </row>
    <row r="752" spans="1:29" ht="12.75" customHeight="1">
      <c r="A752" s="79"/>
      <c r="B752" s="79"/>
      <c r="C752" s="79"/>
      <c r="D752" s="79"/>
      <c r="E752" s="79"/>
      <c r="F752" s="79"/>
      <c r="G752" s="79"/>
      <c r="H752" s="79"/>
      <c r="I752" s="125"/>
      <c r="J752" s="79"/>
      <c r="K752" s="79"/>
      <c r="L752" s="79"/>
      <c r="M752" s="79"/>
      <c r="N752" s="79"/>
      <c r="O752" s="79"/>
      <c r="P752" s="79"/>
      <c r="Q752" s="79"/>
      <c r="R752" s="79"/>
      <c r="S752" s="79"/>
      <c r="T752" s="79"/>
      <c r="U752" s="79"/>
      <c r="V752" s="79"/>
      <c r="W752" s="79"/>
      <c r="X752" s="79"/>
      <c r="Y752" s="79"/>
      <c r="Z752" s="79"/>
      <c r="AA752" s="79"/>
      <c r="AB752" s="79"/>
      <c r="AC752" s="79"/>
    </row>
    <row r="753" spans="1:29" ht="12.75" customHeight="1">
      <c r="A753" s="79"/>
      <c r="B753" s="79"/>
      <c r="C753" s="79"/>
      <c r="D753" s="79"/>
      <c r="E753" s="79"/>
      <c r="F753" s="79"/>
      <c r="G753" s="79"/>
      <c r="H753" s="79"/>
      <c r="I753" s="125"/>
      <c r="J753" s="79"/>
      <c r="K753" s="79"/>
      <c r="L753" s="79"/>
      <c r="M753" s="79"/>
      <c r="N753" s="79"/>
      <c r="O753" s="79"/>
      <c r="P753" s="79"/>
      <c r="Q753" s="79"/>
      <c r="R753" s="79"/>
      <c r="S753" s="79"/>
      <c r="T753" s="79"/>
      <c r="U753" s="79"/>
      <c r="V753" s="79"/>
      <c r="W753" s="79"/>
      <c r="X753" s="79"/>
      <c r="Y753" s="79"/>
      <c r="Z753" s="79"/>
      <c r="AA753" s="79"/>
      <c r="AB753" s="79"/>
      <c r="AC753" s="79"/>
    </row>
    <row r="754" spans="1:29" ht="12.75" customHeight="1">
      <c r="A754" s="79"/>
      <c r="B754" s="79"/>
      <c r="C754" s="79"/>
      <c r="D754" s="79"/>
      <c r="E754" s="79"/>
      <c r="F754" s="79"/>
      <c r="G754" s="79"/>
      <c r="H754" s="79"/>
      <c r="I754" s="125"/>
      <c r="J754" s="79"/>
      <c r="K754" s="79"/>
      <c r="L754" s="79"/>
      <c r="M754" s="79"/>
      <c r="N754" s="79"/>
      <c r="O754" s="79"/>
      <c r="P754" s="79"/>
      <c r="Q754" s="79"/>
      <c r="R754" s="79"/>
      <c r="S754" s="79"/>
      <c r="T754" s="79"/>
      <c r="U754" s="79"/>
      <c r="V754" s="79"/>
      <c r="W754" s="79"/>
      <c r="X754" s="79"/>
      <c r="Y754" s="79"/>
      <c r="Z754" s="79"/>
      <c r="AA754" s="79"/>
      <c r="AB754" s="79"/>
      <c r="AC754" s="79"/>
    </row>
    <row r="755" spans="1:29" ht="12.75" customHeight="1">
      <c r="A755" s="79"/>
      <c r="B755" s="79"/>
      <c r="C755" s="79"/>
      <c r="D755" s="79"/>
      <c r="E755" s="79"/>
      <c r="F755" s="79"/>
      <c r="G755" s="79"/>
      <c r="H755" s="79"/>
      <c r="I755" s="125"/>
      <c r="J755" s="79"/>
      <c r="K755" s="79"/>
      <c r="L755" s="79"/>
      <c r="M755" s="79"/>
      <c r="N755" s="79"/>
      <c r="O755" s="79"/>
      <c r="P755" s="79"/>
      <c r="Q755" s="79"/>
      <c r="R755" s="79"/>
      <c r="S755" s="79"/>
      <c r="T755" s="79"/>
      <c r="U755" s="79"/>
      <c r="V755" s="79"/>
      <c r="W755" s="79"/>
      <c r="X755" s="79"/>
      <c r="Y755" s="79"/>
      <c r="Z755" s="79"/>
      <c r="AA755" s="79"/>
      <c r="AB755" s="79"/>
      <c r="AC755" s="79"/>
    </row>
    <row r="756" spans="1:29" ht="12.75" customHeight="1">
      <c r="A756" s="79"/>
      <c r="B756" s="79"/>
      <c r="C756" s="79"/>
      <c r="D756" s="79"/>
      <c r="E756" s="79"/>
      <c r="F756" s="79"/>
      <c r="G756" s="79"/>
      <c r="H756" s="79"/>
      <c r="I756" s="125"/>
      <c r="J756" s="79"/>
      <c r="K756" s="79"/>
      <c r="L756" s="79"/>
      <c r="M756" s="79"/>
      <c r="N756" s="79"/>
      <c r="O756" s="79"/>
      <c r="P756" s="79"/>
      <c r="Q756" s="79"/>
      <c r="R756" s="79"/>
      <c r="S756" s="79"/>
      <c r="T756" s="79"/>
      <c r="U756" s="79"/>
      <c r="V756" s="79"/>
      <c r="W756" s="79"/>
      <c r="X756" s="79"/>
      <c r="Y756" s="79"/>
      <c r="Z756" s="79"/>
      <c r="AA756" s="79"/>
      <c r="AB756" s="79"/>
      <c r="AC756" s="79"/>
    </row>
    <row r="757" spans="1:29" ht="12.75" customHeight="1">
      <c r="A757" s="79"/>
      <c r="B757" s="79"/>
      <c r="C757" s="79"/>
      <c r="D757" s="79"/>
      <c r="E757" s="79"/>
      <c r="F757" s="79"/>
      <c r="G757" s="79"/>
      <c r="H757" s="79"/>
      <c r="I757" s="125"/>
      <c r="J757" s="79"/>
      <c r="K757" s="79"/>
      <c r="L757" s="79"/>
      <c r="M757" s="79"/>
      <c r="N757" s="79"/>
      <c r="O757" s="79"/>
      <c r="P757" s="79"/>
      <c r="Q757" s="79"/>
      <c r="R757" s="79"/>
      <c r="S757" s="79"/>
      <c r="T757" s="79"/>
      <c r="U757" s="79"/>
      <c r="V757" s="79"/>
      <c r="W757" s="79"/>
      <c r="X757" s="79"/>
      <c r="Y757" s="79"/>
      <c r="Z757" s="79"/>
      <c r="AA757" s="79"/>
      <c r="AB757" s="79"/>
      <c r="AC757" s="79"/>
    </row>
    <row r="758" spans="1:29" ht="12.75" customHeight="1">
      <c r="A758" s="79"/>
      <c r="B758" s="79"/>
      <c r="C758" s="79"/>
      <c r="D758" s="79"/>
      <c r="E758" s="79"/>
      <c r="F758" s="79"/>
      <c r="G758" s="79"/>
      <c r="H758" s="79"/>
      <c r="I758" s="125"/>
      <c r="J758" s="79"/>
      <c r="K758" s="79"/>
      <c r="L758" s="79"/>
      <c r="M758" s="79"/>
      <c r="N758" s="79"/>
      <c r="O758" s="79"/>
      <c r="P758" s="79"/>
      <c r="Q758" s="79"/>
      <c r="R758" s="79"/>
      <c r="S758" s="79"/>
      <c r="T758" s="79"/>
      <c r="U758" s="79"/>
      <c r="V758" s="79"/>
      <c r="W758" s="79"/>
      <c r="X758" s="79"/>
      <c r="Y758" s="79"/>
      <c r="Z758" s="79"/>
      <c r="AA758" s="79"/>
      <c r="AB758" s="79"/>
      <c r="AC758" s="79"/>
    </row>
    <row r="759" spans="1:29" ht="12.75" customHeight="1">
      <c r="A759" s="79"/>
      <c r="B759" s="79"/>
      <c r="C759" s="79"/>
      <c r="D759" s="79"/>
      <c r="E759" s="79"/>
      <c r="F759" s="79"/>
      <c r="G759" s="79"/>
      <c r="H759" s="79"/>
      <c r="I759" s="125"/>
      <c r="J759" s="79"/>
      <c r="K759" s="79"/>
      <c r="L759" s="79"/>
      <c r="M759" s="79"/>
      <c r="N759" s="79"/>
      <c r="O759" s="79"/>
      <c r="P759" s="79"/>
      <c r="Q759" s="79"/>
      <c r="R759" s="79"/>
      <c r="S759" s="79"/>
      <c r="T759" s="79"/>
      <c r="U759" s="79"/>
      <c r="V759" s="79"/>
      <c r="W759" s="79"/>
      <c r="X759" s="79"/>
      <c r="Y759" s="79"/>
      <c r="Z759" s="79"/>
      <c r="AA759" s="79"/>
      <c r="AB759" s="79"/>
      <c r="AC759" s="79"/>
    </row>
    <row r="760" spans="1:29" ht="12.75" customHeight="1">
      <c r="A760" s="79"/>
      <c r="B760" s="79"/>
      <c r="C760" s="79"/>
      <c r="D760" s="79"/>
      <c r="E760" s="79"/>
      <c r="F760" s="79"/>
      <c r="G760" s="79"/>
      <c r="H760" s="79"/>
      <c r="I760" s="125"/>
      <c r="J760" s="79"/>
      <c r="K760" s="79"/>
      <c r="L760" s="79"/>
      <c r="M760" s="79"/>
      <c r="N760" s="79"/>
      <c r="O760" s="79"/>
      <c r="P760" s="79"/>
      <c r="Q760" s="79"/>
      <c r="R760" s="79"/>
      <c r="S760" s="79"/>
      <c r="T760" s="79"/>
      <c r="U760" s="79"/>
      <c r="V760" s="79"/>
      <c r="W760" s="79"/>
      <c r="X760" s="79"/>
      <c r="Y760" s="79"/>
      <c r="Z760" s="79"/>
      <c r="AA760" s="79"/>
      <c r="AB760" s="79"/>
      <c r="AC760" s="79"/>
    </row>
    <row r="761" spans="1:29" ht="12.75" customHeight="1">
      <c r="A761" s="79"/>
      <c r="B761" s="79"/>
      <c r="C761" s="79"/>
      <c r="D761" s="79"/>
      <c r="E761" s="79"/>
      <c r="F761" s="79"/>
      <c r="G761" s="79"/>
      <c r="H761" s="79"/>
      <c r="I761" s="125"/>
      <c r="J761" s="79"/>
      <c r="K761" s="79"/>
      <c r="L761" s="79"/>
      <c r="M761" s="79"/>
      <c r="N761" s="79"/>
      <c r="O761" s="79"/>
      <c r="P761" s="79"/>
      <c r="Q761" s="79"/>
      <c r="R761" s="79"/>
      <c r="S761" s="79"/>
      <c r="T761" s="79"/>
      <c r="U761" s="79"/>
      <c r="V761" s="79"/>
      <c r="W761" s="79"/>
      <c r="X761" s="79"/>
      <c r="Y761" s="79"/>
      <c r="Z761" s="79"/>
      <c r="AA761" s="79"/>
      <c r="AB761" s="79"/>
      <c r="AC761" s="79"/>
    </row>
    <row r="762" spans="1:29" ht="12.75" customHeight="1">
      <c r="A762" s="79"/>
      <c r="B762" s="79"/>
      <c r="C762" s="79"/>
      <c r="D762" s="79"/>
      <c r="E762" s="79"/>
      <c r="F762" s="79"/>
      <c r="G762" s="79"/>
      <c r="H762" s="79"/>
      <c r="I762" s="125"/>
      <c r="J762" s="79"/>
      <c r="K762" s="79"/>
      <c r="L762" s="79"/>
      <c r="M762" s="79"/>
      <c r="N762" s="79"/>
      <c r="O762" s="79"/>
      <c r="P762" s="79"/>
      <c r="Q762" s="79"/>
      <c r="R762" s="79"/>
      <c r="S762" s="79"/>
      <c r="T762" s="79"/>
      <c r="U762" s="79"/>
      <c r="V762" s="79"/>
      <c r="W762" s="79"/>
      <c r="X762" s="79"/>
      <c r="Y762" s="79"/>
      <c r="Z762" s="79"/>
      <c r="AA762" s="79"/>
      <c r="AB762" s="79"/>
      <c r="AC762" s="79"/>
    </row>
    <row r="763" spans="1:29" ht="12.75" customHeight="1">
      <c r="A763" s="79"/>
      <c r="B763" s="79"/>
      <c r="C763" s="79"/>
      <c r="D763" s="79"/>
      <c r="E763" s="79"/>
      <c r="F763" s="79"/>
      <c r="G763" s="79"/>
      <c r="H763" s="79"/>
      <c r="I763" s="125"/>
      <c r="J763" s="79"/>
      <c r="K763" s="79"/>
      <c r="L763" s="79"/>
      <c r="M763" s="79"/>
      <c r="N763" s="79"/>
      <c r="O763" s="79"/>
      <c r="P763" s="79"/>
      <c r="Q763" s="79"/>
      <c r="R763" s="79"/>
      <c r="S763" s="79"/>
      <c r="T763" s="79"/>
      <c r="U763" s="79"/>
      <c r="V763" s="79"/>
      <c r="W763" s="79"/>
      <c r="X763" s="79"/>
      <c r="Y763" s="79"/>
      <c r="Z763" s="79"/>
      <c r="AA763" s="79"/>
      <c r="AB763" s="79"/>
      <c r="AC763" s="79"/>
    </row>
    <row r="764" spans="1:29" ht="12.75" customHeight="1">
      <c r="A764" s="79"/>
      <c r="B764" s="79"/>
      <c r="C764" s="79"/>
      <c r="D764" s="79"/>
      <c r="E764" s="79"/>
      <c r="F764" s="79"/>
      <c r="G764" s="79"/>
      <c r="H764" s="79"/>
      <c r="I764" s="125"/>
      <c r="J764" s="79"/>
      <c r="K764" s="79"/>
      <c r="L764" s="79"/>
      <c r="M764" s="79"/>
      <c r="N764" s="79"/>
      <c r="O764" s="79"/>
      <c r="P764" s="79"/>
      <c r="Q764" s="79"/>
      <c r="R764" s="79"/>
      <c r="S764" s="79"/>
      <c r="T764" s="79"/>
      <c r="U764" s="79"/>
      <c r="V764" s="79"/>
      <c r="W764" s="79"/>
      <c r="X764" s="79"/>
      <c r="Y764" s="79"/>
      <c r="Z764" s="79"/>
      <c r="AA764" s="79"/>
      <c r="AB764" s="79"/>
      <c r="AC764" s="79"/>
    </row>
    <row r="765" spans="1:29" ht="12.75" customHeight="1">
      <c r="A765" s="79"/>
      <c r="B765" s="79"/>
      <c r="C765" s="79"/>
      <c r="D765" s="79"/>
      <c r="E765" s="79"/>
      <c r="F765" s="79"/>
      <c r="G765" s="79"/>
      <c r="H765" s="79"/>
      <c r="I765" s="125"/>
      <c r="J765" s="79"/>
      <c r="K765" s="79"/>
      <c r="L765" s="79"/>
      <c r="M765" s="79"/>
      <c r="N765" s="79"/>
      <c r="O765" s="79"/>
      <c r="P765" s="79"/>
      <c r="Q765" s="79"/>
      <c r="R765" s="79"/>
      <c r="S765" s="79"/>
      <c r="T765" s="79"/>
      <c r="U765" s="79"/>
      <c r="V765" s="79"/>
      <c r="W765" s="79"/>
      <c r="X765" s="79"/>
      <c r="Y765" s="79"/>
      <c r="Z765" s="79"/>
      <c r="AA765" s="79"/>
      <c r="AB765" s="79"/>
      <c r="AC765" s="79"/>
    </row>
    <row r="766" spans="1:29" ht="12.75" customHeight="1">
      <c r="A766" s="79"/>
      <c r="B766" s="79"/>
      <c r="C766" s="79"/>
      <c r="D766" s="79"/>
      <c r="E766" s="79"/>
      <c r="F766" s="79"/>
      <c r="G766" s="79"/>
      <c r="H766" s="79"/>
      <c r="I766" s="125"/>
      <c r="J766" s="79"/>
      <c r="K766" s="79"/>
      <c r="L766" s="79"/>
      <c r="M766" s="79"/>
      <c r="N766" s="79"/>
      <c r="O766" s="79"/>
      <c r="P766" s="79"/>
      <c r="Q766" s="79"/>
      <c r="R766" s="79"/>
      <c r="S766" s="79"/>
      <c r="T766" s="79"/>
      <c r="U766" s="79"/>
      <c r="V766" s="79"/>
      <c r="W766" s="79"/>
      <c r="X766" s="79"/>
      <c r="Y766" s="79"/>
      <c r="Z766" s="79"/>
      <c r="AA766" s="79"/>
      <c r="AB766" s="79"/>
      <c r="AC766" s="79"/>
    </row>
    <row r="767" spans="1:29" ht="12.75" customHeight="1">
      <c r="A767" s="79"/>
      <c r="B767" s="79"/>
      <c r="C767" s="79"/>
      <c r="D767" s="79"/>
      <c r="E767" s="79"/>
      <c r="F767" s="79"/>
      <c r="G767" s="79"/>
      <c r="H767" s="79"/>
      <c r="I767" s="125"/>
      <c r="J767" s="79"/>
      <c r="K767" s="79"/>
      <c r="L767" s="79"/>
      <c r="M767" s="79"/>
      <c r="N767" s="79"/>
      <c r="O767" s="79"/>
      <c r="P767" s="79"/>
      <c r="Q767" s="79"/>
      <c r="R767" s="79"/>
      <c r="S767" s="79"/>
      <c r="T767" s="79"/>
      <c r="U767" s="79"/>
      <c r="V767" s="79"/>
      <c r="W767" s="79"/>
      <c r="X767" s="79"/>
      <c r="Y767" s="79"/>
      <c r="Z767" s="79"/>
      <c r="AA767" s="79"/>
      <c r="AB767" s="79"/>
      <c r="AC767" s="79"/>
    </row>
    <row r="768" spans="1:29" ht="12.75" customHeight="1">
      <c r="A768" s="79"/>
      <c r="B768" s="79"/>
      <c r="C768" s="79"/>
      <c r="D768" s="79"/>
      <c r="E768" s="79"/>
      <c r="F768" s="79"/>
      <c r="G768" s="79"/>
      <c r="H768" s="79"/>
      <c r="I768" s="125"/>
      <c r="J768" s="79"/>
      <c r="K768" s="79"/>
      <c r="L768" s="79"/>
      <c r="M768" s="79"/>
      <c r="N768" s="79"/>
      <c r="O768" s="79"/>
      <c r="P768" s="79"/>
      <c r="Q768" s="79"/>
      <c r="R768" s="79"/>
      <c r="S768" s="79"/>
      <c r="T768" s="79"/>
      <c r="U768" s="79"/>
      <c r="V768" s="79"/>
      <c r="W768" s="79"/>
      <c r="X768" s="79"/>
      <c r="Y768" s="79"/>
      <c r="Z768" s="79"/>
      <c r="AA768" s="79"/>
      <c r="AB768" s="79"/>
      <c r="AC768" s="79"/>
    </row>
    <row r="769" spans="1:29" ht="12.75" customHeight="1">
      <c r="A769" s="79"/>
      <c r="B769" s="79"/>
      <c r="C769" s="79"/>
      <c r="D769" s="79"/>
      <c r="E769" s="79"/>
      <c r="F769" s="79"/>
      <c r="G769" s="79"/>
      <c r="H769" s="79"/>
      <c r="I769" s="125"/>
      <c r="J769" s="79"/>
      <c r="K769" s="79"/>
      <c r="L769" s="79"/>
      <c r="M769" s="79"/>
      <c r="N769" s="79"/>
      <c r="O769" s="79"/>
      <c r="P769" s="79"/>
      <c r="Q769" s="79"/>
      <c r="R769" s="79"/>
      <c r="S769" s="79"/>
      <c r="T769" s="79"/>
      <c r="U769" s="79"/>
      <c r="V769" s="79"/>
      <c r="W769" s="79"/>
      <c r="X769" s="79"/>
      <c r="Y769" s="79"/>
      <c r="Z769" s="79"/>
      <c r="AA769" s="79"/>
      <c r="AB769" s="79"/>
      <c r="AC769" s="79"/>
    </row>
    <row r="770" spans="1:29" ht="12.75" customHeight="1">
      <c r="A770" s="79"/>
      <c r="B770" s="79"/>
      <c r="C770" s="79"/>
      <c r="D770" s="79"/>
      <c r="E770" s="79"/>
      <c r="F770" s="79"/>
      <c r="G770" s="79"/>
      <c r="H770" s="79"/>
      <c r="I770" s="125"/>
      <c r="J770" s="79"/>
      <c r="K770" s="79"/>
      <c r="L770" s="79"/>
      <c r="M770" s="79"/>
      <c r="N770" s="79"/>
      <c r="O770" s="79"/>
      <c r="P770" s="79"/>
      <c r="Q770" s="79"/>
      <c r="R770" s="79"/>
      <c r="S770" s="79"/>
      <c r="T770" s="79"/>
      <c r="U770" s="79"/>
      <c r="V770" s="79"/>
      <c r="W770" s="79"/>
      <c r="X770" s="79"/>
      <c r="Y770" s="79"/>
      <c r="Z770" s="79"/>
      <c r="AA770" s="79"/>
      <c r="AB770" s="79"/>
      <c r="AC770" s="79"/>
    </row>
    <row r="771" spans="1:29" ht="12.75" customHeight="1">
      <c r="A771" s="79"/>
      <c r="B771" s="79"/>
      <c r="C771" s="79"/>
      <c r="D771" s="79"/>
      <c r="E771" s="79"/>
      <c r="F771" s="79"/>
      <c r="G771" s="79"/>
      <c r="H771" s="79"/>
      <c r="I771" s="125"/>
      <c r="J771" s="79"/>
      <c r="K771" s="79"/>
      <c r="L771" s="79"/>
      <c r="M771" s="79"/>
      <c r="N771" s="79"/>
      <c r="O771" s="79"/>
      <c r="P771" s="79"/>
      <c r="Q771" s="79"/>
      <c r="R771" s="79"/>
      <c r="S771" s="79"/>
      <c r="T771" s="79"/>
      <c r="U771" s="79"/>
      <c r="V771" s="79"/>
      <c r="W771" s="79"/>
      <c r="X771" s="79"/>
      <c r="Y771" s="79"/>
      <c r="Z771" s="79"/>
      <c r="AA771" s="79"/>
      <c r="AB771" s="79"/>
      <c r="AC771" s="79"/>
    </row>
    <row r="772" spans="1:29" ht="12.75" customHeight="1">
      <c r="A772" s="79"/>
      <c r="B772" s="79"/>
      <c r="C772" s="79"/>
      <c r="D772" s="79"/>
      <c r="E772" s="79"/>
      <c r="F772" s="79"/>
      <c r="G772" s="79"/>
      <c r="H772" s="79"/>
      <c r="I772" s="125"/>
      <c r="J772" s="79"/>
      <c r="K772" s="79"/>
      <c r="L772" s="79"/>
      <c r="M772" s="79"/>
      <c r="N772" s="79"/>
      <c r="O772" s="79"/>
      <c r="P772" s="79"/>
      <c r="Q772" s="79"/>
      <c r="R772" s="79"/>
      <c r="S772" s="79"/>
      <c r="T772" s="79"/>
      <c r="U772" s="79"/>
      <c r="V772" s="79"/>
      <c r="W772" s="79"/>
      <c r="X772" s="79"/>
      <c r="Y772" s="79"/>
      <c r="Z772" s="79"/>
      <c r="AA772" s="79"/>
      <c r="AB772" s="79"/>
      <c r="AC772" s="79"/>
    </row>
    <row r="773" spans="1:29" ht="12.75" customHeight="1">
      <c r="A773" s="79"/>
      <c r="B773" s="79"/>
      <c r="C773" s="79"/>
      <c r="D773" s="79"/>
      <c r="E773" s="79"/>
      <c r="F773" s="79"/>
      <c r="G773" s="79"/>
      <c r="H773" s="79"/>
      <c r="I773" s="125"/>
      <c r="J773" s="79"/>
      <c r="K773" s="79"/>
      <c r="L773" s="79"/>
      <c r="M773" s="79"/>
      <c r="N773" s="79"/>
      <c r="O773" s="79"/>
      <c r="P773" s="79"/>
      <c r="Q773" s="79"/>
      <c r="R773" s="79"/>
      <c r="S773" s="79"/>
      <c r="T773" s="79"/>
      <c r="U773" s="79"/>
      <c r="V773" s="79"/>
      <c r="W773" s="79"/>
      <c r="X773" s="79"/>
      <c r="Y773" s="79"/>
      <c r="Z773" s="79"/>
      <c r="AA773" s="79"/>
      <c r="AB773" s="79"/>
      <c r="AC773" s="79"/>
    </row>
    <row r="774" spans="1:29" ht="12.75" customHeight="1">
      <c r="A774" s="79"/>
      <c r="B774" s="79"/>
      <c r="C774" s="79"/>
      <c r="D774" s="79"/>
      <c r="E774" s="79"/>
      <c r="F774" s="79"/>
      <c r="G774" s="79"/>
      <c r="H774" s="79"/>
      <c r="I774" s="125"/>
      <c r="J774" s="79"/>
      <c r="K774" s="79"/>
      <c r="L774" s="79"/>
      <c r="M774" s="79"/>
      <c r="N774" s="79"/>
      <c r="O774" s="79"/>
      <c r="P774" s="79"/>
      <c r="Q774" s="79"/>
      <c r="R774" s="79"/>
      <c r="S774" s="79"/>
      <c r="T774" s="79"/>
      <c r="U774" s="79"/>
      <c r="V774" s="79"/>
      <c r="W774" s="79"/>
      <c r="X774" s="79"/>
      <c r="Y774" s="79"/>
      <c r="Z774" s="79"/>
      <c r="AA774" s="79"/>
      <c r="AB774" s="79"/>
      <c r="AC774" s="79"/>
    </row>
    <row r="775" spans="1:29" ht="12.75" customHeight="1">
      <c r="A775" s="79"/>
      <c r="B775" s="79"/>
      <c r="C775" s="79"/>
      <c r="D775" s="79"/>
      <c r="E775" s="79"/>
      <c r="F775" s="79"/>
      <c r="G775" s="79"/>
      <c r="H775" s="79"/>
      <c r="I775" s="125"/>
      <c r="J775" s="79"/>
      <c r="K775" s="79"/>
      <c r="L775" s="79"/>
      <c r="M775" s="79"/>
      <c r="N775" s="79"/>
      <c r="O775" s="79"/>
      <c r="P775" s="79"/>
      <c r="Q775" s="79"/>
      <c r="R775" s="79"/>
      <c r="S775" s="79"/>
      <c r="T775" s="79"/>
      <c r="U775" s="79"/>
      <c r="V775" s="79"/>
      <c r="W775" s="79"/>
      <c r="X775" s="79"/>
      <c r="Y775" s="79"/>
      <c r="Z775" s="79"/>
      <c r="AA775" s="79"/>
      <c r="AB775" s="79"/>
      <c r="AC775" s="79"/>
    </row>
    <row r="776" spans="1:29" ht="12.75" customHeight="1">
      <c r="A776" s="79"/>
      <c r="B776" s="79"/>
      <c r="C776" s="79"/>
      <c r="D776" s="79"/>
      <c r="E776" s="79"/>
      <c r="F776" s="79"/>
      <c r="G776" s="79"/>
      <c r="H776" s="79"/>
      <c r="I776" s="125"/>
      <c r="J776" s="79"/>
      <c r="K776" s="79"/>
      <c r="L776" s="79"/>
      <c r="M776" s="79"/>
      <c r="N776" s="79"/>
      <c r="O776" s="79"/>
      <c r="P776" s="79"/>
      <c r="Q776" s="79"/>
      <c r="R776" s="79"/>
      <c r="S776" s="79"/>
      <c r="T776" s="79"/>
      <c r="U776" s="79"/>
      <c r="V776" s="79"/>
      <c r="W776" s="79"/>
      <c r="X776" s="79"/>
      <c r="Y776" s="79"/>
      <c r="Z776" s="79"/>
      <c r="AA776" s="79"/>
      <c r="AB776" s="79"/>
      <c r="AC776" s="79"/>
    </row>
    <row r="777" spans="1:29" ht="12.75" customHeight="1">
      <c r="A777" s="79"/>
      <c r="B777" s="79"/>
      <c r="C777" s="79"/>
      <c r="D777" s="79"/>
      <c r="E777" s="79"/>
      <c r="F777" s="79"/>
      <c r="G777" s="79"/>
      <c r="H777" s="79"/>
      <c r="I777" s="125"/>
      <c r="J777" s="79"/>
      <c r="K777" s="79"/>
      <c r="L777" s="79"/>
      <c r="M777" s="79"/>
      <c r="N777" s="79"/>
      <c r="O777" s="79"/>
      <c r="P777" s="79"/>
      <c r="Q777" s="79"/>
      <c r="R777" s="79"/>
      <c r="S777" s="79"/>
      <c r="T777" s="79"/>
      <c r="U777" s="79"/>
      <c r="V777" s="79"/>
      <c r="W777" s="79"/>
      <c r="X777" s="79"/>
      <c r="Y777" s="79"/>
      <c r="Z777" s="79"/>
      <c r="AA777" s="79"/>
      <c r="AB777" s="79"/>
      <c r="AC777" s="79"/>
    </row>
    <row r="778" spans="1:29" ht="12.75" customHeight="1">
      <c r="A778" s="79"/>
      <c r="B778" s="79"/>
      <c r="C778" s="79"/>
      <c r="D778" s="79"/>
      <c r="E778" s="79"/>
      <c r="F778" s="79"/>
      <c r="G778" s="79"/>
      <c r="H778" s="79"/>
      <c r="I778" s="125"/>
      <c r="J778" s="79"/>
      <c r="K778" s="79"/>
      <c r="L778" s="79"/>
      <c r="M778" s="79"/>
      <c r="N778" s="79"/>
      <c r="O778" s="79"/>
      <c r="P778" s="79"/>
      <c r="Q778" s="79"/>
      <c r="R778" s="79"/>
      <c r="S778" s="79"/>
      <c r="T778" s="79"/>
      <c r="U778" s="79"/>
      <c r="V778" s="79"/>
      <c r="W778" s="79"/>
      <c r="X778" s="79"/>
      <c r="Y778" s="79"/>
      <c r="Z778" s="79"/>
      <c r="AA778" s="79"/>
      <c r="AB778" s="79"/>
      <c r="AC778" s="79"/>
    </row>
    <row r="779" spans="1:29" ht="12.75" customHeight="1">
      <c r="A779" s="79"/>
      <c r="B779" s="79"/>
      <c r="C779" s="79"/>
      <c r="D779" s="79"/>
      <c r="E779" s="79"/>
      <c r="F779" s="79"/>
      <c r="G779" s="79"/>
      <c r="H779" s="79"/>
      <c r="I779" s="125"/>
      <c r="J779" s="79"/>
      <c r="K779" s="79"/>
      <c r="L779" s="79"/>
      <c r="M779" s="79"/>
      <c r="N779" s="79"/>
      <c r="O779" s="79"/>
      <c r="P779" s="79"/>
      <c r="Q779" s="79"/>
      <c r="R779" s="79"/>
      <c r="S779" s="79"/>
      <c r="T779" s="79"/>
      <c r="U779" s="79"/>
      <c r="V779" s="79"/>
      <c r="W779" s="79"/>
      <c r="X779" s="79"/>
      <c r="Y779" s="79"/>
      <c r="Z779" s="79"/>
      <c r="AA779" s="79"/>
      <c r="AB779" s="79"/>
      <c r="AC779" s="79"/>
    </row>
    <row r="780" spans="1:29" ht="12.75" customHeight="1">
      <c r="A780" s="79"/>
      <c r="B780" s="79"/>
      <c r="C780" s="79"/>
      <c r="D780" s="79"/>
      <c r="E780" s="79"/>
      <c r="F780" s="79"/>
      <c r="G780" s="79"/>
      <c r="H780" s="79"/>
      <c r="I780" s="125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  <c r="U780" s="79"/>
      <c r="V780" s="79"/>
      <c r="W780" s="79"/>
      <c r="X780" s="79"/>
      <c r="Y780" s="79"/>
      <c r="Z780" s="79"/>
      <c r="AA780" s="79"/>
      <c r="AB780" s="79"/>
      <c r="AC780" s="79"/>
    </row>
    <row r="781" spans="1:29" ht="12.75" customHeight="1">
      <c r="A781" s="79"/>
      <c r="B781" s="79"/>
      <c r="C781" s="79"/>
      <c r="D781" s="79"/>
      <c r="E781" s="79"/>
      <c r="F781" s="79"/>
      <c r="G781" s="79"/>
      <c r="H781" s="79"/>
      <c r="I781" s="125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  <c r="U781" s="79"/>
      <c r="V781" s="79"/>
      <c r="W781" s="79"/>
      <c r="X781" s="79"/>
      <c r="Y781" s="79"/>
      <c r="Z781" s="79"/>
      <c r="AA781" s="79"/>
      <c r="AB781" s="79"/>
      <c r="AC781" s="79"/>
    </row>
    <row r="782" spans="1:29" ht="12.75" customHeight="1">
      <c r="A782" s="79"/>
      <c r="B782" s="79"/>
      <c r="C782" s="79"/>
      <c r="D782" s="79"/>
      <c r="E782" s="79"/>
      <c r="F782" s="79"/>
      <c r="G782" s="79"/>
      <c r="H782" s="79"/>
      <c r="I782" s="125"/>
      <c r="J782" s="79"/>
      <c r="K782" s="79"/>
      <c r="L782" s="79"/>
      <c r="M782" s="79"/>
      <c r="N782" s="79"/>
      <c r="O782" s="79"/>
      <c r="P782" s="79"/>
      <c r="Q782" s="79"/>
      <c r="R782" s="79"/>
      <c r="S782" s="79"/>
      <c r="T782" s="79"/>
      <c r="U782" s="79"/>
      <c r="V782" s="79"/>
      <c r="W782" s="79"/>
      <c r="X782" s="79"/>
      <c r="Y782" s="79"/>
      <c r="Z782" s="79"/>
      <c r="AA782" s="79"/>
      <c r="AB782" s="79"/>
      <c r="AC782" s="79"/>
    </row>
    <row r="783" spans="1:29" ht="12.75" customHeight="1">
      <c r="A783" s="79"/>
      <c r="B783" s="79"/>
      <c r="C783" s="79"/>
      <c r="D783" s="79"/>
      <c r="E783" s="79"/>
      <c r="F783" s="79"/>
      <c r="G783" s="79"/>
      <c r="H783" s="79"/>
      <c r="I783" s="125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  <c r="U783" s="79"/>
      <c r="V783" s="79"/>
      <c r="W783" s="79"/>
      <c r="X783" s="79"/>
      <c r="Y783" s="79"/>
      <c r="Z783" s="79"/>
      <c r="AA783" s="79"/>
      <c r="AB783" s="79"/>
      <c r="AC783" s="79"/>
    </row>
    <row r="784" spans="1:29" ht="12.75" customHeight="1">
      <c r="A784" s="79"/>
      <c r="B784" s="79"/>
      <c r="C784" s="79"/>
      <c r="D784" s="79"/>
      <c r="E784" s="79"/>
      <c r="F784" s="79"/>
      <c r="G784" s="79"/>
      <c r="H784" s="79"/>
      <c r="I784" s="125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  <c r="U784" s="79"/>
      <c r="V784" s="79"/>
      <c r="W784" s="79"/>
      <c r="X784" s="79"/>
      <c r="Y784" s="79"/>
      <c r="Z784" s="79"/>
      <c r="AA784" s="79"/>
      <c r="AB784" s="79"/>
      <c r="AC784" s="79"/>
    </row>
    <row r="785" spans="1:29" ht="12.75" customHeight="1">
      <c r="A785" s="79"/>
      <c r="B785" s="79"/>
      <c r="C785" s="79"/>
      <c r="D785" s="79"/>
      <c r="E785" s="79"/>
      <c r="F785" s="79"/>
      <c r="G785" s="79"/>
      <c r="H785" s="79"/>
      <c r="I785" s="125"/>
      <c r="J785" s="79"/>
      <c r="K785" s="79"/>
      <c r="L785" s="79"/>
      <c r="M785" s="79"/>
      <c r="N785" s="79"/>
      <c r="O785" s="79"/>
      <c r="P785" s="79"/>
      <c r="Q785" s="79"/>
      <c r="R785" s="79"/>
      <c r="S785" s="79"/>
      <c r="T785" s="79"/>
      <c r="U785" s="79"/>
      <c r="V785" s="79"/>
      <c r="W785" s="79"/>
      <c r="X785" s="79"/>
      <c r="Y785" s="79"/>
      <c r="Z785" s="79"/>
      <c r="AA785" s="79"/>
      <c r="AB785" s="79"/>
      <c r="AC785" s="79"/>
    </row>
    <row r="786" spans="1:29" ht="12.75" customHeight="1">
      <c r="A786" s="79"/>
      <c r="B786" s="79"/>
      <c r="C786" s="79"/>
      <c r="D786" s="79"/>
      <c r="E786" s="79"/>
      <c r="F786" s="79"/>
      <c r="G786" s="79"/>
      <c r="H786" s="79"/>
      <c r="I786" s="125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  <c r="U786" s="79"/>
      <c r="V786" s="79"/>
      <c r="W786" s="79"/>
      <c r="X786" s="79"/>
      <c r="Y786" s="79"/>
      <c r="Z786" s="79"/>
      <c r="AA786" s="79"/>
      <c r="AB786" s="79"/>
      <c r="AC786" s="79"/>
    </row>
    <row r="787" spans="1:29" ht="12.75" customHeight="1">
      <c r="A787" s="79"/>
      <c r="B787" s="79"/>
      <c r="C787" s="79"/>
      <c r="D787" s="79"/>
      <c r="E787" s="79"/>
      <c r="F787" s="79"/>
      <c r="G787" s="79"/>
      <c r="H787" s="79"/>
      <c r="I787" s="125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  <c r="U787" s="79"/>
      <c r="V787" s="79"/>
      <c r="W787" s="79"/>
      <c r="X787" s="79"/>
      <c r="Y787" s="79"/>
      <c r="Z787" s="79"/>
      <c r="AA787" s="79"/>
      <c r="AB787" s="79"/>
      <c r="AC787" s="79"/>
    </row>
    <row r="788" spans="1:29" ht="12.75" customHeight="1">
      <c r="A788" s="79"/>
      <c r="B788" s="79"/>
      <c r="C788" s="79"/>
      <c r="D788" s="79"/>
      <c r="E788" s="79"/>
      <c r="F788" s="79"/>
      <c r="G788" s="79"/>
      <c r="H788" s="79"/>
      <c r="I788" s="125"/>
      <c r="J788" s="79"/>
      <c r="K788" s="79"/>
      <c r="L788" s="79"/>
      <c r="M788" s="79"/>
      <c r="N788" s="79"/>
      <c r="O788" s="79"/>
      <c r="P788" s="79"/>
      <c r="Q788" s="79"/>
      <c r="R788" s="79"/>
      <c r="S788" s="79"/>
      <c r="T788" s="79"/>
      <c r="U788" s="79"/>
      <c r="V788" s="79"/>
      <c r="W788" s="79"/>
      <c r="X788" s="79"/>
      <c r="Y788" s="79"/>
      <c r="Z788" s="79"/>
      <c r="AA788" s="79"/>
      <c r="AB788" s="79"/>
      <c r="AC788" s="79"/>
    </row>
    <row r="789" spans="1:29" ht="12.75" customHeight="1">
      <c r="A789" s="79"/>
      <c r="B789" s="79"/>
      <c r="C789" s="79"/>
      <c r="D789" s="79"/>
      <c r="E789" s="79"/>
      <c r="F789" s="79"/>
      <c r="G789" s="79"/>
      <c r="H789" s="79"/>
      <c r="I789" s="125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  <c r="U789" s="79"/>
      <c r="V789" s="79"/>
      <c r="W789" s="79"/>
      <c r="X789" s="79"/>
      <c r="Y789" s="79"/>
      <c r="Z789" s="79"/>
      <c r="AA789" s="79"/>
      <c r="AB789" s="79"/>
      <c r="AC789" s="79"/>
    </row>
    <row r="790" spans="1:29" ht="12.75" customHeight="1">
      <c r="A790" s="79"/>
      <c r="B790" s="79"/>
      <c r="C790" s="79"/>
      <c r="D790" s="79"/>
      <c r="E790" s="79"/>
      <c r="F790" s="79"/>
      <c r="G790" s="79"/>
      <c r="H790" s="79"/>
      <c r="I790" s="125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  <c r="U790" s="79"/>
      <c r="V790" s="79"/>
      <c r="W790" s="79"/>
      <c r="X790" s="79"/>
      <c r="Y790" s="79"/>
      <c r="Z790" s="79"/>
      <c r="AA790" s="79"/>
      <c r="AB790" s="79"/>
      <c r="AC790" s="79"/>
    </row>
    <row r="791" spans="1:29" ht="12.75" customHeight="1">
      <c r="A791" s="79"/>
      <c r="B791" s="79"/>
      <c r="C791" s="79"/>
      <c r="D791" s="79"/>
      <c r="E791" s="79"/>
      <c r="F791" s="79"/>
      <c r="G791" s="79"/>
      <c r="H791" s="79"/>
      <c r="I791" s="125"/>
      <c r="J791" s="79"/>
      <c r="K791" s="79"/>
      <c r="L791" s="79"/>
      <c r="M791" s="79"/>
      <c r="N791" s="79"/>
      <c r="O791" s="79"/>
      <c r="P791" s="79"/>
      <c r="Q791" s="79"/>
      <c r="R791" s="79"/>
      <c r="S791" s="79"/>
      <c r="T791" s="79"/>
      <c r="U791" s="79"/>
      <c r="V791" s="79"/>
      <c r="W791" s="79"/>
      <c r="X791" s="79"/>
      <c r="Y791" s="79"/>
      <c r="Z791" s="79"/>
      <c r="AA791" s="79"/>
      <c r="AB791" s="79"/>
      <c r="AC791" s="79"/>
    </row>
    <row r="792" spans="1:29" ht="12.75" customHeight="1">
      <c r="A792" s="79"/>
      <c r="B792" s="79"/>
      <c r="C792" s="79"/>
      <c r="D792" s="79"/>
      <c r="E792" s="79"/>
      <c r="F792" s="79"/>
      <c r="G792" s="79"/>
      <c r="H792" s="79"/>
      <c r="I792" s="125"/>
      <c r="J792" s="79"/>
      <c r="K792" s="79"/>
      <c r="L792" s="79"/>
      <c r="M792" s="79"/>
      <c r="N792" s="79"/>
      <c r="O792" s="79"/>
      <c r="P792" s="79"/>
      <c r="Q792" s="79"/>
      <c r="R792" s="79"/>
      <c r="S792" s="79"/>
      <c r="T792" s="79"/>
      <c r="U792" s="79"/>
      <c r="V792" s="79"/>
      <c r="W792" s="79"/>
      <c r="X792" s="79"/>
      <c r="Y792" s="79"/>
      <c r="Z792" s="79"/>
      <c r="AA792" s="79"/>
      <c r="AB792" s="79"/>
      <c r="AC792" s="79"/>
    </row>
    <row r="793" spans="1:29" ht="12.75" customHeight="1">
      <c r="A793" s="79"/>
      <c r="B793" s="79"/>
      <c r="C793" s="79"/>
      <c r="D793" s="79"/>
      <c r="E793" s="79"/>
      <c r="F793" s="79"/>
      <c r="G793" s="79"/>
      <c r="H793" s="79"/>
      <c r="I793" s="125"/>
      <c r="J793" s="79"/>
      <c r="K793" s="79"/>
      <c r="L793" s="79"/>
      <c r="M793" s="79"/>
      <c r="N793" s="79"/>
      <c r="O793" s="79"/>
      <c r="P793" s="79"/>
      <c r="Q793" s="79"/>
      <c r="R793" s="79"/>
      <c r="S793" s="79"/>
      <c r="T793" s="79"/>
      <c r="U793" s="79"/>
      <c r="V793" s="79"/>
      <c r="W793" s="79"/>
      <c r="X793" s="79"/>
      <c r="Y793" s="79"/>
      <c r="Z793" s="79"/>
      <c r="AA793" s="79"/>
      <c r="AB793" s="79"/>
      <c r="AC793" s="79"/>
    </row>
    <row r="794" spans="1:29" ht="12.75" customHeight="1">
      <c r="A794" s="79"/>
      <c r="B794" s="79"/>
      <c r="C794" s="79"/>
      <c r="D794" s="79"/>
      <c r="E794" s="79"/>
      <c r="F794" s="79"/>
      <c r="G794" s="79"/>
      <c r="H794" s="79"/>
      <c r="I794" s="125"/>
      <c r="J794" s="79"/>
      <c r="K794" s="79"/>
      <c r="L794" s="79"/>
      <c r="M794" s="79"/>
      <c r="N794" s="79"/>
      <c r="O794" s="79"/>
      <c r="P794" s="79"/>
      <c r="Q794" s="79"/>
      <c r="R794" s="79"/>
      <c r="S794" s="79"/>
      <c r="T794" s="79"/>
      <c r="U794" s="79"/>
      <c r="V794" s="79"/>
      <c r="W794" s="79"/>
      <c r="X794" s="79"/>
      <c r="Y794" s="79"/>
      <c r="Z794" s="79"/>
      <c r="AA794" s="79"/>
      <c r="AB794" s="79"/>
      <c r="AC794" s="79"/>
    </row>
    <row r="795" spans="1:29" ht="12.75" customHeight="1">
      <c r="A795" s="79"/>
      <c r="B795" s="79"/>
      <c r="C795" s="79"/>
      <c r="D795" s="79"/>
      <c r="E795" s="79"/>
      <c r="F795" s="79"/>
      <c r="G795" s="79"/>
      <c r="H795" s="79"/>
      <c r="I795" s="125"/>
      <c r="J795" s="79"/>
      <c r="K795" s="79"/>
      <c r="L795" s="79"/>
      <c r="M795" s="79"/>
      <c r="N795" s="79"/>
      <c r="O795" s="79"/>
      <c r="P795" s="79"/>
      <c r="Q795" s="79"/>
      <c r="R795" s="79"/>
      <c r="S795" s="79"/>
      <c r="T795" s="79"/>
      <c r="U795" s="79"/>
      <c r="V795" s="79"/>
      <c r="W795" s="79"/>
      <c r="X795" s="79"/>
      <c r="Y795" s="79"/>
      <c r="Z795" s="79"/>
      <c r="AA795" s="79"/>
      <c r="AB795" s="79"/>
      <c r="AC795" s="79"/>
    </row>
    <row r="796" spans="1:29" ht="12.75" customHeight="1">
      <c r="A796" s="79"/>
      <c r="B796" s="79"/>
      <c r="C796" s="79"/>
      <c r="D796" s="79"/>
      <c r="E796" s="79"/>
      <c r="F796" s="79"/>
      <c r="G796" s="79"/>
      <c r="H796" s="79"/>
      <c r="I796" s="125"/>
      <c r="J796" s="79"/>
      <c r="K796" s="79"/>
      <c r="L796" s="79"/>
      <c r="M796" s="79"/>
      <c r="N796" s="79"/>
      <c r="O796" s="79"/>
      <c r="P796" s="79"/>
      <c r="Q796" s="79"/>
      <c r="R796" s="79"/>
      <c r="S796" s="79"/>
      <c r="T796" s="79"/>
      <c r="U796" s="79"/>
      <c r="V796" s="79"/>
      <c r="W796" s="79"/>
      <c r="X796" s="79"/>
      <c r="Y796" s="79"/>
      <c r="Z796" s="79"/>
      <c r="AA796" s="79"/>
      <c r="AB796" s="79"/>
      <c r="AC796" s="79"/>
    </row>
    <row r="797" spans="1:29" ht="12.75" customHeight="1">
      <c r="A797" s="79"/>
      <c r="B797" s="79"/>
      <c r="C797" s="79"/>
      <c r="D797" s="79"/>
      <c r="E797" s="79"/>
      <c r="F797" s="79"/>
      <c r="G797" s="79"/>
      <c r="H797" s="79"/>
      <c r="I797" s="125"/>
      <c r="J797" s="79"/>
      <c r="K797" s="79"/>
      <c r="L797" s="79"/>
      <c r="M797" s="79"/>
      <c r="N797" s="79"/>
      <c r="O797" s="79"/>
      <c r="P797" s="79"/>
      <c r="Q797" s="79"/>
      <c r="R797" s="79"/>
      <c r="S797" s="79"/>
      <c r="T797" s="79"/>
      <c r="U797" s="79"/>
      <c r="V797" s="79"/>
      <c r="W797" s="79"/>
      <c r="X797" s="79"/>
      <c r="Y797" s="79"/>
      <c r="Z797" s="79"/>
      <c r="AA797" s="79"/>
      <c r="AB797" s="79"/>
      <c r="AC797" s="79"/>
    </row>
    <row r="798" spans="1:29" ht="12.75" customHeight="1">
      <c r="A798" s="79"/>
      <c r="B798" s="79"/>
      <c r="C798" s="79"/>
      <c r="D798" s="79"/>
      <c r="E798" s="79"/>
      <c r="F798" s="79"/>
      <c r="G798" s="79"/>
      <c r="H798" s="79"/>
      <c r="I798" s="125"/>
      <c r="J798" s="79"/>
      <c r="K798" s="79"/>
      <c r="L798" s="79"/>
      <c r="M798" s="79"/>
      <c r="N798" s="79"/>
      <c r="O798" s="79"/>
      <c r="P798" s="79"/>
      <c r="Q798" s="79"/>
      <c r="R798" s="79"/>
      <c r="S798" s="79"/>
      <c r="T798" s="79"/>
      <c r="U798" s="79"/>
      <c r="V798" s="79"/>
      <c r="W798" s="79"/>
      <c r="X798" s="79"/>
      <c r="Y798" s="79"/>
      <c r="Z798" s="79"/>
      <c r="AA798" s="79"/>
      <c r="AB798" s="79"/>
      <c r="AC798" s="79"/>
    </row>
    <row r="799" spans="1:29" ht="12.75" customHeight="1">
      <c r="A799" s="79"/>
      <c r="B799" s="79"/>
      <c r="C799" s="79"/>
      <c r="D799" s="79"/>
      <c r="E799" s="79"/>
      <c r="F799" s="79"/>
      <c r="G799" s="79"/>
      <c r="H799" s="79"/>
      <c r="I799" s="125"/>
      <c r="J799" s="79"/>
      <c r="K799" s="79"/>
      <c r="L799" s="79"/>
      <c r="M799" s="79"/>
      <c r="N799" s="79"/>
      <c r="O799" s="79"/>
      <c r="P799" s="79"/>
      <c r="Q799" s="79"/>
      <c r="R799" s="79"/>
      <c r="S799" s="79"/>
      <c r="T799" s="79"/>
      <c r="U799" s="79"/>
      <c r="V799" s="79"/>
      <c r="W799" s="79"/>
      <c r="X799" s="79"/>
      <c r="Y799" s="79"/>
      <c r="Z799" s="79"/>
      <c r="AA799" s="79"/>
      <c r="AB799" s="79"/>
      <c r="AC799" s="79"/>
    </row>
    <row r="800" spans="1:29" ht="12.75" customHeight="1">
      <c r="A800" s="79"/>
      <c r="B800" s="79"/>
      <c r="C800" s="79"/>
      <c r="D800" s="79"/>
      <c r="E800" s="79"/>
      <c r="F800" s="79"/>
      <c r="G800" s="79"/>
      <c r="H800" s="79"/>
      <c r="I800" s="125"/>
      <c r="J800" s="79"/>
      <c r="K800" s="79"/>
      <c r="L800" s="79"/>
      <c r="M800" s="79"/>
      <c r="N800" s="79"/>
      <c r="O800" s="79"/>
      <c r="P800" s="79"/>
      <c r="Q800" s="79"/>
      <c r="R800" s="79"/>
      <c r="S800" s="79"/>
      <c r="T800" s="79"/>
      <c r="U800" s="79"/>
      <c r="V800" s="79"/>
      <c r="W800" s="79"/>
      <c r="X800" s="79"/>
      <c r="Y800" s="79"/>
      <c r="Z800" s="79"/>
      <c r="AA800" s="79"/>
      <c r="AB800" s="79"/>
      <c r="AC800" s="79"/>
    </row>
    <row r="801" spans="1:29" ht="12.75" customHeight="1">
      <c r="A801" s="79"/>
      <c r="B801" s="79"/>
      <c r="C801" s="79"/>
      <c r="D801" s="79"/>
      <c r="E801" s="79"/>
      <c r="F801" s="79"/>
      <c r="G801" s="79"/>
      <c r="H801" s="79"/>
      <c r="I801" s="125"/>
      <c r="J801" s="79"/>
      <c r="K801" s="79"/>
      <c r="L801" s="79"/>
      <c r="M801" s="79"/>
      <c r="N801" s="79"/>
      <c r="O801" s="79"/>
      <c r="P801" s="79"/>
      <c r="Q801" s="79"/>
      <c r="R801" s="79"/>
      <c r="S801" s="79"/>
      <c r="T801" s="79"/>
      <c r="U801" s="79"/>
      <c r="V801" s="79"/>
      <c r="W801" s="79"/>
      <c r="X801" s="79"/>
      <c r="Y801" s="79"/>
      <c r="Z801" s="79"/>
      <c r="AA801" s="79"/>
      <c r="AB801" s="79"/>
      <c r="AC801" s="79"/>
    </row>
    <row r="802" spans="1:29" ht="12.75" customHeight="1">
      <c r="A802" s="79"/>
      <c r="B802" s="79"/>
      <c r="C802" s="79"/>
      <c r="D802" s="79"/>
      <c r="E802" s="79"/>
      <c r="F802" s="79"/>
      <c r="G802" s="79"/>
      <c r="H802" s="79"/>
      <c r="I802" s="125"/>
      <c r="J802" s="79"/>
      <c r="K802" s="79"/>
      <c r="L802" s="79"/>
      <c r="M802" s="79"/>
      <c r="N802" s="79"/>
      <c r="O802" s="79"/>
      <c r="P802" s="79"/>
      <c r="Q802" s="79"/>
      <c r="R802" s="79"/>
      <c r="S802" s="79"/>
      <c r="T802" s="79"/>
      <c r="U802" s="79"/>
      <c r="V802" s="79"/>
      <c r="W802" s="79"/>
      <c r="X802" s="79"/>
      <c r="Y802" s="79"/>
      <c r="Z802" s="79"/>
      <c r="AA802" s="79"/>
      <c r="AB802" s="79"/>
      <c r="AC802" s="79"/>
    </row>
    <row r="803" spans="1:29" ht="12.75" customHeight="1">
      <c r="A803" s="79"/>
      <c r="B803" s="79"/>
      <c r="C803" s="79"/>
      <c r="D803" s="79"/>
      <c r="E803" s="79"/>
      <c r="F803" s="79"/>
      <c r="G803" s="79"/>
      <c r="H803" s="79"/>
      <c r="I803" s="125"/>
      <c r="J803" s="79"/>
      <c r="K803" s="79"/>
      <c r="L803" s="79"/>
      <c r="M803" s="79"/>
      <c r="N803" s="79"/>
      <c r="O803" s="79"/>
      <c r="P803" s="79"/>
      <c r="Q803" s="79"/>
      <c r="R803" s="79"/>
      <c r="S803" s="79"/>
      <c r="T803" s="79"/>
      <c r="U803" s="79"/>
      <c r="V803" s="79"/>
      <c r="W803" s="79"/>
      <c r="X803" s="79"/>
      <c r="Y803" s="79"/>
      <c r="Z803" s="79"/>
      <c r="AA803" s="79"/>
      <c r="AB803" s="79"/>
      <c r="AC803" s="79"/>
    </row>
    <row r="804" spans="1:29" ht="12.75" customHeight="1">
      <c r="A804" s="79"/>
      <c r="B804" s="79"/>
      <c r="C804" s="79"/>
      <c r="D804" s="79"/>
      <c r="E804" s="79"/>
      <c r="F804" s="79"/>
      <c r="G804" s="79"/>
      <c r="H804" s="79"/>
      <c r="I804" s="125"/>
      <c r="J804" s="79"/>
      <c r="K804" s="79"/>
      <c r="L804" s="79"/>
      <c r="M804" s="79"/>
      <c r="N804" s="79"/>
      <c r="O804" s="79"/>
      <c r="P804" s="79"/>
      <c r="Q804" s="79"/>
      <c r="R804" s="79"/>
      <c r="S804" s="79"/>
      <c r="T804" s="79"/>
      <c r="U804" s="79"/>
      <c r="V804" s="79"/>
      <c r="W804" s="79"/>
      <c r="X804" s="79"/>
      <c r="Y804" s="79"/>
      <c r="Z804" s="79"/>
      <c r="AA804" s="79"/>
      <c r="AB804" s="79"/>
      <c r="AC804" s="79"/>
    </row>
    <row r="805" spans="1:29" ht="12.75" customHeight="1">
      <c r="A805" s="79"/>
      <c r="B805" s="79"/>
      <c r="C805" s="79"/>
      <c r="D805" s="79"/>
      <c r="E805" s="79"/>
      <c r="F805" s="79"/>
      <c r="G805" s="79"/>
      <c r="H805" s="79"/>
      <c r="I805" s="125"/>
      <c r="J805" s="79"/>
      <c r="K805" s="79"/>
      <c r="L805" s="79"/>
      <c r="M805" s="79"/>
      <c r="N805" s="79"/>
      <c r="O805" s="79"/>
      <c r="P805" s="79"/>
      <c r="Q805" s="79"/>
      <c r="R805" s="79"/>
      <c r="S805" s="79"/>
      <c r="T805" s="79"/>
      <c r="U805" s="79"/>
      <c r="V805" s="79"/>
      <c r="W805" s="79"/>
      <c r="X805" s="79"/>
      <c r="Y805" s="79"/>
      <c r="Z805" s="79"/>
      <c r="AA805" s="79"/>
      <c r="AB805" s="79"/>
      <c r="AC805" s="79"/>
    </row>
    <row r="806" spans="1:29" ht="12.75" customHeight="1">
      <c r="A806" s="79"/>
      <c r="B806" s="79"/>
      <c r="C806" s="79"/>
      <c r="D806" s="79"/>
      <c r="E806" s="79"/>
      <c r="F806" s="79"/>
      <c r="G806" s="79"/>
      <c r="H806" s="79"/>
      <c r="I806" s="125"/>
      <c r="J806" s="79"/>
      <c r="K806" s="79"/>
      <c r="L806" s="79"/>
      <c r="M806" s="79"/>
      <c r="N806" s="79"/>
      <c r="O806" s="79"/>
      <c r="P806" s="79"/>
      <c r="Q806" s="79"/>
      <c r="R806" s="79"/>
      <c r="S806" s="79"/>
      <c r="T806" s="79"/>
      <c r="U806" s="79"/>
      <c r="V806" s="79"/>
      <c r="W806" s="79"/>
      <c r="X806" s="79"/>
      <c r="Y806" s="79"/>
      <c r="Z806" s="79"/>
      <c r="AA806" s="79"/>
      <c r="AB806" s="79"/>
      <c r="AC806" s="79"/>
    </row>
    <row r="807" spans="1:29" ht="12.75" customHeight="1">
      <c r="A807" s="79"/>
      <c r="B807" s="79"/>
      <c r="C807" s="79"/>
      <c r="D807" s="79"/>
      <c r="E807" s="79"/>
      <c r="F807" s="79"/>
      <c r="G807" s="79"/>
      <c r="H807" s="79"/>
      <c r="I807" s="125"/>
      <c r="J807" s="79"/>
      <c r="K807" s="79"/>
      <c r="L807" s="79"/>
      <c r="M807" s="79"/>
      <c r="N807" s="79"/>
      <c r="O807" s="79"/>
      <c r="P807" s="79"/>
      <c r="Q807" s="79"/>
      <c r="R807" s="79"/>
      <c r="S807" s="79"/>
      <c r="T807" s="79"/>
      <c r="U807" s="79"/>
      <c r="V807" s="79"/>
      <c r="W807" s="79"/>
      <c r="X807" s="79"/>
      <c r="Y807" s="79"/>
      <c r="Z807" s="79"/>
      <c r="AA807" s="79"/>
      <c r="AB807" s="79"/>
      <c r="AC807" s="79"/>
    </row>
    <row r="808" spans="1:29" ht="12.75" customHeight="1">
      <c r="A808" s="79"/>
      <c r="B808" s="79"/>
      <c r="C808" s="79"/>
      <c r="D808" s="79"/>
      <c r="E808" s="79"/>
      <c r="F808" s="79"/>
      <c r="G808" s="79"/>
      <c r="H808" s="79"/>
      <c r="I808" s="125"/>
      <c r="J808" s="79"/>
      <c r="K808" s="79"/>
      <c r="L808" s="79"/>
      <c r="M808" s="79"/>
      <c r="N808" s="79"/>
      <c r="O808" s="79"/>
      <c r="P808" s="79"/>
      <c r="Q808" s="79"/>
      <c r="R808" s="79"/>
      <c r="S808" s="79"/>
      <c r="T808" s="79"/>
      <c r="U808" s="79"/>
      <c r="V808" s="79"/>
      <c r="W808" s="79"/>
      <c r="X808" s="79"/>
      <c r="Y808" s="79"/>
      <c r="Z808" s="79"/>
      <c r="AA808" s="79"/>
      <c r="AB808" s="79"/>
      <c r="AC808" s="79"/>
    </row>
    <row r="809" spans="1:29" ht="12.75" customHeight="1">
      <c r="A809" s="79"/>
      <c r="B809" s="79"/>
      <c r="C809" s="79"/>
      <c r="D809" s="79"/>
      <c r="E809" s="79"/>
      <c r="F809" s="79"/>
      <c r="G809" s="79"/>
      <c r="H809" s="79"/>
      <c r="I809" s="125"/>
      <c r="J809" s="79"/>
      <c r="K809" s="79"/>
      <c r="L809" s="79"/>
      <c r="M809" s="79"/>
      <c r="N809" s="79"/>
      <c r="O809" s="79"/>
      <c r="P809" s="79"/>
      <c r="Q809" s="79"/>
      <c r="R809" s="79"/>
      <c r="S809" s="79"/>
      <c r="T809" s="79"/>
      <c r="U809" s="79"/>
      <c r="V809" s="79"/>
      <c r="W809" s="79"/>
      <c r="X809" s="79"/>
      <c r="Y809" s="79"/>
      <c r="Z809" s="79"/>
      <c r="AA809" s="79"/>
      <c r="AB809" s="79"/>
      <c r="AC809" s="79"/>
    </row>
    <row r="810" spans="1:29" ht="12.75" customHeight="1">
      <c r="A810" s="79"/>
      <c r="B810" s="79"/>
      <c r="C810" s="79"/>
      <c r="D810" s="79"/>
      <c r="E810" s="79"/>
      <c r="F810" s="79"/>
      <c r="G810" s="79"/>
      <c r="H810" s="79"/>
      <c r="I810" s="125"/>
      <c r="J810" s="79"/>
      <c r="K810" s="79"/>
      <c r="L810" s="79"/>
      <c r="M810" s="79"/>
      <c r="N810" s="79"/>
      <c r="O810" s="79"/>
      <c r="P810" s="79"/>
      <c r="Q810" s="79"/>
      <c r="R810" s="79"/>
      <c r="S810" s="79"/>
      <c r="T810" s="79"/>
      <c r="U810" s="79"/>
      <c r="V810" s="79"/>
      <c r="W810" s="79"/>
      <c r="X810" s="79"/>
      <c r="Y810" s="79"/>
      <c r="Z810" s="79"/>
      <c r="AA810" s="79"/>
      <c r="AB810" s="79"/>
      <c r="AC810" s="79"/>
    </row>
    <row r="811" spans="1:29" ht="12.75" customHeight="1">
      <c r="A811" s="79"/>
      <c r="B811" s="79"/>
      <c r="C811" s="79"/>
      <c r="D811" s="79"/>
      <c r="E811" s="79"/>
      <c r="F811" s="79"/>
      <c r="G811" s="79"/>
      <c r="H811" s="79"/>
      <c r="I811" s="125"/>
      <c r="J811" s="79"/>
      <c r="K811" s="79"/>
      <c r="L811" s="79"/>
      <c r="M811" s="79"/>
      <c r="N811" s="79"/>
      <c r="O811" s="79"/>
      <c r="P811" s="79"/>
      <c r="Q811" s="79"/>
      <c r="R811" s="79"/>
      <c r="S811" s="79"/>
      <c r="T811" s="79"/>
      <c r="U811" s="79"/>
      <c r="V811" s="79"/>
      <c r="W811" s="79"/>
      <c r="X811" s="79"/>
      <c r="Y811" s="79"/>
      <c r="Z811" s="79"/>
      <c r="AA811" s="79"/>
      <c r="AB811" s="79"/>
      <c r="AC811" s="79"/>
    </row>
    <row r="812" spans="1:29" ht="12.75" customHeight="1">
      <c r="A812" s="79"/>
      <c r="B812" s="79"/>
      <c r="C812" s="79"/>
      <c r="D812" s="79"/>
      <c r="E812" s="79"/>
      <c r="F812" s="79"/>
      <c r="G812" s="79"/>
      <c r="H812" s="79"/>
      <c r="I812" s="125"/>
      <c r="J812" s="79"/>
      <c r="K812" s="79"/>
      <c r="L812" s="79"/>
      <c r="M812" s="79"/>
      <c r="N812" s="79"/>
      <c r="O812" s="79"/>
      <c r="P812" s="79"/>
      <c r="Q812" s="79"/>
      <c r="R812" s="79"/>
      <c r="S812" s="79"/>
      <c r="T812" s="79"/>
      <c r="U812" s="79"/>
      <c r="V812" s="79"/>
      <c r="W812" s="79"/>
      <c r="X812" s="79"/>
      <c r="Y812" s="79"/>
      <c r="Z812" s="79"/>
      <c r="AA812" s="79"/>
      <c r="AB812" s="79"/>
      <c r="AC812" s="79"/>
    </row>
    <row r="813" spans="1:29" ht="12.75" customHeight="1">
      <c r="A813" s="79"/>
      <c r="B813" s="79"/>
      <c r="C813" s="79"/>
      <c r="D813" s="79"/>
      <c r="E813" s="79"/>
      <c r="F813" s="79"/>
      <c r="G813" s="79"/>
      <c r="H813" s="79"/>
      <c r="I813" s="125"/>
      <c r="J813" s="79"/>
      <c r="K813" s="79"/>
      <c r="L813" s="79"/>
      <c r="M813" s="79"/>
      <c r="N813" s="79"/>
      <c r="O813" s="79"/>
      <c r="P813" s="79"/>
      <c r="Q813" s="79"/>
      <c r="R813" s="79"/>
      <c r="S813" s="79"/>
      <c r="T813" s="79"/>
      <c r="U813" s="79"/>
      <c r="V813" s="79"/>
      <c r="W813" s="79"/>
      <c r="X813" s="79"/>
      <c r="Y813" s="79"/>
      <c r="Z813" s="79"/>
      <c r="AA813" s="79"/>
      <c r="AB813" s="79"/>
      <c r="AC813" s="79"/>
    </row>
    <row r="814" spans="1:29" ht="12.75" customHeight="1">
      <c r="A814" s="79"/>
      <c r="B814" s="79"/>
      <c r="C814" s="79"/>
      <c r="D814" s="79"/>
      <c r="E814" s="79"/>
      <c r="F814" s="79"/>
      <c r="G814" s="79"/>
      <c r="H814" s="79"/>
      <c r="I814" s="125"/>
      <c r="J814" s="79"/>
      <c r="K814" s="79"/>
      <c r="L814" s="79"/>
      <c r="M814" s="79"/>
      <c r="N814" s="79"/>
      <c r="O814" s="79"/>
      <c r="P814" s="79"/>
      <c r="Q814" s="79"/>
      <c r="R814" s="79"/>
      <c r="S814" s="79"/>
      <c r="T814" s="79"/>
      <c r="U814" s="79"/>
      <c r="V814" s="79"/>
      <c r="W814" s="79"/>
      <c r="X814" s="79"/>
      <c r="Y814" s="79"/>
      <c r="Z814" s="79"/>
      <c r="AA814" s="79"/>
      <c r="AB814" s="79"/>
      <c r="AC814" s="79"/>
    </row>
    <row r="815" spans="1:29" ht="12.75" customHeight="1">
      <c r="A815" s="79"/>
      <c r="B815" s="79"/>
      <c r="C815" s="79"/>
      <c r="D815" s="79"/>
      <c r="E815" s="79"/>
      <c r="F815" s="79"/>
      <c r="G815" s="79"/>
      <c r="H815" s="79"/>
      <c r="I815" s="125"/>
      <c r="J815" s="79"/>
      <c r="K815" s="79"/>
      <c r="L815" s="79"/>
      <c r="M815" s="79"/>
      <c r="N815" s="79"/>
      <c r="O815" s="79"/>
      <c r="P815" s="79"/>
      <c r="Q815" s="79"/>
      <c r="R815" s="79"/>
      <c r="S815" s="79"/>
      <c r="T815" s="79"/>
      <c r="U815" s="79"/>
      <c r="V815" s="79"/>
      <c r="W815" s="79"/>
      <c r="X815" s="79"/>
      <c r="Y815" s="79"/>
      <c r="Z815" s="79"/>
      <c r="AA815" s="79"/>
      <c r="AB815" s="79"/>
      <c r="AC815" s="79"/>
    </row>
    <row r="816" spans="1:29" ht="12.75" customHeight="1">
      <c r="A816" s="79"/>
      <c r="B816" s="79"/>
      <c r="C816" s="79"/>
      <c r="D816" s="79"/>
      <c r="E816" s="79"/>
      <c r="F816" s="79"/>
      <c r="G816" s="79"/>
      <c r="H816" s="79"/>
      <c r="I816" s="125"/>
      <c r="J816" s="79"/>
      <c r="K816" s="79"/>
      <c r="L816" s="79"/>
      <c r="M816" s="79"/>
      <c r="N816" s="79"/>
      <c r="O816" s="79"/>
      <c r="P816" s="79"/>
      <c r="Q816" s="79"/>
      <c r="R816" s="79"/>
      <c r="S816" s="79"/>
      <c r="T816" s="79"/>
      <c r="U816" s="79"/>
      <c r="V816" s="79"/>
      <c r="W816" s="79"/>
      <c r="X816" s="79"/>
      <c r="Y816" s="79"/>
      <c r="Z816" s="79"/>
      <c r="AA816" s="79"/>
      <c r="AB816" s="79"/>
      <c r="AC816" s="79"/>
    </row>
    <row r="817" spans="1:29" ht="12.75" customHeight="1">
      <c r="A817" s="79"/>
      <c r="B817" s="79"/>
      <c r="C817" s="79"/>
      <c r="D817" s="79"/>
      <c r="E817" s="79"/>
      <c r="F817" s="79"/>
      <c r="G817" s="79"/>
      <c r="H817" s="79"/>
      <c r="I817" s="125"/>
      <c r="J817" s="79"/>
      <c r="K817" s="79"/>
      <c r="L817" s="79"/>
      <c r="M817" s="79"/>
      <c r="N817" s="79"/>
      <c r="O817" s="79"/>
      <c r="P817" s="79"/>
      <c r="Q817" s="79"/>
      <c r="R817" s="79"/>
      <c r="S817" s="79"/>
      <c r="T817" s="79"/>
      <c r="U817" s="79"/>
      <c r="V817" s="79"/>
      <c r="W817" s="79"/>
      <c r="X817" s="79"/>
      <c r="Y817" s="79"/>
      <c r="Z817" s="79"/>
      <c r="AA817" s="79"/>
      <c r="AB817" s="79"/>
      <c r="AC817" s="79"/>
    </row>
    <row r="818" spans="1:29" ht="12.75" customHeight="1">
      <c r="A818" s="79"/>
      <c r="B818" s="79"/>
      <c r="C818" s="79"/>
      <c r="D818" s="79"/>
      <c r="E818" s="79"/>
      <c r="F818" s="79"/>
      <c r="G818" s="79"/>
      <c r="H818" s="79"/>
      <c r="I818" s="125"/>
      <c r="J818" s="79"/>
      <c r="K818" s="79"/>
      <c r="L818" s="79"/>
      <c r="M818" s="79"/>
      <c r="N818" s="79"/>
      <c r="O818" s="79"/>
      <c r="P818" s="79"/>
      <c r="Q818" s="79"/>
      <c r="R818" s="79"/>
      <c r="S818" s="79"/>
      <c r="T818" s="79"/>
      <c r="U818" s="79"/>
      <c r="V818" s="79"/>
      <c r="W818" s="79"/>
      <c r="X818" s="79"/>
      <c r="Y818" s="79"/>
      <c r="Z818" s="79"/>
      <c r="AA818" s="79"/>
      <c r="AB818" s="79"/>
      <c r="AC818" s="79"/>
    </row>
    <row r="819" spans="1:29" ht="12.75" customHeight="1">
      <c r="A819" s="79"/>
      <c r="B819" s="79"/>
      <c r="C819" s="79"/>
      <c r="D819" s="79"/>
      <c r="E819" s="79"/>
      <c r="F819" s="79"/>
      <c r="G819" s="79"/>
      <c r="H819" s="79"/>
      <c r="I819" s="125"/>
      <c r="J819" s="79"/>
      <c r="K819" s="79"/>
      <c r="L819" s="79"/>
      <c r="M819" s="79"/>
      <c r="N819" s="79"/>
      <c r="O819" s="79"/>
      <c r="P819" s="79"/>
      <c r="Q819" s="79"/>
      <c r="R819" s="79"/>
      <c r="S819" s="79"/>
      <c r="T819" s="79"/>
      <c r="U819" s="79"/>
      <c r="V819" s="79"/>
      <c r="W819" s="79"/>
      <c r="X819" s="79"/>
      <c r="Y819" s="79"/>
      <c r="Z819" s="79"/>
      <c r="AA819" s="79"/>
      <c r="AB819" s="79"/>
      <c r="AC819" s="79"/>
    </row>
    <row r="820" spans="1:29" ht="12.75" customHeight="1">
      <c r="A820" s="79"/>
      <c r="B820" s="79"/>
      <c r="C820" s="79"/>
      <c r="D820" s="79"/>
      <c r="E820" s="79"/>
      <c r="F820" s="79"/>
      <c r="G820" s="79"/>
      <c r="H820" s="79"/>
      <c r="I820" s="125"/>
      <c r="J820" s="79"/>
      <c r="K820" s="79"/>
      <c r="L820" s="79"/>
      <c r="M820" s="79"/>
      <c r="N820" s="79"/>
      <c r="O820" s="79"/>
      <c r="P820" s="79"/>
      <c r="Q820" s="79"/>
      <c r="R820" s="79"/>
      <c r="S820" s="79"/>
      <c r="T820" s="79"/>
      <c r="U820" s="79"/>
      <c r="V820" s="79"/>
      <c r="W820" s="79"/>
      <c r="X820" s="79"/>
      <c r="Y820" s="79"/>
      <c r="Z820" s="79"/>
      <c r="AA820" s="79"/>
      <c r="AB820" s="79"/>
      <c r="AC820" s="79"/>
    </row>
    <row r="821" spans="1:29" ht="12.75" customHeight="1">
      <c r="A821" s="79"/>
      <c r="B821" s="79"/>
      <c r="C821" s="79"/>
      <c r="D821" s="79"/>
      <c r="E821" s="79"/>
      <c r="F821" s="79"/>
      <c r="G821" s="79"/>
      <c r="H821" s="79"/>
      <c r="I821" s="125"/>
      <c r="J821" s="79"/>
      <c r="K821" s="79"/>
      <c r="L821" s="79"/>
      <c r="M821" s="79"/>
      <c r="N821" s="79"/>
      <c r="O821" s="79"/>
      <c r="P821" s="79"/>
      <c r="Q821" s="79"/>
      <c r="R821" s="79"/>
      <c r="S821" s="79"/>
      <c r="T821" s="79"/>
      <c r="U821" s="79"/>
      <c r="V821" s="79"/>
      <c r="W821" s="79"/>
      <c r="X821" s="79"/>
      <c r="Y821" s="79"/>
      <c r="Z821" s="79"/>
      <c r="AA821" s="79"/>
      <c r="AB821" s="79"/>
      <c r="AC821" s="79"/>
    </row>
    <row r="822" spans="1:29" ht="12.75" customHeight="1">
      <c r="A822" s="79"/>
      <c r="B822" s="79"/>
      <c r="C822" s="79"/>
      <c r="D822" s="79"/>
      <c r="E822" s="79"/>
      <c r="F822" s="79"/>
      <c r="G822" s="79"/>
      <c r="H822" s="79"/>
      <c r="I822" s="125"/>
      <c r="J822" s="79"/>
      <c r="K822" s="79"/>
      <c r="L822" s="79"/>
      <c r="M822" s="79"/>
      <c r="N822" s="79"/>
      <c r="O822" s="79"/>
      <c r="P822" s="79"/>
      <c r="Q822" s="79"/>
      <c r="R822" s="79"/>
      <c r="S822" s="79"/>
      <c r="T822" s="79"/>
      <c r="U822" s="79"/>
      <c r="V822" s="79"/>
      <c r="W822" s="79"/>
      <c r="X822" s="79"/>
      <c r="Y822" s="79"/>
      <c r="Z822" s="79"/>
      <c r="AA822" s="79"/>
      <c r="AB822" s="79"/>
      <c r="AC822" s="79"/>
    </row>
    <row r="823" spans="1:29" ht="12.75" customHeight="1">
      <c r="A823" s="79"/>
      <c r="B823" s="79"/>
      <c r="C823" s="79"/>
      <c r="D823" s="79"/>
      <c r="E823" s="79"/>
      <c r="F823" s="79"/>
      <c r="G823" s="79"/>
      <c r="H823" s="79"/>
      <c r="I823" s="125"/>
      <c r="J823" s="79"/>
      <c r="K823" s="79"/>
      <c r="L823" s="79"/>
      <c r="M823" s="79"/>
      <c r="N823" s="79"/>
      <c r="O823" s="79"/>
      <c r="P823" s="79"/>
      <c r="Q823" s="79"/>
      <c r="R823" s="79"/>
      <c r="S823" s="79"/>
      <c r="T823" s="79"/>
      <c r="U823" s="79"/>
      <c r="V823" s="79"/>
      <c r="W823" s="79"/>
      <c r="X823" s="79"/>
      <c r="Y823" s="79"/>
      <c r="Z823" s="79"/>
      <c r="AA823" s="79"/>
      <c r="AB823" s="79"/>
      <c r="AC823" s="79"/>
    </row>
    <row r="824" spans="1:29" ht="12.75" customHeight="1">
      <c r="A824" s="79"/>
      <c r="B824" s="79"/>
      <c r="C824" s="79"/>
      <c r="D824" s="79"/>
      <c r="E824" s="79"/>
      <c r="F824" s="79"/>
      <c r="G824" s="79"/>
      <c r="H824" s="79"/>
      <c r="I824" s="125"/>
      <c r="J824" s="79"/>
      <c r="K824" s="79"/>
      <c r="L824" s="79"/>
      <c r="M824" s="79"/>
      <c r="N824" s="79"/>
      <c r="O824" s="79"/>
      <c r="P824" s="79"/>
      <c r="Q824" s="79"/>
      <c r="R824" s="79"/>
      <c r="S824" s="79"/>
      <c r="T824" s="79"/>
      <c r="U824" s="79"/>
      <c r="V824" s="79"/>
      <c r="W824" s="79"/>
      <c r="X824" s="79"/>
      <c r="Y824" s="79"/>
      <c r="Z824" s="79"/>
      <c r="AA824" s="79"/>
      <c r="AB824" s="79"/>
      <c r="AC824" s="79"/>
    </row>
    <row r="825" spans="1:29" ht="12.75" customHeight="1">
      <c r="A825" s="79"/>
      <c r="B825" s="79"/>
      <c r="C825" s="79"/>
      <c r="D825" s="79"/>
      <c r="E825" s="79"/>
      <c r="F825" s="79"/>
      <c r="G825" s="79"/>
      <c r="H825" s="79"/>
      <c r="I825" s="125"/>
      <c r="J825" s="79"/>
      <c r="K825" s="79"/>
      <c r="L825" s="79"/>
      <c r="M825" s="79"/>
      <c r="N825" s="79"/>
      <c r="O825" s="79"/>
      <c r="P825" s="79"/>
      <c r="Q825" s="79"/>
      <c r="R825" s="79"/>
      <c r="S825" s="79"/>
      <c r="T825" s="79"/>
      <c r="U825" s="79"/>
      <c r="V825" s="79"/>
      <c r="W825" s="79"/>
      <c r="X825" s="79"/>
      <c r="Y825" s="79"/>
      <c r="Z825" s="79"/>
      <c r="AA825" s="79"/>
      <c r="AB825" s="79"/>
      <c r="AC825" s="79"/>
    </row>
    <row r="826" spans="1:29" ht="12.75" customHeight="1">
      <c r="A826" s="79"/>
      <c r="B826" s="79"/>
      <c r="C826" s="79"/>
      <c r="D826" s="79"/>
      <c r="E826" s="79"/>
      <c r="F826" s="79"/>
      <c r="G826" s="79"/>
      <c r="H826" s="79"/>
      <c r="I826" s="125"/>
      <c r="J826" s="79"/>
      <c r="K826" s="79"/>
      <c r="L826" s="79"/>
      <c r="M826" s="79"/>
      <c r="N826" s="79"/>
      <c r="O826" s="79"/>
      <c r="P826" s="79"/>
      <c r="Q826" s="79"/>
      <c r="R826" s="79"/>
      <c r="S826" s="79"/>
      <c r="T826" s="79"/>
      <c r="U826" s="79"/>
      <c r="V826" s="79"/>
      <c r="W826" s="79"/>
      <c r="X826" s="79"/>
      <c r="Y826" s="79"/>
      <c r="Z826" s="79"/>
      <c r="AA826" s="79"/>
      <c r="AB826" s="79"/>
      <c r="AC826" s="79"/>
    </row>
    <row r="827" spans="1:29" ht="12.75" customHeight="1">
      <c r="A827" s="79"/>
      <c r="B827" s="79"/>
      <c r="C827" s="79"/>
      <c r="D827" s="79"/>
      <c r="E827" s="79"/>
      <c r="F827" s="79"/>
      <c r="G827" s="79"/>
      <c r="H827" s="79"/>
      <c r="I827" s="125"/>
      <c r="J827" s="79"/>
      <c r="K827" s="79"/>
      <c r="L827" s="79"/>
      <c r="M827" s="79"/>
      <c r="N827" s="79"/>
      <c r="O827" s="79"/>
      <c r="P827" s="79"/>
      <c r="Q827" s="79"/>
      <c r="R827" s="79"/>
      <c r="S827" s="79"/>
      <c r="T827" s="79"/>
      <c r="U827" s="79"/>
      <c r="V827" s="79"/>
      <c r="W827" s="79"/>
      <c r="X827" s="79"/>
      <c r="Y827" s="79"/>
      <c r="Z827" s="79"/>
      <c r="AA827" s="79"/>
      <c r="AB827" s="79"/>
      <c r="AC827" s="79"/>
    </row>
    <row r="828" spans="1:29" ht="12.75" customHeight="1">
      <c r="A828" s="79"/>
      <c r="B828" s="79"/>
      <c r="C828" s="79"/>
      <c r="D828" s="79"/>
      <c r="E828" s="79"/>
      <c r="F828" s="79"/>
      <c r="G828" s="79"/>
      <c r="H828" s="79"/>
      <c r="I828" s="125"/>
      <c r="J828" s="79"/>
      <c r="K828" s="79"/>
      <c r="L828" s="79"/>
      <c r="M828" s="79"/>
      <c r="N828" s="79"/>
      <c r="O828" s="79"/>
      <c r="P828" s="79"/>
      <c r="Q828" s="79"/>
      <c r="R828" s="79"/>
      <c r="S828" s="79"/>
      <c r="T828" s="79"/>
      <c r="U828" s="79"/>
      <c r="V828" s="79"/>
      <c r="W828" s="79"/>
      <c r="X828" s="79"/>
      <c r="Y828" s="79"/>
      <c r="Z828" s="79"/>
      <c r="AA828" s="79"/>
      <c r="AB828" s="79"/>
      <c r="AC828" s="79"/>
    </row>
    <row r="829" spans="1:29" ht="12.75" customHeight="1">
      <c r="A829" s="79"/>
      <c r="B829" s="79"/>
      <c r="C829" s="79"/>
      <c r="D829" s="79"/>
      <c r="E829" s="79"/>
      <c r="F829" s="79"/>
      <c r="G829" s="79"/>
      <c r="H829" s="79"/>
      <c r="I829" s="125"/>
      <c r="J829" s="79"/>
      <c r="K829" s="79"/>
      <c r="L829" s="79"/>
      <c r="M829" s="79"/>
      <c r="N829" s="79"/>
      <c r="O829" s="79"/>
      <c r="P829" s="79"/>
      <c r="Q829" s="79"/>
      <c r="R829" s="79"/>
      <c r="S829" s="79"/>
      <c r="T829" s="79"/>
      <c r="U829" s="79"/>
      <c r="V829" s="79"/>
      <c r="W829" s="79"/>
      <c r="X829" s="79"/>
      <c r="Y829" s="79"/>
      <c r="Z829" s="79"/>
      <c r="AA829" s="79"/>
      <c r="AB829" s="79"/>
      <c r="AC829" s="79"/>
    </row>
    <row r="830" spans="1:29" ht="12.75" customHeight="1">
      <c r="A830" s="79"/>
      <c r="B830" s="79"/>
      <c r="C830" s="79"/>
      <c r="D830" s="79"/>
      <c r="E830" s="79"/>
      <c r="F830" s="79"/>
      <c r="G830" s="79"/>
      <c r="H830" s="79"/>
      <c r="I830" s="125"/>
      <c r="J830" s="79"/>
      <c r="K830" s="79"/>
      <c r="L830" s="79"/>
      <c r="M830" s="79"/>
      <c r="N830" s="79"/>
      <c r="O830" s="79"/>
      <c r="P830" s="79"/>
      <c r="Q830" s="79"/>
      <c r="R830" s="79"/>
      <c r="S830" s="79"/>
      <c r="T830" s="79"/>
      <c r="U830" s="79"/>
      <c r="V830" s="79"/>
      <c r="W830" s="79"/>
      <c r="X830" s="79"/>
      <c r="Y830" s="79"/>
      <c r="Z830" s="79"/>
      <c r="AA830" s="79"/>
      <c r="AB830" s="79"/>
      <c r="AC830" s="79"/>
    </row>
    <row r="831" spans="1:29" ht="12.75" customHeight="1">
      <c r="A831" s="79"/>
      <c r="B831" s="79"/>
      <c r="C831" s="79"/>
      <c r="D831" s="79"/>
      <c r="E831" s="79"/>
      <c r="F831" s="79"/>
      <c r="G831" s="79"/>
      <c r="H831" s="79"/>
      <c r="I831" s="125"/>
      <c r="J831" s="79"/>
      <c r="K831" s="79"/>
      <c r="L831" s="79"/>
      <c r="M831" s="79"/>
      <c r="N831" s="79"/>
      <c r="O831" s="79"/>
      <c r="P831" s="79"/>
      <c r="Q831" s="79"/>
      <c r="R831" s="79"/>
      <c r="S831" s="79"/>
      <c r="T831" s="79"/>
      <c r="U831" s="79"/>
      <c r="V831" s="79"/>
      <c r="W831" s="79"/>
      <c r="X831" s="79"/>
      <c r="Y831" s="79"/>
      <c r="Z831" s="79"/>
      <c r="AA831" s="79"/>
      <c r="AB831" s="79"/>
      <c r="AC831" s="79"/>
    </row>
    <row r="832" spans="1:29" ht="12.75" customHeight="1">
      <c r="A832" s="79"/>
      <c r="B832" s="79"/>
      <c r="C832" s="79"/>
      <c r="D832" s="79"/>
      <c r="E832" s="79"/>
      <c r="F832" s="79"/>
      <c r="G832" s="79"/>
      <c r="H832" s="79"/>
      <c r="I832" s="125"/>
      <c r="J832" s="79"/>
      <c r="K832" s="79"/>
      <c r="L832" s="79"/>
      <c r="M832" s="79"/>
      <c r="N832" s="79"/>
      <c r="O832" s="79"/>
      <c r="P832" s="79"/>
      <c r="Q832" s="79"/>
      <c r="R832" s="79"/>
      <c r="S832" s="79"/>
      <c r="T832" s="79"/>
      <c r="U832" s="79"/>
      <c r="V832" s="79"/>
      <c r="W832" s="79"/>
      <c r="X832" s="79"/>
      <c r="Y832" s="79"/>
      <c r="Z832" s="79"/>
      <c r="AA832" s="79"/>
      <c r="AB832" s="79"/>
      <c r="AC832" s="79"/>
    </row>
    <row r="833" spans="1:29" ht="12.75" customHeight="1">
      <c r="A833" s="79"/>
      <c r="B833" s="79"/>
      <c r="C833" s="79"/>
      <c r="D833" s="79"/>
      <c r="E833" s="79"/>
      <c r="F833" s="79"/>
      <c r="G833" s="79"/>
      <c r="H833" s="79"/>
      <c r="I833" s="125"/>
      <c r="J833" s="79"/>
      <c r="K833" s="79"/>
      <c r="L833" s="79"/>
      <c r="M833" s="79"/>
      <c r="N833" s="79"/>
      <c r="O833" s="79"/>
      <c r="P833" s="79"/>
      <c r="Q833" s="79"/>
      <c r="R833" s="79"/>
      <c r="S833" s="79"/>
      <c r="T833" s="79"/>
      <c r="U833" s="79"/>
      <c r="V833" s="79"/>
      <c r="W833" s="79"/>
      <c r="X833" s="79"/>
      <c r="Y833" s="79"/>
      <c r="Z833" s="79"/>
      <c r="AA833" s="79"/>
      <c r="AB833" s="79"/>
      <c r="AC833" s="79"/>
    </row>
    <row r="834" spans="1:29" ht="12.75" customHeight="1">
      <c r="A834" s="79"/>
      <c r="B834" s="79"/>
      <c r="C834" s="79"/>
      <c r="D834" s="79"/>
      <c r="E834" s="79"/>
      <c r="F834" s="79"/>
      <c r="G834" s="79"/>
      <c r="H834" s="79"/>
      <c r="I834" s="125"/>
      <c r="J834" s="79"/>
      <c r="K834" s="79"/>
      <c r="L834" s="79"/>
      <c r="M834" s="79"/>
      <c r="N834" s="79"/>
      <c r="O834" s="79"/>
      <c r="P834" s="79"/>
      <c r="Q834" s="79"/>
      <c r="R834" s="79"/>
      <c r="S834" s="79"/>
      <c r="T834" s="79"/>
      <c r="U834" s="79"/>
      <c r="V834" s="79"/>
      <c r="W834" s="79"/>
      <c r="X834" s="79"/>
      <c r="Y834" s="79"/>
      <c r="Z834" s="79"/>
      <c r="AA834" s="79"/>
      <c r="AB834" s="79"/>
      <c r="AC834" s="79"/>
    </row>
    <row r="835" spans="1:29" ht="12.75" customHeight="1">
      <c r="A835" s="79"/>
      <c r="B835" s="79"/>
      <c r="C835" s="79"/>
      <c r="D835" s="79"/>
      <c r="E835" s="79"/>
      <c r="F835" s="79"/>
      <c r="G835" s="79"/>
      <c r="H835" s="79"/>
      <c r="I835" s="125"/>
      <c r="J835" s="79"/>
      <c r="K835" s="79"/>
      <c r="L835" s="79"/>
      <c r="M835" s="79"/>
      <c r="N835" s="79"/>
      <c r="O835" s="79"/>
      <c r="P835" s="79"/>
      <c r="Q835" s="79"/>
      <c r="R835" s="79"/>
      <c r="S835" s="79"/>
      <c r="T835" s="79"/>
      <c r="U835" s="79"/>
      <c r="V835" s="79"/>
      <c r="W835" s="79"/>
      <c r="X835" s="79"/>
      <c r="Y835" s="79"/>
      <c r="Z835" s="79"/>
      <c r="AA835" s="79"/>
      <c r="AB835" s="79"/>
      <c r="AC835" s="79"/>
    </row>
    <row r="836" spans="1:29" ht="12.75" customHeight="1">
      <c r="A836" s="79"/>
      <c r="B836" s="79"/>
      <c r="C836" s="79"/>
      <c r="D836" s="79"/>
      <c r="E836" s="79"/>
      <c r="F836" s="79"/>
      <c r="G836" s="79"/>
      <c r="H836" s="79"/>
      <c r="I836" s="125"/>
      <c r="J836" s="79"/>
      <c r="K836" s="79"/>
      <c r="L836" s="79"/>
      <c r="M836" s="79"/>
      <c r="N836" s="79"/>
      <c r="O836" s="79"/>
      <c r="P836" s="79"/>
      <c r="Q836" s="79"/>
      <c r="R836" s="79"/>
      <c r="S836" s="79"/>
      <c r="T836" s="79"/>
      <c r="U836" s="79"/>
      <c r="V836" s="79"/>
      <c r="W836" s="79"/>
      <c r="X836" s="79"/>
      <c r="Y836" s="79"/>
      <c r="Z836" s="79"/>
      <c r="AA836" s="79"/>
      <c r="AB836" s="79"/>
      <c r="AC836" s="79"/>
    </row>
    <row r="837" spans="1:29" ht="12.75" customHeight="1">
      <c r="A837" s="79"/>
      <c r="B837" s="79"/>
      <c r="C837" s="79"/>
      <c r="D837" s="79"/>
      <c r="E837" s="79"/>
      <c r="F837" s="79"/>
      <c r="G837" s="79"/>
      <c r="H837" s="79"/>
      <c r="I837" s="125"/>
      <c r="J837" s="79"/>
      <c r="K837" s="79"/>
      <c r="L837" s="79"/>
      <c r="M837" s="79"/>
      <c r="N837" s="79"/>
      <c r="O837" s="79"/>
      <c r="P837" s="79"/>
      <c r="Q837" s="79"/>
      <c r="R837" s="79"/>
      <c r="S837" s="79"/>
      <c r="T837" s="79"/>
      <c r="U837" s="79"/>
      <c r="V837" s="79"/>
      <c r="W837" s="79"/>
      <c r="X837" s="79"/>
      <c r="Y837" s="79"/>
      <c r="Z837" s="79"/>
      <c r="AA837" s="79"/>
      <c r="AB837" s="79"/>
      <c r="AC837" s="79"/>
    </row>
    <row r="838" spans="1:29" ht="12.75" customHeight="1">
      <c r="A838" s="79"/>
      <c r="B838" s="79"/>
      <c r="C838" s="79"/>
      <c r="D838" s="79"/>
      <c r="E838" s="79"/>
      <c r="F838" s="79"/>
      <c r="G838" s="79"/>
      <c r="H838" s="79"/>
      <c r="I838" s="125"/>
      <c r="J838" s="79"/>
      <c r="K838" s="79"/>
      <c r="L838" s="79"/>
      <c r="M838" s="79"/>
      <c r="N838" s="79"/>
      <c r="O838" s="79"/>
      <c r="P838" s="79"/>
      <c r="Q838" s="79"/>
      <c r="R838" s="79"/>
      <c r="S838" s="79"/>
      <c r="T838" s="79"/>
      <c r="U838" s="79"/>
      <c r="V838" s="79"/>
      <c r="W838" s="79"/>
      <c r="X838" s="79"/>
      <c r="Y838" s="79"/>
      <c r="Z838" s="79"/>
      <c r="AA838" s="79"/>
      <c r="AB838" s="79"/>
      <c r="AC838" s="79"/>
    </row>
    <row r="839" spans="1:29" ht="12.75" customHeight="1">
      <c r="A839" s="79"/>
      <c r="B839" s="79"/>
      <c r="C839" s="79"/>
      <c r="D839" s="79"/>
      <c r="E839" s="79"/>
      <c r="F839" s="79"/>
      <c r="G839" s="79"/>
      <c r="H839" s="79"/>
      <c r="I839" s="125"/>
      <c r="J839" s="79"/>
      <c r="K839" s="79"/>
      <c r="L839" s="79"/>
      <c r="M839" s="79"/>
      <c r="N839" s="79"/>
      <c r="O839" s="79"/>
      <c r="P839" s="79"/>
      <c r="Q839" s="79"/>
      <c r="R839" s="79"/>
      <c r="S839" s="79"/>
      <c r="T839" s="79"/>
      <c r="U839" s="79"/>
      <c r="V839" s="79"/>
      <c r="W839" s="79"/>
      <c r="X839" s="79"/>
      <c r="Y839" s="79"/>
      <c r="Z839" s="79"/>
      <c r="AA839" s="79"/>
      <c r="AB839" s="79"/>
      <c r="AC839" s="79"/>
    </row>
    <row r="840" spans="1:29" ht="12.75" customHeight="1">
      <c r="A840" s="79"/>
      <c r="B840" s="79"/>
      <c r="C840" s="79"/>
      <c r="D840" s="79"/>
      <c r="E840" s="79"/>
      <c r="F840" s="79"/>
      <c r="G840" s="79"/>
      <c r="H840" s="79"/>
      <c r="I840" s="125"/>
      <c r="J840" s="79"/>
      <c r="K840" s="79"/>
      <c r="L840" s="79"/>
      <c r="M840" s="79"/>
      <c r="N840" s="79"/>
      <c r="O840" s="79"/>
      <c r="P840" s="79"/>
      <c r="Q840" s="79"/>
      <c r="R840" s="79"/>
      <c r="S840" s="79"/>
      <c r="T840" s="79"/>
      <c r="U840" s="79"/>
      <c r="V840" s="79"/>
      <c r="W840" s="79"/>
      <c r="X840" s="79"/>
      <c r="Y840" s="79"/>
      <c r="Z840" s="79"/>
      <c r="AA840" s="79"/>
      <c r="AB840" s="79"/>
      <c r="AC840" s="79"/>
    </row>
    <row r="841" spans="1:29" ht="12.75" customHeight="1">
      <c r="A841" s="79"/>
      <c r="B841" s="79"/>
      <c r="C841" s="79"/>
      <c r="D841" s="79"/>
      <c r="E841" s="79"/>
      <c r="F841" s="79"/>
      <c r="G841" s="79"/>
      <c r="H841" s="79"/>
      <c r="I841" s="125"/>
      <c r="J841" s="79"/>
      <c r="K841" s="79"/>
      <c r="L841" s="79"/>
      <c r="M841" s="79"/>
      <c r="N841" s="79"/>
      <c r="O841" s="79"/>
      <c r="P841" s="79"/>
      <c r="Q841" s="79"/>
      <c r="R841" s="79"/>
      <c r="S841" s="79"/>
      <c r="T841" s="79"/>
      <c r="U841" s="79"/>
      <c r="V841" s="79"/>
      <c r="W841" s="79"/>
      <c r="X841" s="79"/>
      <c r="Y841" s="79"/>
      <c r="Z841" s="79"/>
      <c r="AA841" s="79"/>
      <c r="AB841" s="79"/>
      <c r="AC841" s="79"/>
    </row>
    <row r="842" spans="1:29" ht="12.75" customHeight="1">
      <c r="A842" s="79"/>
      <c r="B842" s="79"/>
      <c r="C842" s="79"/>
      <c r="D842" s="79"/>
      <c r="E842" s="79"/>
      <c r="F842" s="79"/>
      <c r="G842" s="79"/>
      <c r="H842" s="79"/>
      <c r="I842" s="125"/>
      <c r="J842" s="79"/>
      <c r="K842" s="79"/>
      <c r="L842" s="79"/>
      <c r="M842" s="79"/>
      <c r="N842" s="79"/>
      <c r="O842" s="79"/>
      <c r="P842" s="79"/>
      <c r="Q842" s="79"/>
      <c r="R842" s="79"/>
      <c r="S842" s="79"/>
      <c r="T842" s="79"/>
      <c r="U842" s="79"/>
      <c r="V842" s="79"/>
      <c r="W842" s="79"/>
      <c r="X842" s="79"/>
      <c r="Y842" s="79"/>
      <c r="Z842" s="79"/>
      <c r="AA842" s="79"/>
      <c r="AB842" s="79"/>
      <c r="AC842" s="79"/>
    </row>
    <row r="843" spans="1:29" ht="12.75" customHeight="1">
      <c r="A843" s="79"/>
      <c r="B843" s="79"/>
      <c r="C843" s="79"/>
      <c r="D843" s="79"/>
      <c r="E843" s="79"/>
      <c r="F843" s="79"/>
      <c r="G843" s="79"/>
      <c r="H843" s="79"/>
      <c r="I843" s="125"/>
      <c r="J843" s="79"/>
      <c r="K843" s="79"/>
      <c r="L843" s="79"/>
      <c r="M843" s="79"/>
      <c r="N843" s="79"/>
      <c r="O843" s="79"/>
      <c r="P843" s="79"/>
      <c r="Q843" s="79"/>
      <c r="R843" s="79"/>
      <c r="S843" s="79"/>
      <c r="T843" s="79"/>
      <c r="U843" s="79"/>
      <c r="V843" s="79"/>
      <c r="W843" s="79"/>
      <c r="X843" s="79"/>
      <c r="Y843" s="79"/>
      <c r="Z843" s="79"/>
      <c r="AA843" s="79"/>
      <c r="AB843" s="79"/>
      <c r="AC843" s="79"/>
    </row>
    <row r="844" spans="1:29" ht="12.75" customHeight="1">
      <c r="A844" s="79"/>
      <c r="B844" s="79"/>
      <c r="C844" s="79"/>
      <c r="D844" s="79"/>
      <c r="E844" s="79"/>
      <c r="F844" s="79"/>
      <c r="G844" s="79"/>
      <c r="H844" s="79"/>
      <c r="I844" s="125"/>
      <c r="J844" s="79"/>
      <c r="K844" s="79"/>
      <c r="L844" s="79"/>
      <c r="M844" s="79"/>
      <c r="N844" s="79"/>
      <c r="O844" s="79"/>
      <c r="P844" s="79"/>
      <c r="Q844" s="79"/>
      <c r="R844" s="79"/>
      <c r="S844" s="79"/>
      <c r="T844" s="79"/>
      <c r="U844" s="79"/>
      <c r="V844" s="79"/>
      <c r="W844" s="79"/>
      <c r="X844" s="79"/>
      <c r="Y844" s="79"/>
      <c r="Z844" s="79"/>
      <c r="AA844" s="79"/>
      <c r="AB844" s="79"/>
      <c r="AC844" s="79"/>
    </row>
    <row r="845" spans="1:29" ht="12.75" customHeight="1">
      <c r="A845" s="79"/>
      <c r="B845" s="79"/>
      <c r="C845" s="79"/>
      <c r="D845" s="79"/>
      <c r="E845" s="79"/>
      <c r="F845" s="79"/>
      <c r="G845" s="79"/>
      <c r="H845" s="79"/>
      <c r="I845" s="125"/>
      <c r="J845" s="79"/>
      <c r="K845" s="79"/>
      <c r="L845" s="79"/>
      <c r="M845" s="79"/>
      <c r="N845" s="79"/>
      <c r="O845" s="79"/>
      <c r="P845" s="79"/>
      <c r="Q845" s="79"/>
      <c r="R845" s="79"/>
      <c r="S845" s="79"/>
      <c r="T845" s="79"/>
      <c r="U845" s="79"/>
      <c r="V845" s="79"/>
      <c r="W845" s="79"/>
      <c r="X845" s="79"/>
      <c r="Y845" s="79"/>
      <c r="Z845" s="79"/>
      <c r="AA845" s="79"/>
      <c r="AB845" s="79"/>
      <c r="AC845" s="79"/>
    </row>
    <row r="846" spans="1:29" ht="12.75" customHeight="1">
      <c r="A846" s="79"/>
      <c r="B846" s="79"/>
      <c r="C846" s="79"/>
      <c r="D846" s="79"/>
      <c r="E846" s="79"/>
      <c r="F846" s="79"/>
      <c r="G846" s="79"/>
      <c r="H846" s="79"/>
      <c r="I846" s="125"/>
      <c r="J846" s="79"/>
      <c r="K846" s="79"/>
      <c r="L846" s="79"/>
      <c r="M846" s="79"/>
      <c r="N846" s="79"/>
      <c r="O846" s="79"/>
      <c r="P846" s="79"/>
      <c r="Q846" s="79"/>
      <c r="R846" s="79"/>
      <c r="S846" s="79"/>
      <c r="T846" s="79"/>
      <c r="U846" s="79"/>
      <c r="V846" s="79"/>
      <c r="W846" s="79"/>
      <c r="X846" s="79"/>
      <c r="Y846" s="79"/>
      <c r="Z846" s="79"/>
      <c r="AA846" s="79"/>
      <c r="AB846" s="79"/>
      <c r="AC846" s="79"/>
    </row>
    <row r="847" spans="1:29" ht="12.75" customHeight="1">
      <c r="A847" s="79"/>
      <c r="B847" s="79"/>
      <c r="C847" s="79"/>
      <c r="D847" s="79"/>
      <c r="E847" s="79"/>
      <c r="F847" s="79"/>
      <c r="G847" s="79"/>
      <c r="H847" s="79"/>
      <c r="I847" s="125"/>
      <c r="J847" s="79"/>
      <c r="K847" s="79"/>
      <c r="L847" s="79"/>
      <c r="M847" s="79"/>
      <c r="N847" s="79"/>
      <c r="O847" s="79"/>
      <c r="P847" s="79"/>
      <c r="Q847" s="79"/>
      <c r="R847" s="79"/>
      <c r="S847" s="79"/>
      <c r="T847" s="79"/>
      <c r="U847" s="79"/>
      <c r="V847" s="79"/>
      <c r="W847" s="79"/>
      <c r="X847" s="79"/>
      <c r="Y847" s="79"/>
      <c r="Z847" s="79"/>
      <c r="AA847" s="79"/>
      <c r="AB847" s="79"/>
      <c r="AC847" s="79"/>
    </row>
    <row r="848" spans="1:29" ht="12.75" customHeight="1">
      <c r="A848" s="79"/>
      <c r="B848" s="79"/>
      <c r="C848" s="79"/>
      <c r="D848" s="79"/>
      <c r="E848" s="79"/>
      <c r="F848" s="79"/>
      <c r="G848" s="79"/>
      <c r="H848" s="79"/>
      <c r="I848" s="125"/>
      <c r="J848" s="79"/>
      <c r="K848" s="79"/>
      <c r="L848" s="79"/>
      <c r="M848" s="79"/>
      <c r="N848" s="79"/>
      <c r="O848" s="79"/>
      <c r="P848" s="79"/>
      <c r="Q848" s="79"/>
      <c r="R848" s="79"/>
      <c r="S848" s="79"/>
      <c r="T848" s="79"/>
      <c r="U848" s="79"/>
      <c r="V848" s="79"/>
      <c r="W848" s="79"/>
      <c r="X848" s="79"/>
      <c r="Y848" s="79"/>
      <c r="Z848" s="79"/>
      <c r="AA848" s="79"/>
      <c r="AB848" s="79"/>
      <c r="AC848" s="79"/>
    </row>
    <row r="849" spans="1:29" ht="12.75" customHeight="1">
      <c r="A849" s="79"/>
      <c r="B849" s="79"/>
      <c r="C849" s="79"/>
      <c r="D849" s="79"/>
      <c r="E849" s="79"/>
      <c r="F849" s="79"/>
      <c r="G849" s="79"/>
      <c r="H849" s="79"/>
      <c r="I849" s="125"/>
      <c r="J849" s="79"/>
      <c r="K849" s="79"/>
      <c r="L849" s="79"/>
      <c r="M849" s="79"/>
      <c r="N849" s="79"/>
      <c r="O849" s="79"/>
      <c r="P849" s="79"/>
      <c r="Q849" s="79"/>
      <c r="R849" s="79"/>
      <c r="S849" s="79"/>
      <c r="T849" s="79"/>
      <c r="U849" s="79"/>
      <c r="V849" s="79"/>
      <c r="W849" s="79"/>
      <c r="X849" s="79"/>
      <c r="Y849" s="79"/>
      <c r="Z849" s="79"/>
      <c r="AA849" s="79"/>
      <c r="AB849" s="79"/>
      <c r="AC849" s="79"/>
    </row>
    <row r="850" spans="1:29" ht="12.75" customHeight="1">
      <c r="A850" s="79"/>
      <c r="B850" s="79"/>
      <c r="C850" s="79"/>
      <c r="D850" s="79"/>
      <c r="E850" s="79"/>
      <c r="F850" s="79"/>
      <c r="G850" s="79"/>
      <c r="H850" s="79"/>
      <c r="I850" s="125"/>
      <c r="J850" s="79"/>
      <c r="K850" s="79"/>
      <c r="L850" s="79"/>
      <c r="M850" s="79"/>
      <c r="N850" s="79"/>
      <c r="O850" s="79"/>
      <c r="P850" s="79"/>
      <c r="Q850" s="79"/>
      <c r="R850" s="79"/>
      <c r="S850" s="79"/>
      <c r="T850" s="79"/>
      <c r="U850" s="79"/>
      <c r="V850" s="79"/>
      <c r="W850" s="79"/>
      <c r="X850" s="79"/>
      <c r="Y850" s="79"/>
      <c r="Z850" s="79"/>
      <c r="AA850" s="79"/>
      <c r="AB850" s="79"/>
      <c r="AC850" s="79"/>
    </row>
    <row r="851" spans="1:29" ht="12.75" customHeight="1">
      <c r="A851" s="79"/>
      <c r="B851" s="79"/>
      <c r="C851" s="79"/>
      <c r="D851" s="79"/>
      <c r="E851" s="79"/>
      <c r="F851" s="79"/>
      <c r="G851" s="79"/>
      <c r="H851" s="79"/>
      <c r="I851" s="125"/>
      <c r="J851" s="79"/>
      <c r="K851" s="79"/>
      <c r="L851" s="79"/>
      <c r="M851" s="79"/>
      <c r="N851" s="79"/>
      <c r="O851" s="79"/>
      <c r="P851" s="79"/>
      <c r="Q851" s="79"/>
      <c r="R851" s="79"/>
      <c r="S851" s="79"/>
      <c r="T851" s="79"/>
      <c r="U851" s="79"/>
      <c r="V851" s="79"/>
      <c r="W851" s="79"/>
      <c r="X851" s="79"/>
      <c r="Y851" s="79"/>
      <c r="Z851" s="79"/>
      <c r="AA851" s="79"/>
      <c r="AB851" s="79"/>
      <c r="AC851" s="79"/>
    </row>
    <row r="852" spans="1:29" ht="12.75" customHeight="1">
      <c r="A852" s="79"/>
      <c r="B852" s="79"/>
      <c r="C852" s="79"/>
      <c r="D852" s="79"/>
      <c r="E852" s="79"/>
      <c r="F852" s="79"/>
      <c r="G852" s="79"/>
      <c r="H852" s="79"/>
      <c r="I852" s="125"/>
      <c r="J852" s="79"/>
      <c r="K852" s="79"/>
      <c r="L852" s="79"/>
      <c r="M852" s="79"/>
      <c r="N852" s="79"/>
      <c r="O852" s="79"/>
      <c r="P852" s="79"/>
      <c r="Q852" s="79"/>
      <c r="R852" s="79"/>
      <c r="S852" s="79"/>
      <c r="T852" s="79"/>
      <c r="U852" s="79"/>
      <c r="V852" s="79"/>
      <c r="W852" s="79"/>
      <c r="X852" s="79"/>
      <c r="Y852" s="79"/>
      <c r="Z852" s="79"/>
      <c r="AA852" s="79"/>
      <c r="AB852" s="79"/>
      <c r="AC852" s="79"/>
    </row>
    <row r="853" spans="1:29" ht="12.75" customHeight="1">
      <c r="A853" s="79"/>
      <c r="B853" s="79"/>
      <c r="C853" s="79"/>
      <c r="D853" s="79"/>
      <c r="E853" s="79"/>
      <c r="F853" s="79"/>
      <c r="G853" s="79"/>
      <c r="H853" s="79"/>
      <c r="I853" s="125"/>
      <c r="J853" s="79"/>
      <c r="K853" s="79"/>
      <c r="L853" s="79"/>
      <c r="M853" s="79"/>
      <c r="N853" s="79"/>
      <c r="O853" s="79"/>
      <c r="P853" s="79"/>
      <c r="Q853" s="79"/>
      <c r="R853" s="79"/>
      <c r="S853" s="79"/>
      <c r="T853" s="79"/>
      <c r="U853" s="79"/>
      <c r="V853" s="79"/>
      <c r="W853" s="79"/>
      <c r="X853" s="79"/>
      <c r="Y853" s="79"/>
      <c r="Z853" s="79"/>
      <c r="AA853" s="79"/>
      <c r="AB853" s="79"/>
      <c r="AC853" s="79"/>
    </row>
    <row r="854" spans="1:29" ht="12.75" customHeight="1">
      <c r="A854" s="79"/>
      <c r="B854" s="79"/>
      <c r="C854" s="79"/>
      <c r="D854" s="79"/>
      <c r="E854" s="79"/>
      <c r="F854" s="79"/>
      <c r="G854" s="79"/>
      <c r="H854" s="79"/>
      <c r="I854" s="125"/>
      <c r="J854" s="79"/>
      <c r="K854" s="79"/>
      <c r="L854" s="79"/>
      <c r="M854" s="79"/>
      <c r="N854" s="79"/>
      <c r="O854" s="79"/>
      <c r="P854" s="79"/>
      <c r="Q854" s="79"/>
      <c r="R854" s="79"/>
      <c r="S854" s="79"/>
      <c r="T854" s="79"/>
      <c r="U854" s="79"/>
      <c r="V854" s="79"/>
      <c r="W854" s="79"/>
      <c r="X854" s="79"/>
      <c r="Y854" s="79"/>
      <c r="Z854" s="79"/>
      <c r="AA854" s="79"/>
      <c r="AB854" s="79"/>
      <c r="AC854" s="79"/>
    </row>
    <row r="855" spans="1:29" ht="12.75" customHeight="1">
      <c r="A855" s="79"/>
      <c r="B855" s="79"/>
      <c r="C855" s="79"/>
      <c r="D855" s="79"/>
      <c r="E855" s="79"/>
      <c r="F855" s="79"/>
      <c r="G855" s="79"/>
      <c r="H855" s="79"/>
      <c r="I855" s="125"/>
      <c r="J855" s="79"/>
      <c r="K855" s="79"/>
      <c r="L855" s="79"/>
      <c r="M855" s="79"/>
      <c r="N855" s="79"/>
      <c r="O855" s="79"/>
      <c r="P855" s="79"/>
      <c r="Q855" s="79"/>
      <c r="R855" s="79"/>
      <c r="S855" s="79"/>
      <c r="T855" s="79"/>
      <c r="U855" s="79"/>
      <c r="V855" s="79"/>
      <c r="W855" s="79"/>
      <c r="X855" s="79"/>
      <c r="Y855" s="79"/>
      <c r="Z855" s="79"/>
      <c r="AA855" s="79"/>
      <c r="AB855" s="79"/>
      <c r="AC855" s="79"/>
    </row>
    <row r="856" spans="1:29" ht="12.75" customHeight="1">
      <c r="A856" s="79"/>
      <c r="B856" s="79"/>
      <c r="C856" s="79"/>
      <c r="D856" s="79"/>
      <c r="E856" s="79"/>
      <c r="F856" s="79"/>
      <c r="G856" s="79"/>
      <c r="H856" s="79"/>
      <c r="I856" s="125"/>
      <c r="J856" s="79"/>
      <c r="K856" s="79"/>
      <c r="L856" s="79"/>
      <c r="M856" s="79"/>
      <c r="N856" s="79"/>
      <c r="O856" s="79"/>
      <c r="P856" s="79"/>
      <c r="Q856" s="79"/>
      <c r="R856" s="79"/>
      <c r="S856" s="79"/>
      <c r="T856" s="79"/>
      <c r="U856" s="79"/>
      <c r="V856" s="79"/>
      <c r="W856" s="79"/>
      <c r="X856" s="79"/>
      <c r="Y856" s="79"/>
      <c r="Z856" s="79"/>
      <c r="AA856" s="79"/>
      <c r="AB856" s="79"/>
      <c r="AC856" s="79"/>
    </row>
    <row r="857" spans="1:29" ht="12.75" customHeight="1">
      <c r="A857" s="79"/>
      <c r="B857" s="79"/>
      <c r="C857" s="79"/>
      <c r="D857" s="79"/>
      <c r="E857" s="79"/>
      <c r="F857" s="79"/>
      <c r="G857" s="79"/>
      <c r="H857" s="79"/>
      <c r="I857" s="125"/>
      <c r="J857" s="79"/>
      <c r="K857" s="79"/>
      <c r="L857" s="79"/>
      <c r="M857" s="79"/>
      <c r="N857" s="79"/>
      <c r="O857" s="79"/>
      <c r="P857" s="79"/>
      <c r="Q857" s="79"/>
      <c r="R857" s="79"/>
      <c r="S857" s="79"/>
      <c r="T857" s="79"/>
      <c r="U857" s="79"/>
      <c r="V857" s="79"/>
      <c r="W857" s="79"/>
      <c r="X857" s="79"/>
      <c r="Y857" s="79"/>
      <c r="Z857" s="79"/>
      <c r="AA857" s="79"/>
      <c r="AB857" s="79"/>
      <c r="AC857" s="79"/>
    </row>
    <row r="858" spans="1:29" ht="12.75" customHeight="1">
      <c r="A858" s="79"/>
      <c r="B858" s="79"/>
      <c r="C858" s="79"/>
      <c r="D858" s="79"/>
      <c r="E858" s="79"/>
      <c r="F858" s="79"/>
      <c r="G858" s="79"/>
      <c r="H858" s="79"/>
      <c r="I858" s="125"/>
      <c r="J858" s="79"/>
      <c r="K858" s="79"/>
      <c r="L858" s="79"/>
      <c r="M858" s="79"/>
      <c r="N858" s="79"/>
      <c r="O858" s="79"/>
      <c r="P858" s="79"/>
      <c r="Q858" s="79"/>
      <c r="R858" s="79"/>
      <c r="S858" s="79"/>
      <c r="T858" s="79"/>
      <c r="U858" s="79"/>
      <c r="V858" s="79"/>
      <c r="W858" s="79"/>
      <c r="X858" s="79"/>
      <c r="Y858" s="79"/>
      <c r="Z858" s="79"/>
      <c r="AA858" s="79"/>
      <c r="AB858" s="79"/>
      <c r="AC858" s="79"/>
    </row>
    <row r="859" spans="1:29" ht="12.75" customHeight="1">
      <c r="A859" s="79"/>
      <c r="B859" s="79"/>
      <c r="C859" s="79"/>
      <c r="D859" s="79"/>
      <c r="E859" s="79"/>
      <c r="F859" s="79"/>
      <c r="G859" s="79"/>
      <c r="H859" s="79"/>
      <c r="I859" s="125"/>
      <c r="J859" s="79"/>
      <c r="K859" s="79"/>
      <c r="L859" s="79"/>
      <c r="M859" s="79"/>
      <c r="N859" s="79"/>
      <c r="O859" s="79"/>
      <c r="P859" s="79"/>
      <c r="Q859" s="79"/>
      <c r="R859" s="79"/>
      <c r="S859" s="79"/>
      <c r="T859" s="79"/>
      <c r="U859" s="79"/>
      <c r="V859" s="79"/>
      <c r="W859" s="79"/>
      <c r="X859" s="79"/>
      <c r="Y859" s="79"/>
      <c r="Z859" s="79"/>
      <c r="AA859" s="79"/>
      <c r="AB859" s="79"/>
      <c r="AC859" s="79"/>
    </row>
    <row r="860" spans="1:29" ht="12.75" customHeight="1">
      <c r="A860" s="79"/>
      <c r="B860" s="79"/>
      <c r="C860" s="79"/>
      <c r="D860" s="79"/>
      <c r="E860" s="79"/>
      <c r="F860" s="79"/>
      <c r="G860" s="79"/>
      <c r="H860" s="79"/>
      <c r="I860" s="125"/>
      <c r="J860" s="79"/>
      <c r="K860" s="79"/>
      <c r="L860" s="79"/>
      <c r="M860" s="79"/>
      <c r="N860" s="79"/>
      <c r="O860" s="79"/>
      <c r="P860" s="79"/>
      <c r="Q860" s="79"/>
      <c r="R860" s="79"/>
      <c r="S860" s="79"/>
      <c r="T860" s="79"/>
      <c r="U860" s="79"/>
      <c r="V860" s="79"/>
      <c r="W860" s="79"/>
      <c r="X860" s="79"/>
      <c r="Y860" s="79"/>
      <c r="Z860" s="79"/>
      <c r="AA860" s="79"/>
      <c r="AB860" s="79"/>
      <c r="AC860" s="79"/>
    </row>
    <row r="861" spans="1:29" ht="12.75" customHeight="1">
      <c r="A861" s="79"/>
      <c r="B861" s="79"/>
      <c r="C861" s="79"/>
      <c r="D861" s="79"/>
      <c r="E861" s="79"/>
      <c r="F861" s="79"/>
      <c r="G861" s="79"/>
      <c r="H861" s="79"/>
      <c r="I861" s="125"/>
      <c r="J861" s="79"/>
      <c r="K861" s="79"/>
      <c r="L861" s="79"/>
      <c r="M861" s="79"/>
      <c r="N861" s="79"/>
      <c r="O861" s="79"/>
      <c r="P861" s="79"/>
      <c r="Q861" s="79"/>
      <c r="R861" s="79"/>
      <c r="S861" s="79"/>
      <c r="T861" s="79"/>
      <c r="U861" s="79"/>
      <c r="V861" s="79"/>
      <c r="W861" s="79"/>
      <c r="X861" s="79"/>
      <c r="Y861" s="79"/>
      <c r="Z861" s="79"/>
      <c r="AA861" s="79"/>
      <c r="AB861" s="79"/>
      <c r="AC861" s="79"/>
    </row>
    <row r="862" spans="1:29" ht="12.75" customHeight="1">
      <c r="A862" s="79"/>
      <c r="B862" s="79"/>
      <c r="C862" s="79"/>
      <c r="D862" s="79"/>
      <c r="E862" s="79"/>
      <c r="F862" s="79"/>
      <c r="G862" s="79"/>
      <c r="H862" s="79"/>
      <c r="I862" s="125"/>
      <c r="J862" s="79"/>
      <c r="K862" s="79"/>
      <c r="L862" s="79"/>
      <c r="M862" s="79"/>
      <c r="N862" s="79"/>
      <c r="O862" s="79"/>
      <c r="P862" s="79"/>
      <c r="Q862" s="79"/>
      <c r="R862" s="79"/>
      <c r="S862" s="79"/>
      <c r="T862" s="79"/>
      <c r="U862" s="79"/>
      <c r="V862" s="79"/>
      <c r="W862" s="79"/>
      <c r="X862" s="79"/>
      <c r="Y862" s="79"/>
      <c r="Z862" s="79"/>
      <c r="AA862" s="79"/>
      <c r="AB862" s="79"/>
      <c r="AC862" s="79"/>
    </row>
    <row r="863" spans="1:29" ht="12.75" customHeight="1">
      <c r="A863" s="79"/>
      <c r="B863" s="79"/>
      <c r="C863" s="79"/>
      <c r="D863" s="79"/>
      <c r="E863" s="79"/>
      <c r="F863" s="79"/>
      <c r="G863" s="79"/>
      <c r="H863" s="79"/>
      <c r="I863" s="125"/>
      <c r="J863" s="79"/>
      <c r="K863" s="79"/>
      <c r="L863" s="79"/>
      <c r="M863" s="79"/>
      <c r="N863" s="79"/>
      <c r="O863" s="79"/>
      <c r="P863" s="79"/>
      <c r="Q863" s="79"/>
      <c r="R863" s="79"/>
      <c r="S863" s="79"/>
      <c r="T863" s="79"/>
      <c r="U863" s="79"/>
      <c r="V863" s="79"/>
      <c r="W863" s="79"/>
      <c r="X863" s="79"/>
      <c r="Y863" s="79"/>
      <c r="Z863" s="79"/>
      <c r="AA863" s="79"/>
      <c r="AB863" s="79"/>
      <c r="AC863" s="79"/>
    </row>
    <row r="864" spans="1:29" ht="12.75" customHeight="1">
      <c r="A864" s="79"/>
      <c r="B864" s="79"/>
      <c r="C864" s="79"/>
      <c r="D864" s="79"/>
      <c r="E864" s="79"/>
      <c r="F864" s="79"/>
      <c r="G864" s="79"/>
      <c r="H864" s="79"/>
      <c r="I864" s="125"/>
      <c r="J864" s="79"/>
      <c r="K864" s="79"/>
      <c r="L864" s="79"/>
      <c r="M864" s="79"/>
      <c r="N864" s="79"/>
      <c r="O864" s="79"/>
      <c r="P864" s="79"/>
      <c r="Q864" s="79"/>
      <c r="R864" s="79"/>
      <c r="S864" s="79"/>
      <c r="T864" s="79"/>
      <c r="U864" s="79"/>
      <c r="V864" s="79"/>
      <c r="W864" s="79"/>
      <c r="X864" s="79"/>
      <c r="Y864" s="79"/>
      <c r="Z864" s="79"/>
      <c r="AA864" s="79"/>
      <c r="AB864" s="79"/>
      <c r="AC864" s="79"/>
    </row>
    <row r="865" spans="1:29" ht="12.75" customHeight="1">
      <c r="A865" s="79"/>
      <c r="B865" s="79"/>
      <c r="C865" s="79"/>
      <c r="D865" s="79"/>
      <c r="E865" s="79"/>
      <c r="F865" s="79"/>
      <c r="G865" s="79"/>
      <c r="H865" s="79"/>
      <c r="I865" s="125"/>
      <c r="J865" s="79"/>
      <c r="K865" s="79"/>
      <c r="L865" s="79"/>
      <c r="M865" s="79"/>
      <c r="N865" s="79"/>
      <c r="O865" s="79"/>
      <c r="P865" s="79"/>
      <c r="Q865" s="79"/>
      <c r="R865" s="79"/>
      <c r="S865" s="79"/>
      <c r="T865" s="79"/>
      <c r="U865" s="79"/>
      <c r="V865" s="79"/>
      <c r="W865" s="79"/>
      <c r="X865" s="79"/>
      <c r="Y865" s="79"/>
      <c r="Z865" s="79"/>
      <c r="AA865" s="79"/>
      <c r="AB865" s="79"/>
      <c r="AC865" s="79"/>
    </row>
    <row r="866" spans="1:29" ht="12.75" customHeight="1">
      <c r="A866" s="79"/>
      <c r="B866" s="79"/>
      <c r="C866" s="79"/>
      <c r="D866" s="79"/>
      <c r="E866" s="79"/>
      <c r="F866" s="79"/>
      <c r="G866" s="79"/>
      <c r="H866" s="79"/>
      <c r="I866" s="125"/>
      <c r="J866" s="79"/>
      <c r="K866" s="79"/>
      <c r="L866" s="79"/>
      <c r="M866" s="79"/>
      <c r="N866" s="79"/>
      <c r="O866" s="79"/>
      <c r="P866" s="79"/>
      <c r="Q866" s="79"/>
      <c r="R866" s="79"/>
      <c r="S866" s="79"/>
      <c r="T866" s="79"/>
      <c r="U866" s="79"/>
      <c r="V866" s="79"/>
      <c r="W866" s="79"/>
      <c r="X866" s="79"/>
      <c r="Y866" s="79"/>
      <c r="Z866" s="79"/>
      <c r="AA866" s="79"/>
      <c r="AB866" s="79"/>
      <c r="AC866" s="79"/>
    </row>
    <row r="867" spans="1:29" ht="12.75" customHeight="1">
      <c r="A867" s="79"/>
      <c r="B867" s="79"/>
      <c r="C867" s="79"/>
      <c r="D867" s="79"/>
      <c r="E867" s="79"/>
      <c r="F867" s="79"/>
      <c r="G867" s="79"/>
      <c r="H867" s="79"/>
      <c r="I867" s="125"/>
      <c r="J867" s="79"/>
      <c r="K867" s="79"/>
      <c r="L867" s="79"/>
      <c r="M867" s="79"/>
      <c r="N867" s="79"/>
      <c r="O867" s="79"/>
      <c r="P867" s="79"/>
      <c r="Q867" s="79"/>
      <c r="R867" s="79"/>
      <c r="S867" s="79"/>
      <c r="T867" s="79"/>
      <c r="U867" s="79"/>
      <c r="V867" s="79"/>
      <c r="W867" s="79"/>
      <c r="X867" s="79"/>
      <c r="Y867" s="79"/>
      <c r="Z867" s="79"/>
      <c r="AA867" s="79"/>
      <c r="AB867" s="79"/>
      <c r="AC867" s="79"/>
    </row>
    <row r="868" spans="1:29" ht="12.75" customHeight="1">
      <c r="A868" s="79"/>
      <c r="B868" s="79"/>
      <c r="C868" s="79"/>
      <c r="D868" s="79"/>
      <c r="E868" s="79"/>
      <c r="F868" s="79"/>
      <c r="G868" s="79"/>
      <c r="H868" s="79"/>
      <c r="I868" s="125"/>
      <c r="J868" s="79"/>
      <c r="K868" s="79"/>
      <c r="L868" s="79"/>
      <c r="M868" s="79"/>
      <c r="N868" s="79"/>
      <c r="O868" s="79"/>
      <c r="P868" s="79"/>
      <c r="Q868" s="79"/>
      <c r="R868" s="79"/>
      <c r="S868" s="79"/>
      <c r="T868" s="79"/>
      <c r="U868" s="79"/>
      <c r="V868" s="79"/>
      <c r="W868" s="79"/>
      <c r="X868" s="79"/>
      <c r="Y868" s="79"/>
      <c r="Z868" s="79"/>
      <c r="AA868" s="79"/>
      <c r="AB868" s="79"/>
      <c r="AC868" s="79"/>
    </row>
    <row r="869" spans="1:29" ht="12.75" customHeight="1">
      <c r="A869" s="79"/>
      <c r="B869" s="79"/>
      <c r="C869" s="79"/>
      <c r="D869" s="79"/>
      <c r="E869" s="79"/>
      <c r="F869" s="79"/>
      <c r="G869" s="79"/>
      <c r="H869" s="79"/>
      <c r="I869" s="125"/>
      <c r="J869" s="79"/>
      <c r="K869" s="79"/>
      <c r="L869" s="79"/>
      <c r="M869" s="79"/>
      <c r="N869" s="79"/>
      <c r="O869" s="79"/>
      <c r="P869" s="79"/>
      <c r="Q869" s="79"/>
      <c r="R869" s="79"/>
      <c r="S869" s="79"/>
      <c r="T869" s="79"/>
      <c r="U869" s="79"/>
      <c r="V869" s="79"/>
      <c r="W869" s="79"/>
      <c r="X869" s="79"/>
      <c r="Y869" s="79"/>
      <c r="Z869" s="79"/>
      <c r="AA869" s="79"/>
      <c r="AB869" s="79"/>
      <c r="AC869" s="79"/>
    </row>
    <row r="870" spans="1:29" ht="12.75" customHeight="1">
      <c r="A870" s="79"/>
      <c r="B870" s="79"/>
      <c r="C870" s="79"/>
      <c r="D870" s="79"/>
      <c r="E870" s="79"/>
      <c r="F870" s="79"/>
      <c r="G870" s="79"/>
      <c r="H870" s="79"/>
      <c r="I870" s="125"/>
      <c r="J870" s="79"/>
      <c r="K870" s="79"/>
      <c r="L870" s="79"/>
      <c r="M870" s="79"/>
      <c r="N870" s="79"/>
      <c r="O870" s="79"/>
      <c r="P870" s="79"/>
      <c r="Q870" s="79"/>
      <c r="R870" s="79"/>
      <c r="S870" s="79"/>
      <c r="T870" s="79"/>
      <c r="U870" s="79"/>
      <c r="V870" s="79"/>
      <c r="W870" s="79"/>
      <c r="X870" s="79"/>
      <c r="Y870" s="79"/>
      <c r="Z870" s="79"/>
      <c r="AA870" s="79"/>
      <c r="AB870" s="79"/>
      <c r="AC870" s="79"/>
    </row>
    <row r="871" spans="1:29" ht="12.75" customHeight="1">
      <c r="A871" s="79"/>
      <c r="B871" s="79"/>
      <c r="C871" s="79"/>
      <c r="D871" s="79"/>
      <c r="E871" s="79"/>
      <c r="F871" s="79"/>
      <c r="G871" s="79"/>
      <c r="H871" s="79"/>
      <c r="I871" s="125"/>
      <c r="J871" s="79"/>
      <c r="K871" s="79"/>
      <c r="L871" s="79"/>
      <c r="M871" s="79"/>
      <c r="N871" s="79"/>
      <c r="O871" s="79"/>
      <c r="P871" s="79"/>
      <c r="Q871" s="79"/>
      <c r="R871" s="79"/>
      <c r="S871" s="79"/>
      <c r="T871" s="79"/>
      <c r="U871" s="79"/>
      <c r="V871" s="79"/>
      <c r="W871" s="79"/>
      <c r="X871" s="79"/>
      <c r="Y871" s="79"/>
      <c r="Z871" s="79"/>
      <c r="AA871" s="79"/>
      <c r="AB871" s="79"/>
      <c r="AC871" s="79"/>
    </row>
    <row r="872" spans="1:29" ht="12.75" customHeight="1">
      <c r="A872" s="79"/>
      <c r="B872" s="79"/>
      <c r="C872" s="79"/>
      <c r="D872" s="79"/>
      <c r="E872" s="79"/>
      <c r="F872" s="79"/>
      <c r="G872" s="79"/>
      <c r="H872" s="79"/>
      <c r="I872" s="125"/>
      <c r="J872" s="79"/>
      <c r="K872" s="79"/>
      <c r="L872" s="79"/>
      <c r="M872" s="79"/>
      <c r="N872" s="79"/>
      <c r="O872" s="79"/>
      <c r="P872" s="79"/>
      <c r="Q872" s="79"/>
      <c r="R872" s="79"/>
      <c r="S872" s="79"/>
      <c r="T872" s="79"/>
      <c r="U872" s="79"/>
      <c r="V872" s="79"/>
      <c r="W872" s="79"/>
      <c r="X872" s="79"/>
      <c r="Y872" s="79"/>
      <c r="Z872" s="79"/>
      <c r="AA872" s="79"/>
      <c r="AB872" s="79"/>
      <c r="AC872" s="79"/>
    </row>
    <row r="873" spans="1:29" ht="12.75" customHeight="1">
      <c r="A873" s="79"/>
      <c r="B873" s="79"/>
      <c r="C873" s="79"/>
      <c r="D873" s="79"/>
      <c r="E873" s="79"/>
      <c r="F873" s="79"/>
      <c r="G873" s="79"/>
      <c r="H873" s="79"/>
      <c r="I873" s="125"/>
      <c r="J873" s="79"/>
      <c r="K873" s="79"/>
      <c r="L873" s="79"/>
      <c r="M873" s="79"/>
      <c r="N873" s="79"/>
      <c r="O873" s="79"/>
      <c r="P873" s="79"/>
      <c r="Q873" s="79"/>
      <c r="R873" s="79"/>
      <c r="S873" s="79"/>
      <c r="T873" s="79"/>
      <c r="U873" s="79"/>
      <c r="V873" s="79"/>
      <c r="W873" s="79"/>
      <c r="X873" s="79"/>
      <c r="Y873" s="79"/>
      <c r="Z873" s="79"/>
      <c r="AA873" s="79"/>
      <c r="AB873" s="79"/>
      <c r="AC873" s="79"/>
    </row>
    <row r="874" spans="1:29" ht="12.75" customHeight="1">
      <c r="A874" s="79"/>
      <c r="B874" s="79"/>
      <c r="C874" s="79"/>
      <c r="D874" s="79"/>
      <c r="E874" s="79"/>
      <c r="F874" s="79"/>
      <c r="G874" s="79"/>
      <c r="H874" s="79"/>
      <c r="I874" s="125"/>
      <c r="J874" s="79"/>
      <c r="K874" s="79"/>
      <c r="L874" s="79"/>
      <c r="M874" s="79"/>
      <c r="N874" s="79"/>
      <c r="O874" s="79"/>
      <c r="P874" s="79"/>
      <c r="Q874" s="79"/>
      <c r="R874" s="79"/>
      <c r="S874" s="79"/>
      <c r="T874" s="79"/>
      <c r="U874" s="79"/>
      <c r="V874" s="79"/>
      <c r="W874" s="79"/>
      <c r="X874" s="79"/>
      <c r="Y874" s="79"/>
      <c r="Z874" s="79"/>
      <c r="AA874" s="79"/>
      <c r="AB874" s="79"/>
      <c r="AC874" s="79"/>
    </row>
    <row r="875" spans="1:29" ht="12.75" customHeight="1">
      <c r="A875" s="79"/>
      <c r="B875" s="79"/>
      <c r="C875" s="79"/>
      <c r="D875" s="79"/>
      <c r="E875" s="79"/>
      <c r="F875" s="79"/>
      <c r="G875" s="79"/>
      <c r="H875" s="79"/>
      <c r="I875" s="125"/>
      <c r="J875" s="79"/>
      <c r="K875" s="79"/>
      <c r="L875" s="79"/>
      <c r="M875" s="79"/>
      <c r="N875" s="79"/>
      <c r="O875" s="79"/>
      <c r="P875" s="79"/>
      <c r="Q875" s="79"/>
      <c r="R875" s="79"/>
      <c r="S875" s="79"/>
      <c r="T875" s="79"/>
      <c r="U875" s="79"/>
      <c r="V875" s="79"/>
      <c r="W875" s="79"/>
      <c r="X875" s="79"/>
      <c r="Y875" s="79"/>
      <c r="Z875" s="79"/>
      <c r="AA875" s="79"/>
      <c r="AB875" s="79"/>
      <c r="AC875" s="79"/>
    </row>
    <row r="876" spans="1:29" ht="12.75" customHeight="1">
      <c r="A876" s="79"/>
      <c r="B876" s="79"/>
      <c r="C876" s="79"/>
      <c r="D876" s="79"/>
      <c r="E876" s="79"/>
      <c r="F876" s="79"/>
      <c r="G876" s="79"/>
      <c r="H876" s="79"/>
      <c r="I876" s="125"/>
      <c r="J876" s="79"/>
      <c r="K876" s="79"/>
      <c r="L876" s="79"/>
      <c r="M876" s="79"/>
      <c r="N876" s="79"/>
      <c r="O876" s="79"/>
      <c r="P876" s="79"/>
      <c r="Q876" s="79"/>
      <c r="R876" s="79"/>
      <c r="S876" s="79"/>
      <c r="T876" s="79"/>
      <c r="U876" s="79"/>
      <c r="V876" s="79"/>
      <c r="W876" s="79"/>
      <c r="X876" s="79"/>
      <c r="Y876" s="79"/>
      <c r="Z876" s="79"/>
      <c r="AA876" s="79"/>
      <c r="AB876" s="79"/>
      <c r="AC876" s="79"/>
    </row>
    <row r="877" spans="1:29" ht="12.75" customHeight="1">
      <c r="A877" s="79"/>
      <c r="B877" s="79"/>
      <c r="C877" s="79"/>
      <c r="D877" s="79"/>
      <c r="E877" s="79"/>
      <c r="F877" s="79"/>
      <c r="G877" s="79"/>
      <c r="H877" s="79"/>
      <c r="I877" s="125"/>
      <c r="J877" s="79"/>
      <c r="K877" s="79"/>
      <c r="L877" s="79"/>
      <c r="M877" s="79"/>
      <c r="N877" s="79"/>
      <c r="O877" s="79"/>
      <c r="P877" s="79"/>
      <c r="Q877" s="79"/>
      <c r="R877" s="79"/>
      <c r="S877" s="79"/>
      <c r="T877" s="79"/>
      <c r="U877" s="79"/>
      <c r="V877" s="79"/>
      <c r="W877" s="79"/>
      <c r="X877" s="79"/>
      <c r="Y877" s="79"/>
      <c r="Z877" s="79"/>
      <c r="AA877" s="79"/>
      <c r="AB877" s="79"/>
      <c r="AC877" s="79"/>
    </row>
    <row r="878" spans="1:29" ht="12.75" customHeight="1">
      <c r="A878" s="79"/>
      <c r="B878" s="79"/>
      <c r="C878" s="79"/>
      <c r="D878" s="79"/>
      <c r="E878" s="79"/>
      <c r="F878" s="79"/>
      <c r="G878" s="79"/>
      <c r="H878" s="79"/>
      <c r="I878" s="125"/>
      <c r="J878" s="79"/>
      <c r="K878" s="79"/>
      <c r="L878" s="79"/>
      <c r="M878" s="79"/>
      <c r="N878" s="79"/>
      <c r="O878" s="79"/>
      <c r="P878" s="79"/>
      <c r="Q878" s="79"/>
      <c r="R878" s="79"/>
      <c r="S878" s="79"/>
      <c r="T878" s="79"/>
      <c r="U878" s="79"/>
      <c r="V878" s="79"/>
      <c r="W878" s="79"/>
      <c r="X878" s="79"/>
      <c r="Y878" s="79"/>
      <c r="Z878" s="79"/>
      <c r="AA878" s="79"/>
      <c r="AB878" s="79"/>
      <c r="AC878" s="79"/>
    </row>
    <row r="879" spans="1:29" ht="12.75" customHeight="1">
      <c r="A879" s="79"/>
      <c r="B879" s="79"/>
      <c r="C879" s="79"/>
      <c r="D879" s="79"/>
      <c r="E879" s="79"/>
      <c r="F879" s="79"/>
      <c r="G879" s="79"/>
      <c r="H879" s="79"/>
      <c r="I879" s="125"/>
      <c r="J879" s="79"/>
      <c r="K879" s="79"/>
      <c r="L879" s="79"/>
      <c r="M879" s="79"/>
      <c r="N879" s="79"/>
      <c r="O879" s="79"/>
      <c r="P879" s="79"/>
      <c r="Q879" s="79"/>
      <c r="R879" s="79"/>
      <c r="S879" s="79"/>
      <c r="T879" s="79"/>
      <c r="U879" s="79"/>
      <c r="V879" s="79"/>
      <c r="W879" s="79"/>
      <c r="X879" s="79"/>
      <c r="Y879" s="79"/>
      <c r="Z879" s="79"/>
      <c r="AA879" s="79"/>
      <c r="AB879" s="79"/>
      <c r="AC879" s="79"/>
    </row>
    <row r="880" spans="1:29" ht="12.75" customHeight="1">
      <c r="A880" s="79"/>
      <c r="B880" s="79"/>
      <c r="C880" s="79"/>
      <c r="D880" s="79"/>
      <c r="E880" s="79"/>
      <c r="F880" s="79"/>
      <c r="G880" s="79"/>
      <c r="H880" s="79"/>
      <c r="I880" s="125"/>
      <c r="J880" s="79"/>
      <c r="K880" s="79"/>
      <c r="L880" s="79"/>
      <c r="M880" s="79"/>
      <c r="N880" s="79"/>
      <c r="O880" s="79"/>
      <c r="P880" s="79"/>
      <c r="Q880" s="79"/>
      <c r="R880" s="79"/>
      <c r="S880" s="79"/>
      <c r="T880" s="79"/>
      <c r="U880" s="79"/>
      <c r="V880" s="79"/>
      <c r="W880" s="79"/>
      <c r="X880" s="79"/>
      <c r="Y880" s="79"/>
      <c r="Z880" s="79"/>
      <c r="AA880" s="79"/>
      <c r="AB880" s="79"/>
      <c r="AC880" s="79"/>
    </row>
    <row r="881" spans="1:29" ht="12.75" customHeight="1">
      <c r="A881" s="79"/>
      <c r="B881" s="79"/>
      <c r="C881" s="79"/>
      <c r="D881" s="79"/>
      <c r="E881" s="79"/>
      <c r="F881" s="79"/>
      <c r="G881" s="79"/>
      <c r="H881" s="79"/>
      <c r="I881" s="125"/>
      <c r="J881" s="79"/>
      <c r="K881" s="79"/>
      <c r="L881" s="79"/>
      <c r="M881" s="79"/>
      <c r="N881" s="79"/>
      <c r="O881" s="79"/>
      <c r="P881" s="79"/>
      <c r="Q881" s="79"/>
      <c r="R881" s="79"/>
      <c r="S881" s="79"/>
      <c r="T881" s="79"/>
      <c r="U881" s="79"/>
      <c r="V881" s="79"/>
      <c r="W881" s="79"/>
      <c r="X881" s="79"/>
      <c r="Y881" s="79"/>
      <c r="Z881" s="79"/>
      <c r="AA881" s="79"/>
      <c r="AB881" s="79"/>
      <c r="AC881" s="79"/>
    </row>
    <row r="882" spans="1:29" ht="12.75" customHeight="1">
      <c r="A882" s="79"/>
      <c r="B882" s="79"/>
      <c r="C882" s="79"/>
      <c r="D882" s="79"/>
      <c r="E882" s="79"/>
      <c r="F882" s="79"/>
      <c r="G882" s="79"/>
      <c r="H882" s="79"/>
      <c r="I882" s="125"/>
      <c r="J882" s="79"/>
      <c r="K882" s="79"/>
      <c r="L882" s="79"/>
      <c r="M882" s="79"/>
      <c r="N882" s="79"/>
      <c r="O882" s="79"/>
      <c r="P882" s="79"/>
      <c r="Q882" s="79"/>
      <c r="R882" s="79"/>
      <c r="S882" s="79"/>
      <c r="T882" s="79"/>
      <c r="U882" s="79"/>
      <c r="V882" s="79"/>
      <c r="W882" s="79"/>
      <c r="X882" s="79"/>
      <c r="Y882" s="79"/>
      <c r="Z882" s="79"/>
      <c r="AA882" s="79"/>
      <c r="AB882" s="79"/>
      <c r="AC882" s="79"/>
    </row>
    <row r="883" spans="1:29" ht="12.75" customHeight="1">
      <c r="A883" s="79"/>
      <c r="B883" s="79"/>
      <c r="C883" s="79"/>
      <c r="D883" s="79"/>
      <c r="E883" s="79"/>
      <c r="F883" s="79"/>
      <c r="G883" s="79"/>
      <c r="H883" s="79"/>
      <c r="I883" s="125"/>
      <c r="J883" s="79"/>
      <c r="K883" s="79"/>
      <c r="L883" s="79"/>
      <c r="M883" s="79"/>
      <c r="N883" s="79"/>
      <c r="O883" s="79"/>
      <c r="P883" s="79"/>
      <c r="Q883" s="79"/>
      <c r="R883" s="79"/>
      <c r="S883" s="79"/>
      <c r="T883" s="79"/>
      <c r="U883" s="79"/>
      <c r="V883" s="79"/>
      <c r="W883" s="79"/>
      <c r="X883" s="79"/>
      <c r="Y883" s="79"/>
      <c r="Z883" s="79"/>
      <c r="AA883" s="79"/>
      <c r="AB883" s="79"/>
      <c r="AC883" s="79"/>
    </row>
    <row r="884" spans="1:29" ht="12.75" customHeight="1">
      <c r="A884" s="79"/>
      <c r="B884" s="79"/>
      <c r="C884" s="79"/>
      <c r="D884" s="79"/>
      <c r="E884" s="79"/>
      <c r="F884" s="79"/>
      <c r="G884" s="79"/>
      <c r="H884" s="79"/>
      <c r="I884" s="125"/>
      <c r="J884" s="79"/>
      <c r="K884" s="79"/>
      <c r="L884" s="79"/>
      <c r="M884" s="79"/>
      <c r="N884" s="79"/>
      <c r="O884" s="79"/>
      <c r="P884" s="79"/>
      <c r="Q884" s="79"/>
      <c r="R884" s="79"/>
      <c r="S884" s="79"/>
      <c r="T884" s="79"/>
      <c r="U884" s="79"/>
      <c r="V884" s="79"/>
      <c r="W884" s="79"/>
      <c r="X884" s="79"/>
      <c r="Y884" s="79"/>
      <c r="Z884" s="79"/>
      <c r="AA884" s="79"/>
      <c r="AB884" s="79"/>
      <c r="AC884" s="79"/>
    </row>
    <row r="885" spans="1:29" ht="12.75" customHeight="1">
      <c r="A885" s="79"/>
      <c r="B885" s="79"/>
      <c r="C885" s="79"/>
      <c r="D885" s="79"/>
      <c r="E885" s="79"/>
      <c r="F885" s="79"/>
      <c r="G885" s="79"/>
      <c r="H885" s="79"/>
      <c r="I885" s="125"/>
      <c r="J885" s="79"/>
      <c r="K885" s="79"/>
      <c r="L885" s="79"/>
      <c r="M885" s="79"/>
      <c r="N885" s="79"/>
      <c r="O885" s="79"/>
      <c r="P885" s="79"/>
      <c r="Q885" s="79"/>
      <c r="R885" s="79"/>
      <c r="S885" s="79"/>
      <c r="T885" s="79"/>
      <c r="U885" s="79"/>
      <c r="V885" s="79"/>
      <c r="W885" s="79"/>
      <c r="X885" s="79"/>
      <c r="Y885" s="79"/>
      <c r="Z885" s="79"/>
      <c r="AA885" s="79"/>
      <c r="AB885" s="79"/>
      <c r="AC885" s="79"/>
    </row>
    <row r="886" spans="1:29" ht="12.75" customHeight="1">
      <c r="A886" s="79"/>
      <c r="B886" s="79"/>
      <c r="C886" s="79"/>
      <c r="D886" s="79"/>
      <c r="E886" s="79"/>
      <c r="F886" s="79"/>
      <c r="G886" s="79"/>
      <c r="H886" s="79"/>
      <c r="I886" s="125"/>
      <c r="J886" s="79"/>
      <c r="K886" s="79"/>
      <c r="L886" s="79"/>
      <c r="M886" s="79"/>
      <c r="N886" s="79"/>
      <c r="O886" s="79"/>
      <c r="P886" s="79"/>
      <c r="Q886" s="79"/>
      <c r="R886" s="79"/>
      <c r="S886" s="79"/>
      <c r="T886" s="79"/>
      <c r="U886" s="79"/>
      <c r="V886" s="79"/>
      <c r="W886" s="79"/>
      <c r="X886" s="79"/>
      <c r="Y886" s="79"/>
      <c r="Z886" s="79"/>
      <c r="AA886" s="79"/>
      <c r="AB886" s="79"/>
      <c r="AC886" s="79"/>
    </row>
    <row r="887" spans="1:29" ht="12.75" customHeight="1">
      <c r="A887" s="79"/>
      <c r="B887" s="79"/>
      <c r="C887" s="79"/>
      <c r="D887" s="79"/>
      <c r="E887" s="79"/>
      <c r="F887" s="79"/>
      <c r="G887" s="79"/>
      <c r="H887" s="79"/>
      <c r="I887" s="125"/>
      <c r="J887" s="79"/>
      <c r="K887" s="79"/>
      <c r="L887" s="79"/>
      <c r="M887" s="79"/>
      <c r="N887" s="79"/>
      <c r="O887" s="79"/>
      <c r="P887" s="79"/>
      <c r="Q887" s="79"/>
      <c r="R887" s="79"/>
      <c r="S887" s="79"/>
      <c r="T887" s="79"/>
      <c r="U887" s="79"/>
      <c r="V887" s="79"/>
      <c r="W887" s="79"/>
      <c r="X887" s="79"/>
      <c r="Y887" s="79"/>
      <c r="Z887" s="79"/>
      <c r="AA887" s="79"/>
      <c r="AB887" s="79"/>
      <c r="AC887" s="79"/>
    </row>
    <row r="888" spans="1:29" ht="12.75" customHeight="1">
      <c r="A888" s="79"/>
      <c r="B888" s="79"/>
      <c r="C888" s="79"/>
      <c r="D888" s="79"/>
      <c r="E888" s="79"/>
      <c r="F888" s="79"/>
      <c r="G888" s="79"/>
      <c r="H888" s="79"/>
      <c r="I888" s="125"/>
      <c r="J888" s="79"/>
      <c r="K888" s="79"/>
      <c r="L888" s="79"/>
      <c r="M888" s="79"/>
      <c r="N888" s="79"/>
      <c r="O888" s="79"/>
      <c r="P888" s="79"/>
      <c r="Q888" s="79"/>
      <c r="R888" s="79"/>
      <c r="S888" s="79"/>
      <c r="T888" s="79"/>
      <c r="U888" s="79"/>
      <c r="V888" s="79"/>
      <c r="W888" s="79"/>
      <c r="X888" s="79"/>
      <c r="Y888" s="79"/>
      <c r="Z888" s="79"/>
      <c r="AA888" s="79"/>
      <c r="AB888" s="79"/>
      <c r="AC888" s="79"/>
    </row>
    <row r="889" spans="1:29" ht="12.75" customHeight="1">
      <c r="A889" s="79"/>
      <c r="B889" s="79"/>
      <c r="C889" s="79"/>
      <c r="D889" s="79"/>
      <c r="E889" s="79"/>
      <c r="F889" s="79"/>
      <c r="G889" s="79"/>
      <c r="H889" s="79"/>
      <c r="I889" s="125"/>
      <c r="J889" s="79"/>
      <c r="K889" s="79"/>
      <c r="L889" s="79"/>
      <c r="M889" s="79"/>
      <c r="N889" s="79"/>
      <c r="O889" s="79"/>
      <c r="P889" s="79"/>
      <c r="Q889" s="79"/>
      <c r="R889" s="79"/>
      <c r="S889" s="79"/>
      <c r="T889" s="79"/>
      <c r="U889" s="79"/>
      <c r="V889" s="79"/>
      <c r="W889" s="79"/>
      <c r="X889" s="79"/>
      <c r="Y889" s="79"/>
      <c r="Z889" s="79"/>
      <c r="AA889" s="79"/>
      <c r="AB889" s="79"/>
      <c r="AC889" s="79"/>
    </row>
    <row r="890" spans="1:29" ht="12.75" customHeight="1">
      <c r="A890" s="79"/>
      <c r="B890" s="79"/>
      <c r="C890" s="79"/>
      <c r="D890" s="79"/>
      <c r="E890" s="79"/>
      <c r="F890" s="79"/>
      <c r="G890" s="79"/>
      <c r="H890" s="79"/>
      <c r="I890" s="125"/>
      <c r="J890" s="79"/>
      <c r="K890" s="79"/>
      <c r="L890" s="79"/>
      <c r="M890" s="79"/>
      <c r="N890" s="79"/>
      <c r="O890" s="79"/>
      <c r="P890" s="79"/>
      <c r="Q890" s="79"/>
      <c r="R890" s="79"/>
      <c r="S890" s="79"/>
      <c r="T890" s="79"/>
      <c r="U890" s="79"/>
      <c r="V890" s="79"/>
      <c r="W890" s="79"/>
      <c r="X890" s="79"/>
      <c r="Y890" s="79"/>
      <c r="Z890" s="79"/>
      <c r="AA890" s="79"/>
      <c r="AB890" s="79"/>
      <c r="AC890" s="79"/>
    </row>
    <row r="891" spans="1:29" ht="12.75" customHeight="1">
      <c r="A891" s="79"/>
      <c r="B891" s="79"/>
      <c r="C891" s="79"/>
      <c r="D891" s="79"/>
      <c r="E891" s="79"/>
      <c r="F891" s="79"/>
      <c r="G891" s="79"/>
      <c r="H891" s="79"/>
      <c r="I891" s="125"/>
      <c r="J891" s="79"/>
      <c r="K891" s="79"/>
      <c r="L891" s="79"/>
      <c r="M891" s="79"/>
      <c r="N891" s="79"/>
      <c r="O891" s="79"/>
      <c r="P891" s="79"/>
      <c r="Q891" s="79"/>
      <c r="R891" s="79"/>
      <c r="S891" s="79"/>
      <c r="T891" s="79"/>
      <c r="U891" s="79"/>
      <c r="V891" s="79"/>
      <c r="W891" s="79"/>
      <c r="X891" s="79"/>
      <c r="Y891" s="79"/>
      <c r="Z891" s="79"/>
      <c r="AA891" s="79"/>
      <c r="AB891" s="79"/>
      <c r="AC891" s="79"/>
    </row>
    <row r="892" spans="1:29" ht="12.75" customHeight="1">
      <c r="A892" s="79"/>
      <c r="B892" s="79"/>
      <c r="C892" s="79"/>
      <c r="D892" s="79"/>
      <c r="E892" s="79"/>
      <c r="F892" s="79"/>
      <c r="G892" s="79"/>
      <c r="H892" s="79"/>
      <c r="I892" s="125"/>
      <c r="J892" s="79"/>
      <c r="K892" s="79"/>
      <c r="L892" s="79"/>
      <c r="M892" s="79"/>
      <c r="N892" s="79"/>
      <c r="O892" s="79"/>
      <c r="P892" s="79"/>
      <c r="Q892" s="79"/>
      <c r="R892" s="79"/>
      <c r="S892" s="79"/>
      <c r="T892" s="79"/>
      <c r="U892" s="79"/>
      <c r="V892" s="79"/>
      <c r="W892" s="79"/>
      <c r="X892" s="79"/>
      <c r="Y892" s="79"/>
      <c r="Z892" s="79"/>
      <c r="AA892" s="79"/>
      <c r="AB892" s="79"/>
      <c r="AC892" s="79"/>
    </row>
    <row r="893" spans="1:29" ht="12.75" customHeight="1">
      <c r="A893" s="79"/>
      <c r="B893" s="79"/>
      <c r="C893" s="79"/>
      <c r="D893" s="79"/>
      <c r="E893" s="79"/>
      <c r="F893" s="79"/>
      <c r="G893" s="79"/>
      <c r="H893" s="79"/>
      <c r="I893" s="125"/>
      <c r="J893" s="79"/>
      <c r="K893" s="79"/>
      <c r="L893" s="79"/>
      <c r="M893" s="79"/>
      <c r="N893" s="79"/>
      <c r="O893" s="79"/>
      <c r="P893" s="79"/>
      <c r="Q893" s="79"/>
      <c r="R893" s="79"/>
      <c r="S893" s="79"/>
      <c r="T893" s="79"/>
      <c r="U893" s="79"/>
      <c r="V893" s="79"/>
      <c r="W893" s="79"/>
      <c r="X893" s="79"/>
      <c r="Y893" s="79"/>
      <c r="Z893" s="79"/>
      <c r="AA893" s="79"/>
      <c r="AB893" s="79"/>
      <c r="AC893" s="79"/>
    </row>
    <row r="894" spans="1:29" ht="12.75" customHeight="1">
      <c r="A894" s="79"/>
      <c r="B894" s="79"/>
      <c r="C894" s="79"/>
      <c r="D894" s="79"/>
      <c r="E894" s="79"/>
      <c r="F894" s="79"/>
      <c r="G894" s="79"/>
      <c r="H894" s="79"/>
      <c r="I894" s="125"/>
      <c r="J894" s="79"/>
      <c r="K894" s="79"/>
      <c r="L894" s="79"/>
      <c r="M894" s="79"/>
      <c r="N894" s="79"/>
      <c r="O894" s="79"/>
      <c r="P894" s="79"/>
      <c r="Q894" s="79"/>
      <c r="R894" s="79"/>
      <c r="S894" s="79"/>
      <c r="T894" s="79"/>
      <c r="U894" s="79"/>
      <c r="V894" s="79"/>
      <c r="W894" s="79"/>
      <c r="X894" s="79"/>
      <c r="Y894" s="79"/>
      <c r="Z894" s="79"/>
      <c r="AA894" s="79"/>
      <c r="AB894" s="79"/>
      <c r="AC894" s="79"/>
    </row>
    <row r="895" spans="1:29" ht="12.75" customHeight="1">
      <c r="A895" s="79"/>
      <c r="B895" s="79"/>
      <c r="C895" s="79"/>
      <c r="D895" s="79"/>
      <c r="E895" s="79"/>
      <c r="F895" s="79"/>
      <c r="G895" s="79"/>
      <c r="H895" s="79"/>
      <c r="I895" s="125"/>
      <c r="J895" s="79"/>
      <c r="K895" s="79"/>
      <c r="L895" s="79"/>
      <c r="M895" s="79"/>
      <c r="N895" s="79"/>
      <c r="O895" s="79"/>
      <c r="P895" s="79"/>
      <c r="Q895" s="79"/>
      <c r="R895" s="79"/>
      <c r="S895" s="79"/>
      <c r="T895" s="79"/>
      <c r="U895" s="79"/>
      <c r="V895" s="79"/>
      <c r="W895" s="79"/>
      <c r="X895" s="79"/>
      <c r="Y895" s="79"/>
      <c r="Z895" s="79"/>
      <c r="AA895" s="79"/>
      <c r="AB895" s="79"/>
      <c r="AC895" s="79"/>
    </row>
    <row r="896" spans="1:29" ht="12.75" customHeight="1">
      <c r="A896" s="79"/>
      <c r="B896" s="79"/>
      <c r="C896" s="79"/>
      <c r="D896" s="79"/>
      <c r="E896" s="79"/>
      <c r="F896" s="79"/>
      <c r="G896" s="79"/>
      <c r="H896" s="79"/>
      <c r="I896" s="125"/>
      <c r="J896" s="79"/>
      <c r="K896" s="79"/>
      <c r="L896" s="79"/>
      <c r="M896" s="79"/>
      <c r="N896" s="79"/>
      <c r="O896" s="79"/>
      <c r="P896" s="79"/>
      <c r="Q896" s="79"/>
      <c r="R896" s="79"/>
      <c r="S896" s="79"/>
      <c r="T896" s="79"/>
      <c r="U896" s="79"/>
      <c r="V896" s="79"/>
      <c r="W896" s="79"/>
      <c r="X896" s="79"/>
      <c r="Y896" s="79"/>
      <c r="Z896" s="79"/>
      <c r="AA896" s="79"/>
      <c r="AB896" s="79"/>
      <c r="AC896" s="79"/>
    </row>
    <row r="897" spans="1:29" ht="12.75" customHeight="1">
      <c r="A897" s="79"/>
      <c r="B897" s="79"/>
      <c r="C897" s="79"/>
      <c r="D897" s="79"/>
      <c r="E897" s="79"/>
      <c r="F897" s="79"/>
      <c r="G897" s="79"/>
      <c r="H897" s="79"/>
      <c r="I897" s="125"/>
      <c r="J897" s="79"/>
      <c r="K897" s="79"/>
      <c r="L897" s="79"/>
      <c r="M897" s="79"/>
      <c r="N897" s="79"/>
      <c r="O897" s="79"/>
      <c r="P897" s="79"/>
      <c r="Q897" s="79"/>
      <c r="R897" s="79"/>
      <c r="S897" s="79"/>
      <c r="T897" s="79"/>
      <c r="U897" s="79"/>
      <c r="V897" s="79"/>
      <c r="W897" s="79"/>
      <c r="X897" s="79"/>
      <c r="Y897" s="79"/>
      <c r="Z897" s="79"/>
      <c r="AA897" s="79"/>
      <c r="AB897" s="79"/>
      <c r="AC897" s="79"/>
    </row>
    <row r="898" spans="1:29" ht="12.75" customHeight="1">
      <c r="A898" s="79"/>
      <c r="B898" s="79"/>
      <c r="C898" s="79"/>
      <c r="D898" s="79"/>
      <c r="E898" s="79"/>
      <c r="F898" s="79"/>
      <c r="G898" s="79"/>
      <c r="H898" s="79"/>
      <c r="I898" s="125"/>
      <c r="J898" s="79"/>
      <c r="K898" s="79"/>
      <c r="L898" s="79"/>
      <c r="M898" s="79"/>
      <c r="N898" s="79"/>
      <c r="O898" s="79"/>
      <c r="P898" s="79"/>
      <c r="Q898" s="79"/>
      <c r="R898" s="79"/>
      <c r="S898" s="79"/>
      <c r="T898" s="79"/>
      <c r="U898" s="79"/>
      <c r="V898" s="79"/>
      <c r="W898" s="79"/>
      <c r="X898" s="79"/>
      <c r="Y898" s="79"/>
      <c r="Z898" s="79"/>
      <c r="AA898" s="79"/>
      <c r="AB898" s="79"/>
      <c r="AC898" s="79"/>
    </row>
    <row r="899" spans="1:29" ht="12.75" customHeight="1">
      <c r="A899" s="79"/>
      <c r="B899" s="79"/>
      <c r="C899" s="79"/>
      <c r="D899" s="79"/>
      <c r="E899" s="79"/>
      <c r="F899" s="79"/>
      <c r="G899" s="79"/>
      <c r="H899" s="79"/>
      <c r="I899" s="125"/>
      <c r="J899" s="79"/>
      <c r="K899" s="79"/>
      <c r="L899" s="79"/>
      <c r="M899" s="79"/>
      <c r="N899" s="79"/>
      <c r="O899" s="79"/>
      <c r="P899" s="79"/>
      <c r="Q899" s="79"/>
      <c r="R899" s="79"/>
      <c r="S899" s="79"/>
      <c r="T899" s="79"/>
      <c r="U899" s="79"/>
      <c r="V899" s="79"/>
      <c r="W899" s="79"/>
      <c r="X899" s="79"/>
      <c r="Y899" s="79"/>
      <c r="Z899" s="79"/>
      <c r="AA899" s="79"/>
      <c r="AB899" s="79"/>
      <c r="AC899" s="79"/>
    </row>
    <row r="900" spans="1:29" ht="12.75" customHeight="1">
      <c r="A900" s="79"/>
      <c r="B900" s="79"/>
      <c r="C900" s="79"/>
      <c r="D900" s="79"/>
      <c r="E900" s="79"/>
      <c r="F900" s="79"/>
      <c r="G900" s="79"/>
      <c r="H900" s="79"/>
      <c r="I900" s="125"/>
      <c r="J900" s="79"/>
      <c r="K900" s="79"/>
      <c r="L900" s="79"/>
      <c r="M900" s="79"/>
      <c r="N900" s="79"/>
      <c r="O900" s="79"/>
      <c r="P900" s="79"/>
      <c r="Q900" s="79"/>
      <c r="R900" s="79"/>
      <c r="S900" s="79"/>
      <c r="T900" s="79"/>
      <c r="U900" s="79"/>
      <c r="V900" s="79"/>
      <c r="W900" s="79"/>
      <c r="X900" s="79"/>
      <c r="Y900" s="79"/>
      <c r="Z900" s="79"/>
      <c r="AA900" s="79"/>
      <c r="AB900" s="79"/>
      <c r="AC900" s="79"/>
    </row>
    <row r="901" spans="1:29" ht="12.75" customHeight="1">
      <c r="A901" s="79"/>
      <c r="B901" s="79"/>
      <c r="C901" s="79"/>
      <c r="D901" s="79"/>
      <c r="E901" s="79"/>
      <c r="F901" s="79"/>
      <c r="G901" s="79"/>
      <c r="H901" s="79"/>
      <c r="I901" s="125"/>
      <c r="J901" s="79"/>
      <c r="K901" s="79"/>
      <c r="L901" s="79"/>
      <c r="M901" s="79"/>
      <c r="N901" s="79"/>
      <c r="O901" s="79"/>
      <c r="P901" s="79"/>
      <c r="Q901" s="79"/>
      <c r="R901" s="79"/>
      <c r="S901" s="79"/>
      <c r="T901" s="79"/>
      <c r="U901" s="79"/>
      <c r="V901" s="79"/>
      <c r="W901" s="79"/>
      <c r="X901" s="79"/>
      <c r="Y901" s="79"/>
      <c r="Z901" s="79"/>
      <c r="AA901" s="79"/>
      <c r="AB901" s="79"/>
      <c r="AC901" s="79"/>
    </row>
    <row r="902" spans="1:29" ht="12.75" customHeight="1">
      <c r="A902" s="79"/>
      <c r="B902" s="79"/>
      <c r="C902" s="79"/>
      <c r="D902" s="79"/>
      <c r="E902" s="79"/>
      <c r="F902" s="79"/>
      <c r="G902" s="79"/>
      <c r="H902" s="79"/>
      <c r="I902" s="125"/>
      <c r="J902" s="79"/>
      <c r="K902" s="79"/>
      <c r="L902" s="79"/>
      <c r="M902" s="79"/>
      <c r="N902" s="79"/>
      <c r="O902" s="79"/>
      <c r="P902" s="79"/>
      <c r="Q902" s="79"/>
      <c r="R902" s="79"/>
      <c r="S902" s="79"/>
      <c r="T902" s="79"/>
      <c r="U902" s="79"/>
      <c r="V902" s="79"/>
      <c r="W902" s="79"/>
      <c r="X902" s="79"/>
      <c r="Y902" s="79"/>
      <c r="Z902" s="79"/>
      <c r="AA902" s="79"/>
      <c r="AB902" s="79"/>
      <c r="AC902" s="79"/>
    </row>
    <row r="903" spans="1:29" ht="12.75" customHeight="1">
      <c r="A903" s="79"/>
      <c r="B903" s="79"/>
      <c r="C903" s="79"/>
      <c r="D903" s="79"/>
      <c r="E903" s="79"/>
      <c r="F903" s="79"/>
      <c r="G903" s="79"/>
      <c r="H903" s="79"/>
      <c r="I903" s="125"/>
      <c r="J903" s="79"/>
      <c r="K903" s="79"/>
      <c r="L903" s="79"/>
      <c r="M903" s="79"/>
      <c r="N903" s="79"/>
      <c r="O903" s="79"/>
      <c r="P903" s="79"/>
      <c r="Q903" s="79"/>
      <c r="R903" s="79"/>
      <c r="S903" s="79"/>
      <c r="T903" s="79"/>
      <c r="U903" s="79"/>
      <c r="V903" s="79"/>
      <c r="W903" s="79"/>
      <c r="X903" s="79"/>
      <c r="Y903" s="79"/>
      <c r="Z903" s="79"/>
      <c r="AA903" s="79"/>
      <c r="AB903" s="79"/>
      <c r="AC903" s="79"/>
    </row>
    <row r="904" spans="1:29" ht="12.75" customHeight="1">
      <c r="A904" s="79"/>
      <c r="B904" s="79"/>
      <c r="C904" s="79"/>
      <c r="D904" s="79"/>
      <c r="E904" s="79"/>
      <c r="F904" s="79"/>
      <c r="G904" s="79"/>
      <c r="H904" s="79"/>
      <c r="I904" s="125"/>
      <c r="J904" s="79"/>
      <c r="K904" s="79"/>
      <c r="L904" s="79"/>
      <c r="M904" s="79"/>
      <c r="N904" s="79"/>
      <c r="O904" s="79"/>
      <c r="P904" s="79"/>
      <c r="Q904" s="79"/>
      <c r="R904" s="79"/>
      <c r="S904" s="79"/>
      <c r="T904" s="79"/>
      <c r="U904" s="79"/>
      <c r="V904" s="79"/>
      <c r="W904" s="79"/>
      <c r="X904" s="79"/>
      <c r="Y904" s="79"/>
      <c r="Z904" s="79"/>
      <c r="AA904" s="79"/>
      <c r="AB904" s="79"/>
      <c r="AC904" s="79"/>
    </row>
    <row r="905" spans="1:29" ht="12.75" customHeight="1">
      <c r="A905" s="79"/>
      <c r="B905" s="79"/>
      <c r="C905" s="79"/>
      <c r="D905" s="79"/>
      <c r="E905" s="79"/>
      <c r="F905" s="79"/>
      <c r="G905" s="79"/>
      <c r="H905" s="79"/>
      <c r="I905" s="125"/>
      <c r="J905" s="79"/>
      <c r="K905" s="79"/>
      <c r="L905" s="79"/>
      <c r="M905" s="79"/>
      <c r="N905" s="79"/>
      <c r="O905" s="79"/>
      <c r="P905" s="79"/>
      <c r="Q905" s="79"/>
      <c r="R905" s="79"/>
      <c r="S905" s="79"/>
      <c r="T905" s="79"/>
      <c r="U905" s="79"/>
      <c r="V905" s="79"/>
      <c r="W905" s="79"/>
      <c r="X905" s="79"/>
      <c r="Y905" s="79"/>
      <c r="Z905" s="79"/>
      <c r="AA905" s="79"/>
      <c r="AB905" s="79"/>
      <c r="AC905" s="79"/>
    </row>
    <row r="906" spans="1:29" ht="12.75" customHeight="1">
      <c r="A906" s="79"/>
      <c r="B906" s="79"/>
      <c r="C906" s="79"/>
      <c r="D906" s="79"/>
      <c r="E906" s="79"/>
      <c r="F906" s="79"/>
      <c r="G906" s="79"/>
      <c r="H906" s="79"/>
      <c r="I906" s="125"/>
      <c r="J906" s="79"/>
      <c r="K906" s="79"/>
      <c r="L906" s="79"/>
      <c r="M906" s="79"/>
      <c r="N906" s="79"/>
      <c r="O906" s="79"/>
      <c r="P906" s="79"/>
      <c r="Q906" s="79"/>
      <c r="R906" s="79"/>
      <c r="S906" s="79"/>
      <c r="T906" s="79"/>
      <c r="U906" s="79"/>
      <c r="V906" s="79"/>
      <c r="W906" s="79"/>
      <c r="X906" s="79"/>
      <c r="Y906" s="79"/>
      <c r="Z906" s="79"/>
      <c r="AA906" s="79"/>
      <c r="AB906" s="79"/>
      <c r="AC906" s="79"/>
    </row>
    <row r="907" spans="1:29" ht="12.75" customHeight="1">
      <c r="A907" s="79"/>
      <c r="B907" s="79"/>
      <c r="C907" s="79"/>
      <c r="D907" s="79"/>
      <c r="E907" s="79"/>
      <c r="F907" s="79"/>
      <c r="G907" s="79"/>
      <c r="H907" s="79"/>
      <c r="I907" s="125"/>
      <c r="J907" s="79"/>
      <c r="K907" s="79"/>
      <c r="L907" s="79"/>
      <c r="M907" s="79"/>
      <c r="N907" s="79"/>
      <c r="O907" s="79"/>
      <c r="P907" s="79"/>
      <c r="Q907" s="79"/>
      <c r="R907" s="79"/>
      <c r="S907" s="79"/>
      <c r="T907" s="79"/>
      <c r="U907" s="79"/>
      <c r="V907" s="79"/>
      <c r="W907" s="79"/>
      <c r="X907" s="79"/>
      <c r="Y907" s="79"/>
      <c r="Z907" s="79"/>
      <c r="AA907" s="79"/>
      <c r="AB907" s="79"/>
      <c r="AC907" s="79"/>
    </row>
    <row r="908" spans="1:29" ht="12.75" customHeight="1">
      <c r="A908" s="79"/>
      <c r="B908" s="79"/>
      <c r="C908" s="79"/>
      <c r="D908" s="79"/>
      <c r="E908" s="79"/>
      <c r="F908" s="79"/>
      <c r="G908" s="79"/>
      <c r="H908" s="79"/>
      <c r="I908" s="125"/>
      <c r="J908" s="79"/>
      <c r="K908" s="79"/>
      <c r="L908" s="79"/>
      <c r="M908" s="79"/>
      <c r="N908" s="79"/>
      <c r="O908" s="79"/>
      <c r="P908" s="79"/>
      <c r="Q908" s="79"/>
      <c r="R908" s="79"/>
      <c r="S908" s="79"/>
      <c r="T908" s="79"/>
      <c r="U908" s="79"/>
      <c r="V908" s="79"/>
      <c r="W908" s="79"/>
      <c r="X908" s="79"/>
      <c r="Y908" s="79"/>
      <c r="Z908" s="79"/>
      <c r="AA908" s="79"/>
      <c r="AB908" s="79"/>
      <c r="AC908" s="79"/>
    </row>
    <row r="909" spans="1:29" ht="12.75" customHeight="1">
      <c r="A909" s="79"/>
      <c r="B909" s="79"/>
      <c r="C909" s="79"/>
      <c r="D909" s="79"/>
      <c r="E909" s="79"/>
      <c r="F909" s="79"/>
      <c r="G909" s="79"/>
      <c r="H909" s="79"/>
      <c r="I909" s="125"/>
      <c r="J909" s="79"/>
      <c r="K909" s="79"/>
      <c r="L909" s="79"/>
      <c r="M909" s="79"/>
      <c r="N909" s="79"/>
      <c r="O909" s="79"/>
      <c r="P909" s="79"/>
      <c r="Q909" s="79"/>
      <c r="R909" s="79"/>
      <c r="S909" s="79"/>
      <c r="T909" s="79"/>
      <c r="U909" s="79"/>
      <c r="V909" s="79"/>
      <c r="W909" s="79"/>
      <c r="X909" s="79"/>
      <c r="Y909" s="79"/>
      <c r="Z909" s="79"/>
      <c r="AA909" s="79"/>
      <c r="AB909" s="79"/>
      <c r="AC909" s="79"/>
    </row>
    <row r="910" spans="1:29" ht="12.75" customHeight="1">
      <c r="A910" s="79"/>
      <c r="B910" s="79"/>
      <c r="C910" s="79"/>
      <c r="D910" s="79"/>
      <c r="E910" s="79"/>
      <c r="F910" s="79"/>
      <c r="G910" s="79"/>
      <c r="H910" s="79"/>
      <c r="I910" s="125"/>
      <c r="J910" s="79"/>
      <c r="K910" s="79"/>
      <c r="L910" s="79"/>
      <c r="M910" s="79"/>
      <c r="N910" s="79"/>
      <c r="O910" s="79"/>
      <c r="P910" s="79"/>
      <c r="Q910" s="79"/>
      <c r="R910" s="79"/>
      <c r="S910" s="79"/>
      <c r="T910" s="79"/>
      <c r="U910" s="79"/>
      <c r="V910" s="79"/>
      <c r="W910" s="79"/>
      <c r="X910" s="79"/>
      <c r="Y910" s="79"/>
      <c r="Z910" s="79"/>
      <c r="AA910" s="79"/>
      <c r="AB910" s="79"/>
      <c r="AC910" s="79"/>
    </row>
    <row r="911" spans="1:29" ht="12.75" customHeight="1">
      <c r="A911" s="79"/>
      <c r="B911" s="79"/>
      <c r="C911" s="79"/>
      <c r="D911" s="79"/>
      <c r="E911" s="79"/>
      <c r="F911" s="79"/>
      <c r="G911" s="79"/>
      <c r="H911" s="79"/>
      <c r="I911" s="125"/>
      <c r="J911" s="79"/>
      <c r="K911" s="79"/>
      <c r="L911" s="79"/>
      <c r="M911" s="79"/>
      <c r="N911" s="79"/>
      <c r="O911" s="79"/>
      <c r="P911" s="79"/>
      <c r="Q911" s="79"/>
      <c r="R911" s="79"/>
      <c r="S911" s="79"/>
      <c r="T911" s="79"/>
      <c r="U911" s="79"/>
      <c r="V911" s="79"/>
      <c r="W911" s="79"/>
      <c r="X911" s="79"/>
      <c r="Y911" s="79"/>
      <c r="Z911" s="79"/>
      <c r="AA911" s="79"/>
      <c r="AB911" s="79"/>
      <c r="AC911" s="79"/>
    </row>
    <row r="912" spans="1:29" ht="12.75" customHeight="1">
      <c r="A912" s="79"/>
      <c r="B912" s="79"/>
      <c r="C912" s="79"/>
      <c r="D912" s="79"/>
      <c r="E912" s="79"/>
      <c r="F912" s="79"/>
      <c r="G912" s="79"/>
      <c r="H912" s="79"/>
      <c r="I912" s="125"/>
      <c r="J912" s="79"/>
      <c r="K912" s="79"/>
      <c r="L912" s="79"/>
      <c r="M912" s="79"/>
      <c r="N912" s="79"/>
      <c r="O912" s="79"/>
      <c r="P912" s="79"/>
      <c r="Q912" s="79"/>
      <c r="R912" s="79"/>
      <c r="S912" s="79"/>
      <c r="T912" s="79"/>
      <c r="U912" s="79"/>
      <c r="V912" s="79"/>
      <c r="W912" s="79"/>
      <c r="X912" s="79"/>
      <c r="Y912" s="79"/>
      <c r="Z912" s="79"/>
      <c r="AA912" s="79"/>
      <c r="AB912" s="79"/>
      <c r="AC912" s="79"/>
    </row>
    <row r="913" spans="1:29" ht="12.75" customHeight="1">
      <c r="A913" s="79"/>
      <c r="B913" s="79"/>
      <c r="C913" s="79"/>
      <c r="D913" s="79"/>
      <c r="E913" s="79"/>
      <c r="F913" s="79"/>
      <c r="G913" s="79"/>
      <c r="H913" s="79"/>
      <c r="I913" s="125"/>
      <c r="J913" s="79"/>
      <c r="K913" s="79"/>
      <c r="L913" s="79"/>
      <c r="M913" s="79"/>
      <c r="N913" s="79"/>
      <c r="O913" s="79"/>
      <c r="P913" s="79"/>
      <c r="Q913" s="79"/>
      <c r="R913" s="79"/>
      <c r="S913" s="79"/>
      <c r="T913" s="79"/>
      <c r="U913" s="79"/>
      <c r="V913" s="79"/>
      <c r="W913" s="79"/>
      <c r="X913" s="79"/>
      <c r="Y913" s="79"/>
      <c r="Z913" s="79"/>
      <c r="AA913" s="79"/>
      <c r="AB913" s="79"/>
      <c r="AC913" s="79"/>
    </row>
    <row r="914" spans="1:29" ht="12.75" customHeight="1">
      <c r="A914" s="79"/>
      <c r="B914" s="79"/>
      <c r="C914" s="79"/>
      <c r="D914" s="79"/>
      <c r="E914" s="79"/>
      <c r="F914" s="79"/>
      <c r="G914" s="79"/>
      <c r="H914" s="79"/>
      <c r="I914" s="125"/>
      <c r="J914" s="79"/>
      <c r="K914" s="79"/>
      <c r="L914" s="79"/>
      <c r="M914" s="79"/>
      <c r="N914" s="79"/>
      <c r="O914" s="79"/>
      <c r="P914" s="79"/>
      <c r="Q914" s="79"/>
      <c r="R914" s="79"/>
      <c r="S914" s="79"/>
      <c r="T914" s="79"/>
      <c r="U914" s="79"/>
      <c r="V914" s="79"/>
      <c r="W914" s="79"/>
      <c r="X914" s="79"/>
      <c r="Y914" s="79"/>
      <c r="Z914" s="79"/>
      <c r="AA914" s="79"/>
      <c r="AB914" s="79"/>
      <c r="AC914" s="79"/>
    </row>
    <row r="915" spans="1:29" ht="12.75" customHeight="1">
      <c r="A915" s="79"/>
      <c r="B915" s="79"/>
      <c r="C915" s="79"/>
      <c r="D915" s="79"/>
      <c r="E915" s="79"/>
      <c r="F915" s="79"/>
      <c r="G915" s="79"/>
      <c r="H915" s="79"/>
      <c r="I915" s="125"/>
      <c r="J915" s="79"/>
      <c r="K915" s="79"/>
      <c r="L915" s="79"/>
      <c r="M915" s="79"/>
      <c r="N915" s="79"/>
      <c r="O915" s="79"/>
      <c r="P915" s="79"/>
      <c r="Q915" s="79"/>
      <c r="R915" s="79"/>
      <c r="S915" s="79"/>
      <c r="T915" s="79"/>
      <c r="U915" s="79"/>
      <c r="V915" s="79"/>
      <c r="W915" s="79"/>
      <c r="X915" s="79"/>
      <c r="Y915" s="79"/>
      <c r="Z915" s="79"/>
      <c r="AA915" s="79"/>
      <c r="AB915" s="79"/>
      <c r="AC915" s="79"/>
    </row>
    <row r="916" spans="1:29" ht="12.75" customHeight="1">
      <c r="A916" s="79"/>
      <c r="B916" s="79"/>
      <c r="C916" s="79"/>
      <c r="D916" s="79"/>
      <c r="E916" s="79"/>
      <c r="F916" s="79"/>
      <c r="G916" s="79"/>
      <c r="H916" s="79"/>
      <c r="I916" s="125"/>
      <c r="J916" s="79"/>
      <c r="K916" s="79"/>
      <c r="L916" s="79"/>
      <c r="M916" s="79"/>
      <c r="N916" s="79"/>
      <c r="O916" s="79"/>
      <c r="P916" s="79"/>
      <c r="Q916" s="79"/>
      <c r="R916" s="79"/>
      <c r="S916" s="79"/>
      <c r="T916" s="79"/>
      <c r="U916" s="79"/>
      <c r="V916" s="79"/>
      <c r="W916" s="79"/>
      <c r="X916" s="79"/>
      <c r="Y916" s="79"/>
      <c r="Z916" s="79"/>
      <c r="AA916" s="79"/>
      <c r="AB916" s="79"/>
      <c r="AC916" s="79"/>
    </row>
    <row r="917" spans="1:29" ht="12.75" customHeight="1">
      <c r="A917" s="79"/>
      <c r="B917" s="79"/>
      <c r="C917" s="79"/>
      <c r="D917" s="79"/>
      <c r="E917" s="79"/>
      <c r="F917" s="79"/>
      <c r="G917" s="79"/>
      <c r="H917" s="79"/>
      <c r="I917" s="125"/>
      <c r="J917" s="79"/>
      <c r="K917" s="79"/>
      <c r="L917" s="79"/>
      <c r="M917" s="79"/>
      <c r="N917" s="79"/>
      <c r="O917" s="79"/>
      <c r="P917" s="79"/>
      <c r="Q917" s="79"/>
      <c r="R917" s="79"/>
      <c r="S917" s="79"/>
      <c r="T917" s="79"/>
      <c r="U917" s="79"/>
      <c r="V917" s="79"/>
      <c r="W917" s="79"/>
      <c r="X917" s="79"/>
      <c r="Y917" s="79"/>
      <c r="Z917" s="79"/>
      <c r="AA917" s="79"/>
      <c r="AB917" s="79"/>
      <c r="AC917" s="79"/>
    </row>
    <row r="918" spans="1:29" ht="12.75" customHeight="1">
      <c r="A918" s="79"/>
      <c r="B918" s="79"/>
      <c r="C918" s="79"/>
      <c r="D918" s="79"/>
      <c r="E918" s="79"/>
      <c r="F918" s="79"/>
      <c r="G918" s="79"/>
      <c r="H918" s="79"/>
      <c r="I918" s="125"/>
      <c r="J918" s="79"/>
      <c r="K918" s="79"/>
      <c r="L918" s="79"/>
      <c r="M918" s="79"/>
      <c r="N918" s="79"/>
      <c r="O918" s="79"/>
      <c r="P918" s="79"/>
      <c r="Q918" s="79"/>
      <c r="R918" s="79"/>
      <c r="S918" s="79"/>
      <c r="T918" s="79"/>
      <c r="U918" s="79"/>
      <c r="V918" s="79"/>
      <c r="W918" s="79"/>
      <c r="X918" s="79"/>
      <c r="Y918" s="79"/>
      <c r="Z918" s="79"/>
      <c r="AA918" s="79"/>
      <c r="AB918" s="79"/>
      <c r="AC918" s="79"/>
    </row>
    <row r="919" spans="1:29" ht="12.75" customHeight="1">
      <c r="A919" s="79"/>
      <c r="B919" s="79"/>
      <c r="C919" s="79"/>
      <c r="D919" s="79"/>
      <c r="E919" s="79"/>
      <c r="F919" s="79"/>
      <c r="G919" s="79"/>
      <c r="H919" s="79"/>
      <c r="I919" s="125"/>
      <c r="J919" s="79"/>
      <c r="K919" s="79"/>
      <c r="L919" s="79"/>
      <c r="M919" s="79"/>
      <c r="N919" s="79"/>
      <c r="O919" s="79"/>
      <c r="P919" s="79"/>
      <c r="Q919" s="79"/>
      <c r="R919" s="79"/>
      <c r="S919" s="79"/>
      <c r="T919" s="79"/>
      <c r="U919" s="79"/>
      <c r="V919" s="79"/>
      <c r="W919" s="79"/>
      <c r="X919" s="79"/>
      <c r="Y919" s="79"/>
      <c r="Z919" s="79"/>
      <c r="AA919" s="79"/>
      <c r="AB919" s="79"/>
      <c r="AC919" s="79"/>
    </row>
    <row r="920" spans="1:29" ht="12.75" customHeight="1">
      <c r="A920" s="79"/>
      <c r="B920" s="79"/>
      <c r="C920" s="79"/>
      <c r="D920" s="79"/>
      <c r="E920" s="79"/>
      <c r="F920" s="79"/>
      <c r="G920" s="79"/>
      <c r="H920" s="79"/>
      <c r="I920" s="125"/>
      <c r="J920" s="79"/>
      <c r="K920" s="79"/>
      <c r="L920" s="79"/>
      <c r="M920" s="79"/>
      <c r="N920" s="79"/>
      <c r="O920" s="79"/>
      <c r="P920" s="79"/>
      <c r="Q920" s="79"/>
      <c r="R920" s="79"/>
      <c r="S920" s="79"/>
      <c r="T920" s="79"/>
      <c r="U920" s="79"/>
      <c r="V920" s="79"/>
      <c r="W920" s="79"/>
      <c r="X920" s="79"/>
      <c r="Y920" s="79"/>
      <c r="Z920" s="79"/>
      <c r="AA920" s="79"/>
      <c r="AB920" s="79"/>
      <c r="AC920" s="79"/>
    </row>
    <row r="921" spans="1:29" ht="12.75" customHeight="1">
      <c r="A921" s="79"/>
      <c r="B921" s="79"/>
      <c r="C921" s="79"/>
      <c r="D921" s="79"/>
      <c r="E921" s="79"/>
      <c r="F921" s="79"/>
      <c r="G921" s="79"/>
      <c r="H921" s="79"/>
      <c r="I921" s="125"/>
      <c r="J921" s="79"/>
      <c r="K921" s="79"/>
      <c r="L921" s="79"/>
      <c r="M921" s="79"/>
      <c r="N921" s="79"/>
      <c r="O921" s="79"/>
      <c r="P921" s="79"/>
      <c r="Q921" s="79"/>
      <c r="R921" s="79"/>
      <c r="S921" s="79"/>
      <c r="T921" s="79"/>
      <c r="U921" s="79"/>
      <c r="V921" s="79"/>
      <c r="W921" s="79"/>
      <c r="X921" s="79"/>
      <c r="Y921" s="79"/>
      <c r="Z921" s="79"/>
      <c r="AA921" s="79"/>
      <c r="AB921" s="79"/>
      <c r="AC921" s="79"/>
    </row>
    <row r="922" spans="1:29" ht="12.75" customHeight="1">
      <c r="A922" s="79"/>
      <c r="B922" s="79"/>
      <c r="C922" s="79"/>
      <c r="D922" s="79"/>
      <c r="E922" s="79"/>
      <c r="F922" s="79"/>
      <c r="G922" s="79"/>
      <c r="H922" s="79"/>
      <c r="I922" s="125"/>
      <c r="J922" s="79"/>
      <c r="K922" s="79"/>
      <c r="L922" s="79"/>
      <c r="M922" s="79"/>
      <c r="N922" s="79"/>
      <c r="O922" s="79"/>
      <c r="P922" s="79"/>
      <c r="Q922" s="79"/>
      <c r="R922" s="79"/>
      <c r="S922" s="79"/>
      <c r="T922" s="79"/>
      <c r="U922" s="79"/>
      <c r="V922" s="79"/>
      <c r="W922" s="79"/>
      <c r="X922" s="79"/>
      <c r="Y922" s="79"/>
      <c r="Z922" s="79"/>
      <c r="AA922" s="79"/>
      <c r="AB922" s="79"/>
      <c r="AC922" s="79"/>
    </row>
    <row r="923" spans="1:29" ht="12.75" customHeight="1">
      <c r="A923" s="79"/>
      <c r="B923" s="79"/>
      <c r="C923" s="79"/>
      <c r="D923" s="79"/>
      <c r="E923" s="79"/>
      <c r="F923" s="79"/>
      <c r="G923" s="79"/>
      <c r="H923" s="79"/>
      <c r="I923" s="125"/>
      <c r="J923" s="79"/>
      <c r="K923" s="79"/>
      <c r="L923" s="79"/>
      <c r="M923" s="79"/>
      <c r="N923" s="79"/>
      <c r="O923" s="79"/>
      <c r="P923" s="79"/>
      <c r="Q923" s="79"/>
      <c r="R923" s="79"/>
      <c r="S923" s="79"/>
      <c r="T923" s="79"/>
      <c r="U923" s="79"/>
      <c r="V923" s="79"/>
      <c r="W923" s="79"/>
      <c r="X923" s="79"/>
      <c r="Y923" s="79"/>
      <c r="Z923" s="79"/>
      <c r="AA923" s="79"/>
      <c r="AB923" s="79"/>
      <c r="AC923" s="79"/>
    </row>
    <row r="924" spans="1:29" ht="12.75" customHeight="1">
      <c r="A924" s="79"/>
      <c r="B924" s="79"/>
      <c r="C924" s="79"/>
      <c r="D924" s="79"/>
      <c r="E924" s="79"/>
      <c r="F924" s="79"/>
      <c r="G924" s="79"/>
      <c r="H924" s="79"/>
      <c r="I924" s="125"/>
      <c r="J924" s="79"/>
      <c r="K924" s="79"/>
      <c r="L924" s="79"/>
      <c r="M924" s="79"/>
      <c r="N924" s="79"/>
      <c r="O924" s="79"/>
      <c r="P924" s="79"/>
      <c r="Q924" s="79"/>
      <c r="R924" s="79"/>
      <c r="S924" s="79"/>
      <c r="T924" s="79"/>
      <c r="U924" s="79"/>
      <c r="V924" s="79"/>
      <c r="W924" s="79"/>
      <c r="X924" s="79"/>
      <c r="Y924" s="79"/>
      <c r="Z924" s="79"/>
      <c r="AA924" s="79"/>
      <c r="AB924" s="79"/>
      <c r="AC924" s="79"/>
    </row>
    <row r="925" spans="1:29" ht="12.75" customHeight="1">
      <c r="A925" s="79"/>
      <c r="B925" s="79"/>
      <c r="C925" s="79"/>
      <c r="D925" s="79"/>
      <c r="E925" s="79"/>
      <c r="F925" s="79"/>
      <c r="G925" s="79"/>
      <c r="H925" s="79"/>
      <c r="I925" s="125"/>
      <c r="J925" s="79"/>
      <c r="K925" s="79"/>
      <c r="L925" s="79"/>
      <c r="M925" s="79"/>
      <c r="N925" s="79"/>
      <c r="O925" s="79"/>
      <c r="P925" s="79"/>
      <c r="Q925" s="79"/>
      <c r="R925" s="79"/>
      <c r="S925" s="79"/>
      <c r="T925" s="79"/>
      <c r="U925" s="79"/>
      <c r="V925" s="79"/>
      <c r="W925" s="79"/>
      <c r="X925" s="79"/>
      <c r="Y925" s="79"/>
      <c r="Z925" s="79"/>
      <c r="AA925" s="79"/>
      <c r="AB925" s="79"/>
      <c r="AC925" s="79"/>
    </row>
    <row r="926" spans="1:29" ht="12.75" customHeight="1">
      <c r="A926" s="79"/>
      <c r="B926" s="79"/>
      <c r="C926" s="79"/>
      <c r="D926" s="79"/>
      <c r="E926" s="79"/>
      <c r="F926" s="79"/>
      <c r="G926" s="79"/>
      <c r="H926" s="79"/>
      <c r="I926" s="125"/>
      <c r="J926" s="79"/>
      <c r="K926" s="79"/>
      <c r="L926" s="79"/>
      <c r="M926" s="79"/>
      <c r="N926" s="79"/>
      <c r="O926" s="79"/>
      <c r="P926" s="79"/>
      <c r="Q926" s="79"/>
      <c r="R926" s="79"/>
      <c r="S926" s="79"/>
      <c r="T926" s="79"/>
      <c r="U926" s="79"/>
      <c r="V926" s="79"/>
      <c r="W926" s="79"/>
      <c r="X926" s="79"/>
      <c r="Y926" s="79"/>
      <c r="Z926" s="79"/>
      <c r="AA926" s="79"/>
      <c r="AB926" s="79"/>
      <c r="AC926" s="79"/>
    </row>
    <row r="927" spans="1:29" ht="12.75" customHeight="1">
      <c r="A927" s="79"/>
      <c r="B927" s="79"/>
      <c r="C927" s="79"/>
      <c r="D927" s="79"/>
      <c r="E927" s="79"/>
      <c r="F927" s="79"/>
      <c r="G927" s="79"/>
      <c r="H927" s="79"/>
      <c r="I927" s="125"/>
      <c r="J927" s="79"/>
      <c r="K927" s="79"/>
      <c r="L927" s="79"/>
      <c r="M927" s="79"/>
      <c r="N927" s="79"/>
      <c r="O927" s="79"/>
      <c r="P927" s="79"/>
      <c r="Q927" s="79"/>
      <c r="R927" s="79"/>
      <c r="S927" s="79"/>
      <c r="T927" s="79"/>
      <c r="U927" s="79"/>
      <c r="V927" s="79"/>
      <c r="W927" s="79"/>
      <c r="X927" s="79"/>
      <c r="Y927" s="79"/>
      <c r="Z927" s="79"/>
      <c r="AA927" s="79"/>
      <c r="AB927" s="79"/>
      <c r="AC927" s="79"/>
    </row>
    <row r="928" spans="1:29" ht="12.75" customHeight="1">
      <c r="A928" s="79"/>
      <c r="B928" s="79"/>
      <c r="C928" s="79"/>
      <c r="D928" s="79"/>
      <c r="E928" s="79"/>
      <c r="F928" s="79"/>
      <c r="G928" s="79"/>
      <c r="H928" s="79"/>
      <c r="I928" s="125"/>
      <c r="J928" s="79"/>
      <c r="K928" s="79"/>
      <c r="L928" s="79"/>
      <c r="M928" s="79"/>
      <c r="N928" s="79"/>
      <c r="O928" s="79"/>
      <c r="P928" s="79"/>
      <c r="Q928" s="79"/>
      <c r="R928" s="79"/>
      <c r="S928" s="79"/>
      <c r="T928" s="79"/>
      <c r="U928" s="79"/>
      <c r="V928" s="79"/>
      <c r="W928" s="79"/>
      <c r="X928" s="79"/>
      <c r="Y928" s="79"/>
      <c r="Z928" s="79"/>
      <c r="AA928" s="79"/>
      <c r="AB928" s="79"/>
      <c r="AC928" s="79"/>
    </row>
    <row r="929" spans="1:29" ht="12.75" customHeight="1">
      <c r="A929" s="79"/>
      <c r="B929" s="79"/>
      <c r="C929" s="79"/>
      <c r="D929" s="79"/>
      <c r="E929" s="79"/>
      <c r="F929" s="79"/>
      <c r="G929" s="79"/>
      <c r="H929" s="79"/>
      <c r="I929" s="125"/>
      <c r="J929" s="79"/>
      <c r="K929" s="79"/>
      <c r="L929" s="79"/>
      <c r="M929" s="79"/>
      <c r="N929" s="79"/>
      <c r="O929" s="79"/>
      <c r="P929" s="79"/>
      <c r="Q929" s="79"/>
      <c r="R929" s="79"/>
      <c r="S929" s="79"/>
      <c r="T929" s="79"/>
      <c r="U929" s="79"/>
      <c r="V929" s="79"/>
      <c r="W929" s="79"/>
      <c r="X929" s="79"/>
      <c r="Y929" s="79"/>
      <c r="Z929" s="79"/>
      <c r="AA929" s="79"/>
      <c r="AB929" s="79"/>
      <c r="AC929" s="79"/>
    </row>
    <row r="930" spans="1:29" ht="12.75" customHeight="1">
      <c r="A930" s="79"/>
      <c r="B930" s="79"/>
      <c r="C930" s="79"/>
      <c r="D930" s="79"/>
      <c r="E930" s="79"/>
      <c r="F930" s="79"/>
      <c r="G930" s="79"/>
      <c r="H930" s="79"/>
      <c r="I930" s="125"/>
      <c r="J930" s="79"/>
      <c r="K930" s="79"/>
      <c r="L930" s="79"/>
      <c r="M930" s="79"/>
      <c r="N930" s="79"/>
      <c r="O930" s="79"/>
      <c r="P930" s="79"/>
      <c r="Q930" s="79"/>
      <c r="R930" s="79"/>
      <c r="S930" s="79"/>
      <c r="T930" s="79"/>
      <c r="U930" s="79"/>
      <c r="V930" s="79"/>
      <c r="W930" s="79"/>
      <c r="X930" s="79"/>
      <c r="Y930" s="79"/>
      <c r="Z930" s="79"/>
      <c r="AA930" s="79"/>
      <c r="AB930" s="79"/>
      <c r="AC930" s="79"/>
    </row>
    <row r="931" spans="1:29" ht="12.75" customHeight="1">
      <c r="A931" s="79"/>
      <c r="B931" s="79"/>
      <c r="C931" s="79"/>
      <c r="D931" s="79"/>
      <c r="E931" s="79"/>
      <c r="F931" s="79"/>
      <c r="G931" s="79"/>
      <c r="H931" s="79"/>
      <c r="I931" s="125"/>
      <c r="J931" s="79"/>
      <c r="K931" s="79"/>
      <c r="L931" s="79"/>
      <c r="M931" s="79"/>
      <c r="N931" s="79"/>
      <c r="O931" s="79"/>
      <c r="P931" s="79"/>
      <c r="Q931" s="79"/>
      <c r="R931" s="79"/>
      <c r="S931" s="79"/>
      <c r="T931" s="79"/>
      <c r="U931" s="79"/>
      <c r="V931" s="79"/>
      <c r="W931" s="79"/>
      <c r="X931" s="79"/>
      <c r="Y931" s="79"/>
      <c r="Z931" s="79"/>
      <c r="AA931" s="79"/>
      <c r="AB931" s="79"/>
      <c r="AC931" s="79"/>
    </row>
    <row r="932" spans="1:29" ht="12.75" customHeight="1">
      <c r="A932" s="79"/>
      <c r="B932" s="79"/>
      <c r="C932" s="79"/>
      <c r="D932" s="79"/>
      <c r="E932" s="79"/>
      <c r="F932" s="79"/>
      <c r="G932" s="79"/>
      <c r="H932" s="79"/>
      <c r="I932" s="125"/>
      <c r="J932" s="79"/>
      <c r="K932" s="79"/>
      <c r="L932" s="79"/>
      <c r="M932" s="79"/>
      <c r="N932" s="79"/>
      <c r="O932" s="79"/>
      <c r="P932" s="79"/>
      <c r="Q932" s="79"/>
      <c r="R932" s="79"/>
      <c r="S932" s="79"/>
      <c r="T932" s="79"/>
      <c r="U932" s="79"/>
      <c r="V932" s="79"/>
      <c r="W932" s="79"/>
      <c r="X932" s="79"/>
      <c r="Y932" s="79"/>
      <c r="Z932" s="79"/>
      <c r="AA932" s="79"/>
      <c r="AB932" s="79"/>
      <c r="AC932" s="79"/>
    </row>
    <row r="933" spans="1:29" ht="12.75" customHeight="1">
      <c r="A933" s="79"/>
      <c r="B933" s="79"/>
      <c r="C933" s="79"/>
      <c r="D933" s="79"/>
      <c r="E933" s="79"/>
      <c r="F933" s="79"/>
      <c r="G933" s="79"/>
      <c r="H933" s="79"/>
      <c r="I933" s="125"/>
      <c r="J933" s="79"/>
      <c r="K933" s="79"/>
      <c r="L933" s="79"/>
      <c r="M933" s="79"/>
      <c r="N933" s="79"/>
      <c r="O933" s="79"/>
      <c r="P933" s="79"/>
      <c r="Q933" s="79"/>
      <c r="R933" s="79"/>
      <c r="S933" s="79"/>
      <c r="T933" s="79"/>
      <c r="U933" s="79"/>
      <c r="V933" s="79"/>
      <c r="W933" s="79"/>
      <c r="X933" s="79"/>
      <c r="Y933" s="79"/>
      <c r="Z933" s="79"/>
      <c r="AA933" s="79"/>
      <c r="AB933" s="79"/>
      <c r="AC933" s="79"/>
    </row>
    <row r="934" spans="1:29" ht="12.75" customHeight="1">
      <c r="A934" s="79"/>
      <c r="B934" s="79"/>
      <c r="C934" s="79"/>
      <c r="D934" s="79"/>
      <c r="E934" s="79"/>
      <c r="F934" s="79"/>
      <c r="G934" s="79"/>
      <c r="H934" s="79"/>
      <c r="I934" s="125"/>
      <c r="J934" s="79"/>
      <c r="K934" s="79"/>
      <c r="L934" s="79"/>
      <c r="M934" s="79"/>
      <c r="N934" s="79"/>
      <c r="O934" s="79"/>
      <c r="P934" s="79"/>
      <c r="Q934" s="79"/>
      <c r="R934" s="79"/>
      <c r="S934" s="79"/>
      <c r="T934" s="79"/>
      <c r="U934" s="79"/>
      <c r="V934" s="79"/>
      <c r="W934" s="79"/>
      <c r="X934" s="79"/>
      <c r="Y934" s="79"/>
      <c r="Z934" s="79"/>
      <c r="AA934" s="79"/>
      <c r="AB934" s="79"/>
      <c r="AC934" s="79"/>
    </row>
    <row r="935" spans="1:29" ht="12.75" customHeight="1">
      <c r="A935" s="79"/>
      <c r="B935" s="79"/>
      <c r="C935" s="79"/>
      <c r="D935" s="79"/>
      <c r="E935" s="79"/>
      <c r="F935" s="79"/>
      <c r="G935" s="79"/>
      <c r="H935" s="79"/>
      <c r="I935" s="125"/>
      <c r="J935" s="79"/>
      <c r="K935" s="79"/>
      <c r="L935" s="79"/>
      <c r="M935" s="79"/>
      <c r="N935" s="79"/>
      <c r="O935" s="79"/>
      <c r="P935" s="79"/>
      <c r="Q935" s="79"/>
      <c r="R935" s="79"/>
      <c r="S935" s="79"/>
      <c r="T935" s="79"/>
      <c r="U935" s="79"/>
      <c r="V935" s="79"/>
      <c r="W935" s="79"/>
      <c r="X935" s="79"/>
      <c r="Y935" s="79"/>
      <c r="Z935" s="79"/>
      <c r="AA935" s="79"/>
      <c r="AB935" s="79"/>
      <c r="AC935" s="79"/>
    </row>
    <row r="936" spans="1:29" ht="12.75" customHeight="1">
      <c r="A936" s="79"/>
      <c r="B936" s="79"/>
      <c r="C936" s="79"/>
      <c r="D936" s="79"/>
      <c r="E936" s="79"/>
      <c r="F936" s="79"/>
      <c r="G936" s="79"/>
      <c r="H936" s="79"/>
      <c r="I936" s="125"/>
      <c r="J936" s="79"/>
      <c r="K936" s="79"/>
      <c r="L936" s="79"/>
      <c r="M936" s="79"/>
      <c r="N936" s="79"/>
      <c r="O936" s="79"/>
      <c r="P936" s="79"/>
      <c r="Q936" s="79"/>
      <c r="R936" s="79"/>
      <c r="S936" s="79"/>
      <c r="T936" s="79"/>
      <c r="U936" s="79"/>
      <c r="V936" s="79"/>
      <c r="W936" s="79"/>
      <c r="X936" s="79"/>
      <c r="Y936" s="79"/>
      <c r="Z936" s="79"/>
      <c r="AA936" s="79"/>
      <c r="AB936" s="79"/>
      <c r="AC936" s="79"/>
    </row>
    <row r="937" spans="1:29" ht="12.75" customHeight="1">
      <c r="A937" s="79"/>
      <c r="B937" s="79"/>
      <c r="C937" s="79"/>
      <c r="D937" s="79"/>
      <c r="E937" s="79"/>
      <c r="F937" s="79"/>
      <c r="G937" s="79"/>
      <c r="H937" s="79"/>
      <c r="I937" s="125"/>
      <c r="J937" s="79"/>
      <c r="K937" s="79"/>
      <c r="L937" s="79"/>
      <c r="M937" s="79"/>
      <c r="N937" s="79"/>
      <c r="O937" s="79"/>
      <c r="P937" s="79"/>
      <c r="Q937" s="79"/>
      <c r="R937" s="79"/>
      <c r="S937" s="79"/>
      <c r="T937" s="79"/>
      <c r="U937" s="79"/>
      <c r="V937" s="79"/>
      <c r="W937" s="79"/>
      <c r="X937" s="79"/>
      <c r="Y937" s="79"/>
      <c r="Z937" s="79"/>
      <c r="AA937" s="79"/>
      <c r="AB937" s="79"/>
      <c r="AC937" s="79"/>
    </row>
    <row r="938" spans="1:29" ht="12.75" customHeight="1">
      <c r="A938" s="79"/>
      <c r="B938" s="79"/>
      <c r="C938" s="79"/>
      <c r="D938" s="79"/>
      <c r="E938" s="79"/>
      <c r="F938" s="79"/>
      <c r="G938" s="79"/>
      <c r="H938" s="79"/>
      <c r="I938" s="125"/>
      <c r="J938" s="79"/>
      <c r="K938" s="79"/>
      <c r="L938" s="79"/>
      <c r="M938" s="79"/>
      <c r="N938" s="79"/>
      <c r="O938" s="79"/>
      <c r="P938" s="79"/>
      <c r="Q938" s="79"/>
      <c r="R938" s="79"/>
      <c r="S938" s="79"/>
      <c r="T938" s="79"/>
      <c r="U938" s="79"/>
      <c r="V938" s="79"/>
      <c r="W938" s="79"/>
      <c r="X938" s="79"/>
      <c r="Y938" s="79"/>
      <c r="Z938" s="79"/>
      <c r="AA938" s="79"/>
      <c r="AB938" s="79"/>
      <c r="AC938" s="79"/>
    </row>
    <row r="939" spans="1:29" ht="12.75" customHeight="1">
      <c r="A939" s="79"/>
      <c r="B939" s="79"/>
      <c r="C939" s="79"/>
      <c r="D939" s="79"/>
      <c r="E939" s="79"/>
      <c r="F939" s="79"/>
      <c r="G939" s="79"/>
      <c r="H939" s="79"/>
      <c r="I939" s="125"/>
      <c r="J939" s="79"/>
      <c r="K939" s="79"/>
      <c r="L939" s="79"/>
      <c r="M939" s="79"/>
      <c r="N939" s="79"/>
      <c r="O939" s="79"/>
      <c r="P939" s="79"/>
      <c r="Q939" s="79"/>
      <c r="R939" s="79"/>
      <c r="S939" s="79"/>
      <c r="T939" s="79"/>
      <c r="U939" s="79"/>
      <c r="V939" s="79"/>
      <c r="W939" s="79"/>
      <c r="X939" s="79"/>
      <c r="Y939" s="79"/>
      <c r="Z939" s="79"/>
      <c r="AA939" s="79"/>
      <c r="AB939" s="79"/>
      <c r="AC939" s="79"/>
    </row>
    <row r="940" spans="1:29" ht="12.75" customHeight="1">
      <c r="A940" s="79"/>
      <c r="B940" s="79"/>
      <c r="C940" s="79"/>
      <c r="D940" s="79"/>
      <c r="E940" s="79"/>
      <c r="F940" s="79"/>
      <c r="G940" s="79"/>
      <c r="H940" s="79"/>
      <c r="I940" s="125"/>
      <c r="J940" s="79"/>
      <c r="K940" s="79"/>
      <c r="L940" s="79"/>
      <c r="M940" s="79"/>
      <c r="N940" s="79"/>
      <c r="O940" s="79"/>
      <c r="P940" s="79"/>
      <c r="Q940" s="79"/>
      <c r="R940" s="79"/>
      <c r="S940" s="79"/>
      <c r="T940" s="79"/>
      <c r="U940" s="79"/>
      <c r="V940" s="79"/>
      <c r="W940" s="79"/>
      <c r="X940" s="79"/>
      <c r="Y940" s="79"/>
      <c r="Z940" s="79"/>
      <c r="AA940" s="79"/>
      <c r="AB940" s="79"/>
      <c r="AC940" s="79"/>
    </row>
    <row r="941" spans="1:29" ht="12.75" customHeight="1">
      <c r="A941" s="79"/>
      <c r="B941" s="79"/>
      <c r="C941" s="79"/>
      <c r="D941" s="79"/>
      <c r="E941" s="79"/>
      <c r="F941" s="79"/>
      <c r="G941" s="79"/>
      <c r="H941" s="79"/>
      <c r="I941" s="125"/>
      <c r="J941" s="79"/>
      <c r="K941" s="79"/>
      <c r="L941" s="79"/>
      <c r="M941" s="79"/>
      <c r="N941" s="79"/>
      <c r="O941" s="79"/>
      <c r="P941" s="79"/>
      <c r="Q941" s="79"/>
      <c r="R941" s="79"/>
      <c r="S941" s="79"/>
      <c r="T941" s="79"/>
      <c r="U941" s="79"/>
      <c r="V941" s="79"/>
      <c r="W941" s="79"/>
      <c r="X941" s="79"/>
      <c r="Y941" s="79"/>
      <c r="Z941" s="79"/>
      <c r="AA941" s="79"/>
      <c r="AB941" s="79"/>
      <c r="AC941" s="79"/>
    </row>
    <row r="942" spans="1:29" ht="12.75" customHeight="1">
      <c r="A942" s="79"/>
      <c r="B942" s="79"/>
      <c r="C942" s="79"/>
      <c r="D942" s="79"/>
      <c r="E942" s="79"/>
      <c r="F942" s="79"/>
      <c r="G942" s="79"/>
      <c r="H942" s="79"/>
      <c r="I942" s="125"/>
      <c r="J942" s="79"/>
      <c r="K942" s="79"/>
      <c r="L942" s="79"/>
      <c r="M942" s="79"/>
      <c r="N942" s="79"/>
      <c r="O942" s="79"/>
      <c r="P942" s="79"/>
      <c r="Q942" s="79"/>
      <c r="R942" s="79"/>
      <c r="S942" s="79"/>
      <c r="T942" s="79"/>
      <c r="U942" s="79"/>
      <c r="V942" s="79"/>
      <c r="W942" s="79"/>
      <c r="X942" s="79"/>
      <c r="Y942" s="79"/>
      <c r="Z942" s="79"/>
      <c r="AA942" s="79"/>
      <c r="AB942" s="79"/>
      <c r="AC942" s="79"/>
    </row>
    <row r="943" spans="1:29" ht="12.75" customHeight="1">
      <c r="A943" s="79"/>
      <c r="B943" s="79"/>
      <c r="C943" s="79"/>
      <c r="D943" s="79"/>
      <c r="E943" s="79"/>
      <c r="F943" s="79"/>
      <c r="G943" s="79"/>
      <c r="H943" s="79"/>
      <c r="I943" s="125"/>
      <c r="J943" s="79"/>
      <c r="K943" s="79"/>
      <c r="L943" s="79"/>
      <c r="M943" s="79"/>
      <c r="N943" s="79"/>
      <c r="O943" s="79"/>
      <c r="P943" s="79"/>
      <c r="Q943" s="79"/>
      <c r="R943" s="79"/>
      <c r="S943" s="79"/>
      <c r="T943" s="79"/>
      <c r="U943" s="79"/>
      <c r="V943" s="79"/>
      <c r="W943" s="79"/>
      <c r="X943" s="79"/>
      <c r="Y943" s="79"/>
      <c r="Z943" s="79"/>
      <c r="AA943" s="79"/>
      <c r="AB943" s="79"/>
      <c r="AC943" s="79"/>
    </row>
    <row r="944" spans="1:29" ht="12.75" customHeight="1">
      <c r="A944" s="79"/>
      <c r="B944" s="79"/>
      <c r="C944" s="79"/>
      <c r="D944" s="79"/>
      <c r="E944" s="79"/>
      <c r="F944" s="79"/>
      <c r="G944" s="79"/>
      <c r="H944" s="79"/>
      <c r="I944" s="125"/>
      <c r="J944" s="79"/>
      <c r="K944" s="79"/>
      <c r="L944" s="79"/>
      <c r="M944" s="79"/>
      <c r="N944" s="79"/>
      <c r="O944" s="79"/>
      <c r="P944" s="79"/>
      <c r="Q944" s="79"/>
      <c r="R944" s="79"/>
      <c r="S944" s="79"/>
      <c r="T944" s="79"/>
      <c r="U944" s="79"/>
      <c r="V944" s="79"/>
      <c r="W944" s="79"/>
      <c r="X944" s="79"/>
      <c r="Y944" s="79"/>
      <c r="Z944" s="79"/>
      <c r="AA944" s="79"/>
      <c r="AB944" s="79"/>
      <c r="AC944" s="79"/>
    </row>
    <row r="945" spans="1:29" ht="12.75" customHeight="1">
      <c r="A945" s="79"/>
      <c r="B945" s="79"/>
      <c r="C945" s="79"/>
      <c r="D945" s="79"/>
      <c r="E945" s="79"/>
      <c r="F945" s="79"/>
      <c r="G945" s="79"/>
      <c r="H945" s="79"/>
      <c r="I945" s="125"/>
      <c r="J945" s="79"/>
      <c r="K945" s="79"/>
      <c r="L945" s="79"/>
      <c r="M945" s="79"/>
      <c r="N945" s="79"/>
      <c r="O945" s="79"/>
      <c r="P945" s="79"/>
      <c r="Q945" s="79"/>
      <c r="R945" s="79"/>
      <c r="S945" s="79"/>
      <c r="T945" s="79"/>
      <c r="U945" s="79"/>
      <c r="V945" s="79"/>
      <c r="W945" s="79"/>
      <c r="X945" s="79"/>
      <c r="Y945" s="79"/>
      <c r="Z945" s="79"/>
      <c r="AA945" s="79"/>
      <c r="AB945" s="79"/>
      <c r="AC945" s="79"/>
    </row>
    <row r="946" spans="1:29" ht="12.75" customHeight="1">
      <c r="A946" s="79"/>
      <c r="B946" s="79"/>
      <c r="C946" s="79"/>
      <c r="D946" s="79"/>
      <c r="E946" s="79"/>
      <c r="F946" s="79"/>
      <c r="G946" s="79"/>
      <c r="H946" s="79"/>
      <c r="I946" s="125"/>
      <c r="J946" s="79"/>
      <c r="K946" s="79"/>
      <c r="L946" s="79"/>
      <c r="M946" s="79"/>
      <c r="N946" s="79"/>
      <c r="O946" s="79"/>
      <c r="P946" s="79"/>
      <c r="Q946" s="79"/>
      <c r="R946" s="79"/>
      <c r="S946" s="79"/>
      <c r="T946" s="79"/>
      <c r="U946" s="79"/>
      <c r="V946" s="79"/>
      <c r="W946" s="79"/>
      <c r="X946" s="79"/>
      <c r="Y946" s="79"/>
      <c r="Z946" s="79"/>
      <c r="AA946" s="79"/>
      <c r="AB946" s="79"/>
      <c r="AC946" s="79"/>
    </row>
    <row r="947" spans="1:29" ht="12.75" customHeight="1">
      <c r="A947" s="79"/>
      <c r="B947" s="79"/>
      <c r="C947" s="79"/>
      <c r="D947" s="79"/>
      <c r="E947" s="79"/>
      <c r="F947" s="79"/>
      <c r="G947" s="79"/>
      <c r="H947" s="79"/>
      <c r="I947" s="125"/>
      <c r="J947" s="79"/>
      <c r="K947" s="79"/>
      <c r="L947" s="79"/>
      <c r="M947" s="79"/>
      <c r="N947" s="79"/>
      <c r="O947" s="79"/>
      <c r="P947" s="79"/>
      <c r="Q947" s="79"/>
      <c r="R947" s="79"/>
      <c r="S947" s="79"/>
      <c r="T947" s="79"/>
      <c r="U947" s="79"/>
      <c r="V947" s="79"/>
      <c r="W947" s="79"/>
      <c r="X947" s="79"/>
      <c r="Y947" s="79"/>
      <c r="Z947" s="79"/>
      <c r="AA947" s="79"/>
      <c r="AB947" s="79"/>
      <c r="AC947" s="79"/>
    </row>
    <row r="948" spans="1:29" ht="12.75" customHeight="1">
      <c r="A948" s="79"/>
      <c r="B948" s="79"/>
      <c r="C948" s="79"/>
      <c r="D948" s="79"/>
      <c r="E948" s="79"/>
      <c r="F948" s="79"/>
      <c r="G948" s="79"/>
      <c r="H948" s="79"/>
      <c r="I948" s="125"/>
      <c r="J948" s="79"/>
      <c r="K948" s="79"/>
      <c r="L948" s="79"/>
      <c r="M948" s="79"/>
      <c r="N948" s="79"/>
      <c r="O948" s="79"/>
      <c r="P948" s="79"/>
      <c r="Q948" s="79"/>
      <c r="R948" s="79"/>
      <c r="S948" s="79"/>
      <c r="T948" s="79"/>
      <c r="U948" s="79"/>
      <c r="V948" s="79"/>
      <c r="W948" s="79"/>
      <c r="X948" s="79"/>
      <c r="Y948" s="79"/>
      <c r="Z948" s="79"/>
      <c r="AA948" s="79"/>
      <c r="AB948" s="79"/>
      <c r="AC948" s="79"/>
    </row>
    <row r="949" spans="1:29" ht="12.75" customHeight="1">
      <c r="A949" s="79"/>
      <c r="B949" s="79"/>
      <c r="C949" s="79"/>
      <c r="D949" s="79"/>
      <c r="E949" s="79"/>
      <c r="F949" s="79"/>
      <c r="G949" s="79"/>
      <c r="H949" s="79"/>
      <c r="I949" s="125"/>
      <c r="J949" s="79"/>
      <c r="K949" s="79"/>
      <c r="L949" s="79"/>
      <c r="M949" s="79"/>
      <c r="N949" s="79"/>
      <c r="O949" s="79"/>
      <c r="P949" s="79"/>
      <c r="Q949" s="79"/>
      <c r="R949" s="79"/>
      <c r="S949" s="79"/>
      <c r="T949" s="79"/>
      <c r="U949" s="79"/>
      <c r="V949" s="79"/>
      <c r="W949" s="79"/>
      <c r="X949" s="79"/>
      <c r="Y949" s="79"/>
      <c r="Z949" s="79"/>
      <c r="AA949" s="79"/>
      <c r="AB949" s="79"/>
      <c r="AC949" s="79"/>
    </row>
    <row r="950" spans="1:29" ht="12.75" customHeight="1">
      <c r="A950" s="79"/>
      <c r="B950" s="79"/>
      <c r="C950" s="79"/>
      <c r="D950" s="79"/>
      <c r="E950" s="79"/>
      <c r="F950" s="79"/>
      <c r="G950" s="79"/>
      <c r="H950" s="79"/>
      <c r="I950" s="125"/>
      <c r="J950" s="79"/>
      <c r="K950" s="79"/>
      <c r="L950" s="79"/>
      <c r="M950" s="79"/>
      <c r="N950" s="79"/>
      <c r="O950" s="79"/>
      <c r="P950" s="79"/>
      <c r="Q950" s="79"/>
      <c r="R950" s="79"/>
      <c r="S950" s="79"/>
      <c r="T950" s="79"/>
      <c r="U950" s="79"/>
      <c r="V950" s="79"/>
      <c r="W950" s="79"/>
      <c r="X950" s="79"/>
      <c r="Y950" s="79"/>
      <c r="Z950" s="79"/>
      <c r="AA950" s="79"/>
      <c r="AB950" s="79"/>
      <c r="AC950" s="79"/>
    </row>
    <row r="951" spans="1:29" ht="12.75" customHeight="1">
      <c r="A951" s="79"/>
      <c r="B951" s="79"/>
      <c r="C951" s="79"/>
      <c r="D951" s="79"/>
      <c r="E951" s="79"/>
      <c r="F951" s="79"/>
      <c r="G951" s="79"/>
      <c r="H951" s="79"/>
      <c r="I951" s="125"/>
      <c r="J951" s="79"/>
      <c r="K951" s="79"/>
      <c r="L951" s="79"/>
      <c r="M951" s="79"/>
      <c r="N951" s="79"/>
      <c r="O951" s="79"/>
      <c r="P951" s="79"/>
      <c r="Q951" s="79"/>
      <c r="R951" s="79"/>
      <c r="S951" s="79"/>
      <c r="T951" s="79"/>
      <c r="U951" s="79"/>
      <c r="V951" s="79"/>
      <c r="W951" s="79"/>
      <c r="X951" s="79"/>
      <c r="Y951" s="79"/>
      <c r="Z951" s="79"/>
      <c r="AA951" s="79"/>
      <c r="AB951" s="79"/>
      <c r="AC951" s="79"/>
    </row>
    <row r="952" spans="1:29" ht="12.75" customHeight="1">
      <c r="A952" s="79"/>
      <c r="B952" s="79"/>
      <c r="C952" s="79"/>
      <c r="D952" s="79"/>
      <c r="E952" s="79"/>
      <c r="F952" s="79"/>
      <c r="G952" s="79"/>
      <c r="H952" s="79"/>
      <c r="I952" s="125"/>
      <c r="J952" s="79"/>
      <c r="K952" s="79"/>
      <c r="L952" s="79"/>
      <c r="M952" s="79"/>
      <c r="N952" s="79"/>
      <c r="O952" s="79"/>
      <c r="P952" s="79"/>
      <c r="Q952" s="79"/>
      <c r="R952" s="79"/>
      <c r="S952" s="79"/>
      <c r="T952" s="79"/>
      <c r="U952" s="79"/>
      <c r="V952" s="79"/>
      <c r="W952" s="79"/>
      <c r="X952" s="79"/>
      <c r="Y952" s="79"/>
      <c r="Z952" s="79"/>
      <c r="AA952" s="79"/>
      <c r="AB952" s="79"/>
      <c r="AC952" s="79"/>
    </row>
    <row r="953" spans="1:29" ht="12.75" customHeight="1">
      <c r="A953" s="79"/>
      <c r="B953" s="79"/>
      <c r="C953" s="79"/>
      <c r="D953" s="79"/>
      <c r="E953" s="79"/>
      <c r="F953" s="79"/>
      <c r="G953" s="79"/>
      <c r="H953" s="79"/>
      <c r="I953" s="125"/>
      <c r="J953" s="79"/>
      <c r="K953" s="79"/>
      <c r="L953" s="79"/>
      <c r="M953" s="79"/>
      <c r="N953" s="79"/>
      <c r="O953" s="79"/>
      <c r="P953" s="79"/>
      <c r="Q953" s="79"/>
      <c r="R953" s="79"/>
      <c r="S953" s="79"/>
      <c r="T953" s="79"/>
      <c r="U953" s="79"/>
      <c r="V953" s="79"/>
      <c r="W953" s="79"/>
      <c r="X953" s="79"/>
      <c r="Y953" s="79"/>
      <c r="Z953" s="79"/>
      <c r="AA953" s="79"/>
      <c r="AB953" s="79"/>
      <c r="AC953" s="79"/>
    </row>
    <row r="954" spans="1:29" ht="12.75" customHeight="1">
      <c r="A954" s="79"/>
      <c r="B954" s="79"/>
      <c r="C954" s="79"/>
      <c r="D954" s="79"/>
      <c r="E954" s="79"/>
      <c r="F954" s="79"/>
      <c r="G954" s="79"/>
      <c r="H954" s="79"/>
      <c r="I954" s="125"/>
      <c r="J954" s="79"/>
      <c r="K954" s="79"/>
      <c r="L954" s="79"/>
      <c r="M954" s="79"/>
      <c r="N954" s="79"/>
      <c r="O954" s="79"/>
      <c r="P954" s="79"/>
      <c r="Q954" s="79"/>
      <c r="R954" s="79"/>
      <c r="S954" s="79"/>
      <c r="T954" s="79"/>
      <c r="U954" s="79"/>
      <c r="V954" s="79"/>
      <c r="W954" s="79"/>
      <c r="X954" s="79"/>
      <c r="Y954" s="79"/>
      <c r="Z954" s="79"/>
      <c r="AA954" s="79"/>
      <c r="AB954" s="79"/>
      <c r="AC954" s="79"/>
    </row>
    <row r="955" spans="1:29" ht="12.75" customHeight="1">
      <c r="A955" s="79"/>
      <c r="B955" s="79"/>
      <c r="C955" s="79"/>
      <c r="D955" s="79"/>
      <c r="E955" s="79"/>
      <c r="F955" s="79"/>
      <c r="G955" s="79"/>
      <c r="H955" s="79"/>
      <c r="I955" s="125"/>
      <c r="J955" s="79"/>
      <c r="K955" s="79"/>
      <c r="L955" s="79"/>
      <c r="M955" s="79"/>
      <c r="N955" s="79"/>
      <c r="O955" s="79"/>
      <c r="P955" s="79"/>
      <c r="Q955" s="79"/>
      <c r="R955" s="79"/>
      <c r="S955" s="79"/>
      <c r="T955" s="79"/>
      <c r="U955" s="79"/>
      <c r="V955" s="79"/>
      <c r="W955" s="79"/>
      <c r="X955" s="79"/>
      <c r="Y955" s="79"/>
      <c r="Z955" s="79"/>
      <c r="AA955" s="79"/>
      <c r="AB955" s="79"/>
      <c r="AC955" s="79"/>
    </row>
    <row r="956" spans="1:29" ht="12.75" customHeight="1">
      <c r="A956" s="79"/>
      <c r="B956" s="79"/>
      <c r="C956" s="79"/>
      <c r="D956" s="79"/>
      <c r="E956" s="79"/>
      <c r="F956" s="79"/>
      <c r="G956" s="79"/>
      <c r="H956" s="79"/>
      <c r="I956" s="125"/>
      <c r="J956" s="79"/>
      <c r="K956" s="79"/>
      <c r="L956" s="79"/>
      <c r="M956" s="79"/>
      <c r="N956" s="79"/>
      <c r="O956" s="79"/>
      <c r="P956" s="79"/>
      <c r="Q956" s="79"/>
      <c r="R956" s="79"/>
      <c r="S956" s="79"/>
      <c r="T956" s="79"/>
      <c r="U956" s="79"/>
      <c r="V956" s="79"/>
      <c r="W956" s="79"/>
      <c r="X956" s="79"/>
      <c r="Y956" s="79"/>
      <c r="Z956" s="79"/>
      <c r="AA956" s="79"/>
      <c r="AB956" s="79"/>
      <c r="AC956" s="79"/>
    </row>
    <row r="957" spans="1:29" ht="12.75" customHeight="1">
      <c r="A957" s="79"/>
      <c r="B957" s="79"/>
      <c r="C957" s="79"/>
      <c r="D957" s="79"/>
      <c r="E957" s="79"/>
      <c r="F957" s="79"/>
      <c r="G957" s="79"/>
      <c r="H957" s="79"/>
      <c r="I957" s="125"/>
      <c r="J957" s="79"/>
      <c r="K957" s="79"/>
      <c r="L957" s="79"/>
      <c r="M957" s="79"/>
      <c r="N957" s="79"/>
      <c r="O957" s="79"/>
      <c r="P957" s="79"/>
      <c r="Q957" s="79"/>
      <c r="R957" s="79"/>
      <c r="S957" s="79"/>
      <c r="T957" s="79"/>
      <c r="U957" s="79"/>
      <c r="V957" s="79"/>
      <c r="W957" s="79"/>
      <c r="X957" s="79"/>
      <c r="Y957" s="79"/>
      <c r="Z957" s="79"/>
      <c r="AA957" s="79"/>
      <c r="AB957" s="79"/>
      <c r="AC957" s="79"/>
    </row>
    <row r="958" spans="1:29" ht="12.75" customHeight="1">
      <c r="A958" s="79"/>
      <c r="B958" s="79"/>
      <c r="C958" s="79"/>
      <c r="D958" s="79"/>
      <c r="E958" s="79"/>
      <c r="F958" s="79"/>
      <c r="G958" s="79"/>
      <c r="H958" s="79"/>
      <c r="I958" s="125"/>
      <c r="J958" s="79"/>
      <c r="K958" s="79"/>
      <c r="L958" s="79"/>
      <c r="M958" s="79"/>
      <c r="N958" s="79"/>
      <c r="O958" s="79"/>
      <c r="P958" s="79"/>
      <c r="Q958" s="79"/>
      <c r="R958" s="79"/>
      <c r="S958" s="79"/>
      <c r="T958" s="79"/>
      <c r="U958" s="79"/>
      <c r="V958" s="79"/>
      <c r="W958" s="79"/>
      <c r="X958" s="79"/>
      <c r="Y958" s="79"/>
      <c r="Z958" s="79"/>
      <c r="AA958" s="79"/>
      <c r="AB958" s="79"/>
      <c r="AC958" s="79"/>
    </row>
    <row r="959" spans="1:29" ht="12.75" customHeight="1">
      <c r="A959" s="79"/>
      <c r="B959" s="79"/>
      <c r="C959" s="79"/>
      <c r="D959" s="79"/>
      <c r="E959" s="79"/>
      <c r="F959" s="79"/>
      <c r="G959" s="79"/>
      <c r="H959" s="79"/>
      <c r="I959" s="125"/>
      <c r="J959" s="79"/>
      <c r="K959" s="79"/>
      <c r="L959" s="79"/>
      <c r="M959" s="79"/>
      <c r="N959" s="79"/>
      <c r="O959" s="79"/>
      <c r="P959" s="79"/>
      <c r="Q959" s="79"/>
      <c r="R959" s="79"/>
      <c r="S959" s="79"/>
      <c r="T959" s="79"/>
      <c r="U959" s="79"/>
      <c r="V959" s="79"/>
      <c r="W959" s="79"/>
      <c r="X959" s="79"/>
      <c r="Y959" s="79"/>
      <c r="Z959" s="79"/>
      <c r="AA959" s="79"/>
      <c r="AB959" s="79"/>
      <c r="AC959" s="79"/>
    </row>
    <row r="960" spans="1:29" ht="12.75" customHeight="1">
      <c r="A960" s="79"/>
      <c r="B960" s="79"/>
      <c r="C960" s="79"/>
      <c r="D960" s="79"/>
      <c r="E960" s="79"/>
      <c r="F960" s="79"/>
      <c r="G960" s="79"/>
      <c r="H960" s="79"/>
      <c r="I960" s="125"/>
      <c r="J960" s="79"/>
      <c r="K960" s="79"/>
      <c r="L960" s="79"/>
      <c r="M960" s="79"/>
      <c r="N960" s="79"/>
      <c r="O960" s="79"/>
      <c r="P960" s="79"/>
      <c r="Q960" s="79"/>
      <c r="R960" s="79"/>
      <c r="S960" s="79"/>
      <c r="T960" s="79"/>
      <c r="U960" s="79"/>
      <c r="V960" s="79"/>
      <c r="W960" s="79"/>
      <c r="X960" s="79"/>
      <c r="Y960" s="79"/>
      <c r="Z960" s="79"/>
      <c r="AA960" s="79"/>
      <c r="AB960" s="79"/>
      <c r="AC960" s="79"/>
    </row>
    <row r="961" spans="1:29" ht="12.75" customHeight="1">
      <c r="A961" s="79"/>
      <c r="B961" s="79"/>
      <c r="C961" s="79"/>
      <c r="D961" s="79"/>
      <c r="E961" s="79"/>
      <c r="F961" s="79"/>
      <c r="G961" s="79"/>
      <c r="H961" s="79"/>
      <c r="I961" s="125"/>
      <c r="J961" s="79"/>
      <c r="K961" s="79"/>
      <c r="L961" s="79"/>
      <c r="M961" s="79"/>
      <c r="N961" s="79"/>
      <c r="O961" s="79"/>
      <c r="P961" s="79"/>
      <c r="Q961" s="79"/>
      <c r="R961" s="79"/>
      <c r="S961" s="79"/>
      <c r="T961" s="79"/>
      <c r="U961" s="79"/>
      <c r="V961" s="79"/>
      <c r="W961" s="79"/>
      <c r="X961" s="79"/>
      <c r="Y961" s="79"/>
      <c r="Z961" s="79"/>
      <c r="AA961" s="79"/>
      <c r="AB961" s="79"/>
      <c r="AC961" s="79"/>
    </row>
    <row r="962" spans="1:29" ht="12.75" customHeight="1">
      <c r="A962" s="79"/>
      <c r="B962" s="79"/>
      <c r="C962" s="79"/>
      <c r="D962" s="79"/>
      <c r="E962" s="79"/>
      <c r="F962" s="79"/>
      <c r="G962" s="79"/>
      <c r="H962" s="79"/>
      <c r="I962" s="125"/>
      <c r="J962" s="79"/>
      <c r="K962" s="79"/>
      <c r="L962" s="79"/>
      <c r="M962" s="79"/>
      <c r="N962" s="79"/>
      <c r="O962" s="79"/>
      <c r="P962" s="79"/>
      <c r="Q962" s="79"/>
      <c r="R962" s="79"/>
      <c r="S962" s="79"/>
      <c r="T962" s="79"/>
      <c r="U962" s="79"/>
      <c r="V962" s="79"/>
      <c r="W962" s="79"/>
      <c r="X962" s="79"/>
      <c r="Y962" s="79"/>
      <c r="Z962" s="79"/>
      <c r="AA962" s="79"/>
      <c r="AB962" s="79"/>
      <c r="AC962" s="79"/>
    </row>
    <row r="963" spans="1:29" ht="12.75" customHeight="1">
      <c r="A963" s="79"/>
      <c r="B963" s="79"/>
      <c r="C963" s="79"/>
      <c r="D963" s="79"/>
      <c r="E963" s="79"/>
      <c r="F963" s="79"/>
      <c r="G963" s="79"/>
      <c r="H963" s="79"/>
      <c r="I963" s="125"/>
      <c r="J963" s="79"/>
      <c r="K963" s="79"/>
      <c r="L963" s="79"/>
      <c r="M963" s="79"/>
      <c r="N963" s="79"/>
      <c r="O963" s="79"/>
      <c r="P963" s="79"/>
      <c r="Q963" s="79"/>
      <c r="R963" s="79"/>
      <c r="S963" s="79"/>
      <c r="T963" s="79"/>
      <c r="U963" s="79"/>
      <c r="V963" s="79"/>
      <c r="W963" s="79"/>
      <c r="X963" s="79"/>
      <c r="Y963" s="79"/>
      <c r="Z963" s="79"/>
      <c r="AA963" s="79"/>
      <c r="AB963" s="79"/>
      <c r="AC963" s="79"/>
    </row>
    <row r="964" spans="1:29" ht="12.75" customHeight="1">
      <c r="A964" s="79"/>
      <c r="B964" s="79"/>
      <c r="C964" s="79"/>
      <c r="D964" s="79"/>
      <c r="E964" s="79"/>
      <c r="F964" s="79"/>
      <c r="G964" s="79"/>
      <c r="H964" s="79"/>
      <c r="I964" s="125"/>
      <c r="J964" s="79"/>
      <c r="K964" s="79"/>
      <c r="L964" s="79"/>
      <c r="M964" s="79"/>
      <c r="N964" s="79"/>
      <c r="O964" s="79"/>
      <c r="P964" s="79"/>
      <c r="Q964" s="79"/>
      <c r="R964" s="79"/>
      <c r="S964" s="79"/>
      <c r="T964" s="79"/>
      <c r="U964" s="79"/>
      <c r="V964" s="79"/>
      <c r="W964" s="79"/>
      <c r="X964" s="79"/>
      <c r="Y964" s="79"/>
      <c r="Z964" s="79"/>
      <c r="AA964" s="79"/>
      <c r="AB964" s="79"/>
      <c r="AC964" s="79"/>
    </row>
    <row r="965" spans="1:29" ht="12.75" customHeight="1">
      <c r="A965" s="79"/>
      <c r="B965" s="79"/>
      <c r="C965" s="79"/>
      <c r="D965" s="79"/>
      <c r="E965" s="79"/>
      <c r="F965" s="79"/>
      <c r="G965" s="79"/>
      <c r="H965" s="79"/>
      <c r="I965" s="125"/>
      <c r="J965" s="79"/>
      <c r="K965" s="79"/>
      <c r="L965" s="79"/>
      <c r="M965" s="79"/>
      <c r="N965" s="79"/>
      <c r="O965" s="79"/>
      <c r="P965" s="79"/>
      <c r="Q965" s="79"/>
      <c r="R965" s="79"/>
      <c r="S965" s="79"/>
      <c r="T965" s="79"/>
      <c r="U965" s="79"/>
      <c r="V965" s="79"/>
      <c r="W965" s="79"/>
      <c r="X965" s="79"/>
      <c r="Y965" s="79"/>
      <c r="Z965" s="79"/>
      <c r="AA965" s="79"/>
      <c r="AB965" s="79"/>
      <c r="AC965" s="79"/>
    </row>
    <row r="966" spans="1:29" ht="12.75" customHeight="1">
      <c r="A966" s="79"/>
      <c r="B966" s="79"/>
      <c r="C966" s="79"/>
      <c r="D966" s="79"/>
      <c r="E966" s="79"/>
      <c r="F966" s="79"/>
      <c r="G966" s="79"/>
      <c r="H966" s="79"/>
      <c r="I966" s="125"/>
      <c r="J966" s="79"/>
      <c r="K966" s="79"/>
      <c r="L966" s="79"/>
      <c r="M966" s="79"/>
      <c r="N966" s="79"/>
      <c r="O966" s="79"/>
      <c r="P966" s="79"/>
      <c r="Q966" s="79"/>
      <c r="R966" s="79"/>
      <c r="S966" s="79"/>
      <c r="T966" s="79"/>
      <c r="U966" s="79"/>
      <c r="V966" s="79"/>
      <c r="W966" s="79"/>
      <c r="X966" s="79"/>
      <c r="Y966" s="79"/>
      <c r="Z966" s="79"/>
      <c r="AA966" s="79"/>
      <c r="AB966" s="79"/>
      <c r="AC966" s="79"/>
    </row>
    <row r="967" spans="1:29" ht="12.75" customHeight="1">
      <c r="A967" s="79"/>
      <c r="B967" s="79"/>
      <c r="C967" s="79"/>
      <c r="D967" s="79"/>
      <c r="E967" s="79"/>
      <c r="F967" s="79"/>
      <c r="G967" s="79"/>
      <c r="H967" s="79"/>
      <c r="I967" s="125"/>
      <c r="J967" s="79"/>
      <c r="K967" s="79"/>
      <c r="L967" s="79"/>
      <c r="M967" s="79"/>
      <c r="N967" s="79"/>
      <c r="O967" s="79"/>
      <c r="P967" s="79"/>
      <c r="Q967" s="79"/>
      <c r="R967" s="79"/>
      <c r="S967" s="79"/>
      <c r="T967" s="79"/>
      <c r="U967" s="79"/>
      <c r="V967" s="79"/>
      <c r="W967" s="79"/>
      <c r="X967" s="79"/>
      <c r="Y967" s="79"/>
      <c r="Z967" s="79"/>
      <c r="AA967" s="79"/>
      <c r="AB967" s="79"/>
      <c r="AC967" s="79"/>
    </row>
    <row r="968" spans="1:29" ht="12.75" customHeight="1">
      <c r="A968" s="79"/>
      <c r="B968" s="79"/>
      <c r="C968" s="79"/>
      <c r="D968" s="79"/>
      <c r="E968" s="79"/>
      <c r="F968" s="79"/>
      <c r="G968" s="79"/>
      <c r="H968" s="79"/>
      <c r="I968" s="125"/>
      <c r="J968" s="79"/>
      <c r="K968" s="79"/>
      <c r="L968" s="79"/>
      <c r="M968" s="79"/>
      <c r="N968" s="79"/>
      <c r="O968" s="79"/>
      <c r="P968" s="79"/>
      <c r="Q968" s="79"/>
      <c r="R968" s="79"/>
      <c r="S968" s="79"/>
      <c r="T968" s="79"/>
      <c r="U968" s="79"/>
      <c r="V968" s="79"/>
      <c r="W968" s="79"/>
      <c r="X968" s="79"/>
      <c r="Y968" s="79"/>
      <c r="Z968" s="79"/>
      <c r="AA968" s="79"/>
      <c r="AB968" s="79"/>
      <c r="AC968" s="79"/>
    </row>
    <row r="969" spans="1:29" ht="12.75" customHeight="1">
      <c r="A969" s="79"/>
      <c r="B969" s="79"/>
      <c r="C969" s="79"/>
      <c r="D969" s="79"/>
      <c r="E969" s="79"/>
      <c r="F969" s="79"/>
      <c r="G969" s="79"/>
      <c r="H969" s="79"/>
      <c r="I969" s="125"/>
      <c r="J969" s="79"/>
      <c r="K969" s="79"/>
      <c r="L969" s="79"/>
      <c r="M969" s="79"/>
      <c r="N969" s="79"/>
      <c r="O969" s="79"/>
      <c r="P969" s="79"/>
      <c r="Q969" s="79"/>
      <c r="R969" s="79"/>
      <c r="S969" s="79"/>
      <c r="T969" s="79"/>
      <c r="U969" s="79"/>
      <c r="V969" s="79"/>
      <c r="W969" s="79"/>
      <c r="X969" s="79"/>
      <c r="Y969" s="79"/>
      <c r="Z969" s="79"/>
      <c r="AA969" s="79"/>
      <c r="AB969" s="79"/>
      <c r="AC969" s="79"/>
    </row>
    <row r="970" spans="1:29" ht="12.75" customHeight="1">
      <c r="A970" s="79"/>
      <c r="B970" s="79"/>
      <c r="C970" s="79"/>
      <c r="D970" s="79"/>
      <c r="E970" s="79"/>
      <c r="F970" s="79"/>
      <c r="G970" s="79"/>
      <c r="H970" s="79"/>
      <c r="I970" s="125"/>
      <c r="J970" s="79"/>
      <c r="K970" s="79"/>
      <c r="L970" s="79"/>
      <c r="M970" s="79"/>
      <c r="N970" s="79"/>
      <c r="O970" s="79"/>
      <c r="P970" s="79"/>
      <c r="Q970" s="79"/>
      <c r="R970" s="79"/>
      <c r="S970" s="79"/>
      <c r="T970" s="79"/>
      <c r="U970" s="79"/>
      <c r="V970" s="79"/>
      <c r="W970" s="79"/>
      <c r="X970" s="79"/>
      <c r="Y970" s="79"/>
      <c r="Z970" s="79"/>
      <c r="AA970" s="79"/>
      <c r="AB970" s="79"/>
      <c r="AC970" s="79"/>
    </row>
    <row r="971" spans="1:29" ht="12.75" customHeight="1">
      <c r="A971" s="79"/>
      <c r="B971" s="79"/>
      <c r="C971" s="79"/>
      <c r="D971" s="79"/>
      <c r="E971" s="79"/>
      <c r="F971" s="79"/>
      <c r="G971" s="79"/>
      <c r="H971" s="79"/>
      <c r="I971" s="125"/>
      <c r="J971" s="79"/>
      <c r="K971" s="79"/>
      <c r="L971" s="79"/>
      <c r="M971" s="79"/>
      <c r="N971" s="79"/>
      <c r="O971" s="79"/>
      <c r="P971" s="79"/>
      <c r="Q971" s="79"/>
      <c r="R971" s="79"/>
      <c r="S971" s="79"/>
      <c r="T971" s="79"/>
      <c r="U971" s="79"/>
      <c r="V971" s="79"/>
      <c r="W971" s="79"/>
      <c r="X971" s="79"/>
      <c r="Y971" s="79"/>
      <c r="Z971" s="79"/>
      <c r="AA971" s="79"/>
      <c r="AB971" s="79"/>
      <c r="AC971" s="79"/>
    </row>
    <row r="972" spans="1:29" ht="12.75" customHeight="1">
      <c r="A972" s="79"/>
      <c r="B972" s="79"/>
      <c r="C972" s="79"/>
      <c r="D972" s="79"/>
      <c r="E972" s="79"/>
      <c r="F972" s="79"/>
      <c r="G972" s="79"/>
      <c r="H972" s="79"/>
      <c r="I972" s="125"/>
      <c r="J972" s="79"/>
      <c r="K972" s="79"/>
      <c r="L972" s="79"/>
      <c r="M972" s="79"/>
      <c r="N972" s="79"/>
      <c r="O972" s="79"/>
      <c r="P972" s="79"/>
      <c r="Q972" s="79"/>
      <c r="R972" s="79"/>
      <c r="S972" s="79"/>
      <c r="T972" s="79"/>
      <c r="U972" s="79"/>
      <c r="V972" s="79"/>
      <c r="W972" s="79"/>
      <c r="X972" s="79"/>
      <c r="Y972" s="79"/>
      <c r="Z972" s="79"/>
      <c r="AA972" s="79"/>
      <c r="AB972" s="79"/>
      <c r="AC972" s="79"/>
    </row>
    <row r="973" spans="1:29" ht="12.75" customHeight="1">
      <c r="A973" s="79"/>
      <c r="B973" s="79"/>
      <c r="C973" s="79"/>
      <c r="D973" s="79"/>
      <c r="E973" s="79"/>
      <c r="F973" s="79"/>
      <c r="G973" s="79"/>
      <c r="H973" s="79"/>
      <c r="I973" s="125"/>
      <c r="J973" s="79"/>
      <c r="K973" s="79"/>
      <c r="L973" s="79"/>
      <c r="M973" s="79"/>
      <c r="N973" s="79"/>
      <c r="O973" s="79"/>
      <c r="P973" s="79"/>
      <c r="Q973" s="79"/>
      <c r="R973" s="79"/>
      <c r="S973" s="79"/>
      <c r="T973" s="79"/>
      <c r="U973" s="79"/>
      <c r="V973" s="79"/>
      <c r="W973" s="79"/>
      <c r="X973" s="79"/>
      <c r="Y973" s="79"/>
      <c r="Z973" s="79"/>
      <c r="AA973" s="79"/>
      <c r="AB973" s="79"/>
      <c r="AC973" s="79"/>
    </row>
    <row r="974" spans="1:29" ht="12.75" customHeight="1">
      <c r="A974" s="79"/>
      <c r="B974" s="79"/>
      <c r="C974" s="79"/>
      <c r="D974" s="79"/>
      <c r="E974" s="79"/>
      <c r="F974" s="79"/>
      <c r="G974" s="79"/>
      <c r="H974" s="79"/>
      <c r="I974" s="125"/>
      <c r="J974" s="79"/>
      <c r="K974" s="79"/>
      <c r="L974" s="79"/>
      <c r="M974" s="79"/>
      <c r="N974" s="79"/>
      <c r="O974" s="79"/>
      <c r="P974" s="79"/>
      <c r="Q974" s="79"/>
      <c r="R974" s="79"/>
      <c r="S974" s="79"/>
      <c r="T974" s="79"/>
      <c r="U974" s="79"/>
      <c r="V974" s="79"/>
      <c r="W974" s="79"/>
      <c r="X974" s="79"/>
      <c r="Y974" s="79"/>
      <c r="Z974" s="79"/>
      <c r="AA974" s="79"/>
      <c r="AB974" s="79"/>
      <c r="AC974" s="79"/>
    </row>
    <row r="975" spans="1:29" ht="12.75" customHeight="1">
      <c r="A975" s="79"/>
      <c r="B975" s="79"/>
      <c r="C975" s="79"/>
      <c r="D975" s="79"/>
      <c r="E975" s="79"/>
      <c r="F975" s="79"/>
      <c r="G975" s="79"/>
      <c r="H975" s="79"/>
      <c r="I975" s="125"/>
      <c r="J975" s="79"/>
      <c r="K975" s="79"/>
      <c r="L975" s="79"/>
      <c r="M975" s="79"/>
      <c r="N975" s="79"/>
      <c r="O975" s="79"/>
      <c r="P975" s="79"/>
      <c r="Q975" s="79"/>
      <c r="R975" s="79"/>
      <c r="S975" s="79"/>
      <c r="T975" s="79"/>
      <c r="U975" s="79"/>
      <c r="V975" s="79"/>
      <c r="W975" s="79"/>
      <c r="X975" s="79"/>
      <c r="Y975" s="79"/>
      <c r="Z975" s="79"/>
      <c r="AA975" s="79"/>
      <c r="AB975" s="79"/>
      <c r="AC975" s="79"/>
    </row>
    <row r="976" spans="1:29" ht="12.75" customHeight="1">
      <c r="A976" s="79"/>
      <c r="B976" s="79"/>
      <c r="C976" s="79"/>
      <c r="D976" s="79"/>
      <c r="E976" s="79"/>
      <c r="F976" s="79"/>
      <c r="G976" s="79"/>
      <c r="H976" s="79"/>
      <c r="I976" s="125"/>
      <c r="J976" s="79"/>
      <c r="K976" s="79"/>
      <c r="L976" s="79"/>
      <c r="M976" s="79"/>
      <c r="N976" s="79"/>
      <c r="O976" s="79"/>
      <c r="P976" s="79"/>
      <c r="Q976" s="79"/>
      <c r="R976" s="79"/>
      <c r="S976" s="79"/>
      <c r="T976" s="79"/>
      <c r="U976" s="79"/>
      <c r="V976" s="79"/>
      <c r="W976" s="79"/>
      <c r="X976" s="79"/>
      <c r="Y976" s="79"/>
      <c r="Z976" s="79"/>
      <c r="AA976" s="79"/>
      <c r="AB976" s="79"/>
      <c r="AC976" s="79"/>
    </row>
    <row r="977" spans="1:29" ht="12.75" customHeight="1">
      <c r="A977" s="79"/>
      <c r="B977" s="79"/>
      <c r="C977" s="79"/>
      <c r="D977" s="79"/>
      <c r="E977" s="79"/>
      <c r="F977" s="79"/>
      <c r="G977" s="79"/>
      <c r="H977" s="79"/>
      <c r="I977" s="125"/>
      <c r="J977" s="79"/>
      <c r="K977" s="79"/>
      <c r="L977" s="79"/>
      <c r="M977" s="79"/>
      <c r="N977" s="79"/>
      <c r="O977" s="79"/>
      <c r="P977" s="79"/>
      <c r="Q977" s="79"/>
      <c r="R977" s="79"/>
      <c r="S977" s="79"/>
      <c r="T977" s="79"/>
      <c r="U977" s="79"/>
      <c r="V977" s="79"/>
      <c r="W977" s="79"/>
      <c r="X977" s="79"/>
      <c r="Y977" s="79"/>
      <c r="Z977" s="79"/>
      <c r="AA977" s="79"/>
      <c r="AB977" s="79"/>
      <c r="AC977" s="79"/>
    </row>
    <row r="978" spans="1:29" ht="12.75" customHeight="1">
      <c r="A978" s="79"/>
      <c r="B978" s="79"/>
      <c r="C978" s="79"/>
      <c r="D978" s="79"/>
      <c r="E978" s="79"/>
      <c r="F978" s="79"/>
      <c r="G978" s="79"/>
      <c r="H978" s="79"/>
      <c r="I978" s="125"/>
      <c r="J978" s="79"/>
      <c r="K978" s="79"/>
      <c r="L978" s="79"/>
      <c r="M978" s="79"/>
      <c r="N978" s="79"/>
      <c r="O978" s="79"/>
      <c r="P978" s="79"/>
      <c r="Q978" s="79"/>
      <c r="R978" s="79"/>
      <c r="S978" s="79"/>
      <c r="T978" s="79"/>
      <c r="U978" s="79"/>
      <c r="V978" s="79"/>
      <c r="W978" s="79"/>
      <c r="X978" s="79"/>
      <c r="Y978" s="79"/>
      <c r="Z978" s="79"/>
      <c r="AA978" s="79"/>
      <c r="AB978" s="79"/>
      <c r="AC978" s="79"/>
    </row>
    <row r="979" spans="1:29" ht="12.75" customHeight="1">
      <c r="A979" s="79"/>
      <c r="B979" s="79"/>
      <c r="C979" s="79"/>
      <c r="D979" s="79"/>
      <c r="E979" s="79"/>
      <c r="F979" s="79"/>
      <c r="G979" s="79"/>
      <c r="H979" s="79"/>
      <c r="I979" s="125"/>
      <c r="J979" s="79"/>
      <c r="K979" s="79"/>
      <c r="L979" s="79"/>
      <c r="M979" s="79"/>
      <c r="N979" s="79"/>
      <c r="O979" s="79"/>
      <c r="P979" s="79"/>
      <c r="Q979" s="79"/>
      <c r="R979" s="79"/>
      <c r="S979" s="79"/>
      <c r="T979" s="79"/>
      <c r="U979" s="79"/>
      <c r="V979" s="79"/>
      <c r="W979" s="79"/>
      <c r="X979" s="79"/>
      <c r="Y979" s="79"/>
      <c r="Z979" s="79"/>
      <c r="AA979" s="79"/>
      <c r="AB979" s="79"/>
      <c r="AC979" s="79"/>
    </row>
    <row r="980" spans="1:29" ht="12.75" customHeight="1">
      <c r="A980" s="79"/>
      <c r="B980" s="79"/>
      <c r="C980" s="79"/>
      <c r="D980" s="79"/>
      <c r="E980" s="79"/>
      <c r="F980" s="79"/>
      <c r="G980" s="79"/>
      <c r="H980" s="79"/>
      <c r="I980" s="125"/>
      <c r="J980" s="79"/>
      <c r="K980" s="79"/>
      <c r="L980" s="79"/>
      <c r="M980" s="79"/>
      <c r="N980" s="79"/>
      <c r="O980" s="79"/>
      <c r="P980" s="79"/>
      <c r="Q980" s="79"/>
      <c r="R980" s="79"/>
      <c r="S980" s="79"/>
      <c r="T980" s="79"/>
      <c r="U980" s="79"/>
      <c r="V980" s="79"/>
      <c r="W980" s="79"/>
      <c r="X980" s="79"/>
      <c r="Y980" s="79"/>
      <c r="Z980" s="79"/>
      <c r="AA980" s="79"/>
      <c r="AB980" s="79"/>
      <c r="AC980" s="79"/>
    </row>
    <row r="981" spans="1:29" ht="12.75" customHeight="1">
      <c r="A981" s="79"/>
      <c r="B981" s="79"/>
      <c r="C981" s="79"/>
      <c r="D981" s="79"/>
      <c r="E981" s="79"/>
      <c r="F981" s="79"/>
      <c r="G981" s="79"/>
      <c r="H981" s="79"/>
      <c r="I981" s="125"/>
      <c r="J981" s="79"/>
      <c r="K981" s="79"/>
      <c r="L981" s="79"/>
      <c r="M981" s="79"/>
      <c r="N981" s="79"/>
      <c r="O981" s="79"/>
      <c r="P981" s="79"/>
      <c r="Q981" s="79"/>
      <c r="R981" s="79"/>
      <c r="S981" s="79"/>
      <c r="T981" s="79"/>
      <c r="U981" s="79"/>
      <c r="V981" s="79"/>
      <c r="W981" s="79"/>
      <c r="X981" s="79"/>
      <c r="Y981" s="79"/>
      <c r="Z981" s="79"/>
      <c r="AA981" s="79"/>
      <c r="AB981" s="79"/>
      <c r="AC981" s="79"/>
    </row>
    <row r="982" spans="1:29" ht="12.75" customHeight="1">
      <c r="A982" s="79"/>
      <c r="B982" s="79"/>
      <c r="C982" s="79"/>
      <c r="D982" s="79"/>
      <c r="E982" s="79"/>
      <c r="F982" s="79"/>
      <c r="G982" s="79"/>
      <c r="H982" s="79"/>
      <c r="I982" s="125"/>
      <c r="J982" s="79"/>
      <c r="K982" s="79"/>
      <c r="L982" s="79"/>
      <c r="M982" s="79"/>
      <c r="N982" s="79"/>
      <c r="O982" s="79"/>
      <c r="P982" s="79"/>
      <c r="Q982" s="79"/>
      <c r="R982" s="79"/>
      <c r="S982" s="79"/>
      <c r="T982" s="79"/>
      <c r="U982" s="79"/>
      <c r="V982" s="79"/>
      <c r="W982" s="79"/>
      <c r="X982" s="79"/>
      <c r="Y982" s="79"/>
      <c r="Z982" s="79"/>
      <c r="AA982" s="79"/>
      <c r="AB982" s="79"/>
      <c r="AC982" s="79"/>
    </row>
    <row r="983" spans="1:29" ht="12.75" customHeight="1">
      <c r="A983" s="79"/>
      <c r="B983" s="79"/>
      <c r="C983" s="79"/>
      <c r="D983" s="79"/>
      <c r="E983" s="79"/>
      <c r="F983" s="79"/>
      <c r="G983" s="79"/>
      <c r="H983" s="79"/>
      <c r="I983" s="125"/>
      <c r="J983" s="79"/>
      <c r="K983" s="79"/>
      <c r="L983" s="79"/>
      <c r="M983" s="79"/>
      <c r="N983" s="79"/>
      <c r="O983" s="79"/>
      <c r="P983" s="79"/>
      <c r="Q983" s="79"/>
      <c r="R983" s="79"/>
      <c r="S983" s="79"/>
      <c r="T983" s="79"/>
      <c r="U983" s="79"/>
      <c r="V983" s="79"/>
      <c r="W983" s="79"/>
      <c r="X983" s="79"/>
      <c r="Y983" s="79"/>
      <c r="Z983" s="79"/>
      <c r="AA983" s="79"/>
      <c r="AB983" s="79"/>
      <c r="AC983" s="79"/>
    </row>
    <row r="984" spans="1:29" ht="12.75" customHeight="1">
      <c r="A984" s="79"/>
      <c r="B984" s="79"/>
      <c r="C984" s="79"/>
      <c r="D984" s="79"/>
      <c r="E984" s="79"/>
      <c r="F984" s="79"/>
      <c r="G984" s="79"/>
      <c r="H984" s="79"/>
      <c r="I984" s="125"/>
      <c r="J984" s="79"/>
      <c r="K984" s="79"/>
      <c r="L984" s="79"/>
      <c r="M984" s="79"/>
      <c r="N984" s="79"/>
      <c r="O984" s="79"/>
      <c r="P984" s="79"/>
      <c r="Q984" s="79"/>
      <c r="R984" s="79"/>
      <c r="S984" s="79"/>
      <c r="T984" s="79"/>
      <c r="U984" s="79"/>
      <c r="V984" s="79"/>
      <c r="W984" s="79"/>
      <c r="X984" s="79"/>
      <c r="Y984" s="79"/>
      <c r="Z984" s="79"/>
      <c r="AA984" s="79"/>
      <c r="AB984" s="79"/>
      <c r="AC984" s="79"/>
    </row>
    <row r="985" spans="1:29" ht="12.75" customHeight="1">
      <c r="A985" s="79"/>
      <c r="B985" s="79"/>
      <c r="C985" s="79"/>
      <c r="D985" s="79"/>
      <c r="E985" s="79"/>
      <c r="F985" s="79"/>
      <c r="G985" s="79"/>
      <c r="H985" s="79"/>
      <c r="I985" s="125"/>
      <c r="J985" s="79"/>
      <c r="K985" s="79"/>
      <c r="L985" s="79"/>
      <c r="M985" s="79"/>
      <c r="N985" s="79"/>
      <c r="O985" s="79"/>
      <c r="P985" s="79"/>
      <c r="Q985" s="79"/>
      <c r="R985" s="79"/>
      <c r="S985" s="79"/>
      <c r="T985" s="79"/>
      <c r="U985" s="79"/>
      <c r="V985" s="79"/>
      <c r="W985" s="79"/>
      <c r="X985" s="79"/>
      <c r="Y985" s="79"/>
      <c r="Z985" s="79"/>
      <c r="AA985" s="79"/>
      <c r="AB985" s="79"/>
      <c r="AC985" s="79"/>
    </row>
    <row r="986" spans="1:29" ht="12.75" customHeight="1">
      <c r="A986" s="79"/>
      <c r="B986" s="79"/>
      <c r="C986" s="79"/>
      <c r="D986" s="79"/>
      <c r="E986" s="79"/>
      <c r="F986" s="79"/>
      <c r="G986" s="79"/>
      <c r="H986" s="79"/>
      <c r="I986" s="125"/>
      <c r="J986" s="79"/>
      <c r="K986" s="79"/>
      <c r="L986" s="79"/>
      <c r="M986" s="79"/>
      <c r="N986" s="79"/>
      <c r="O986" s="79"/>
      <c r="P986" s="79"/>
      <c r="Q986" s="79"/>
      <c r="R986" s="79"/>
      <c r="S986" s="79"/>
      <c r="T986" s="79"/>
      <c r="U986" s="79"/>
      <c r="V986" s="79"/>
      <c r="W986" s="79"/>
      <c r="X986" s="79"/>
      <c r="Y986" s="79"/>
      <c r="Z986" s="79"/>
      <c r="AA986" s="79"/>
      <c r="AB986" s="79"/>
      <c r="AC986" s="79"/>
    </row>
    <row r="987" spans="1:29" ht="12.75" customHeight="1">
      <c r="A987" s="79"/>
      <c r="B987" s="79"/>
      <c r="C987" s="79"/>
      <c r="D987" s="79"/>
      <c r="E987" s="79"/>
      <c r="F987" s="79"/>
      <c r="G987" s="79"/>
      <c r="H987" s="79"/>
      <c r="I987" s="125"/>
      <c r="J987" s="79"/>
      <c r="K987" s="79"/>
      <c r="L987" s="79"/>
      <c r="M987" s="79"/>
      <c r="N987" s="79"/>
      <c r="O987" s="79"/>
      <c r="P987" s="79"/>
      <c r="Q987" s="79"/>
      <c r="R987" s="79"/>
      <c r="S987" s="79"/>
      <c r="T987" s="79"/>
      <c r="U987" s="79"/>
      <c r="V987" s="79"/>
      <c r="W987" s="79"/>
      <c r="X987" s="79"/>
      <c r="Y987" s="79"/>
      <c r="Z987" s="79"/>
      <c r="AA987" s="79"/>
      <c r="AB987" s="79"/>
      <c r="AC987" s="79"/>
    </row>
    <row r="988" spans="1:29" ht="12.75" customHeight="1">
      <c r="A988" s="79"/>
      <c r="B988" s="79"/>
      <c r="C988" s="79"/>
      <c r="D988" s="79"/>
      <c r="E988" s="79"/>
      <c r="F988" s="79"/>
      <c r="G988" s="79"/>
      <c r="H988" s="79"/>
      <c r="I988" s="125"/>
      <c r="J988" s="79"/>
      <c r="K988" s="79"/>
      <c r="L988" s="79"/>
      <c r="M988" s="79"/>
      <c r="N988" s="79"/>
      <c r="O988" s="79"/>
      <c r="P988" s="79"/>
      <c r="Q988" s="79"/>
      <c r="R988" s="79"/>
      <c r="S988" s="79"/>
      <c r="T988" s="79"/>
      <c r="U988" s="79"/>
      <c r="V988" s="79"/>
      <c r="W988" s="79"/>
      <c r="X988" s="79"/>
      <c r="Y988" s="79"/>
      <c r="Z988" s="79"/>
      <c r="AA988" s="79"/>
      <c r="AB988" s="79"/>
      <c r="AC988" s="79"/>
    </row>
    <row r="989" spans="1:29" ht="12.75" customHeight="1">
      <c r="A989" s="79"/>
      <c r="B989" s="79"/>
      <c r="C989" s="79"/>
      <c r="D989" s="79"/>
      <c r="E989" s="79"/>
      <c r="F989" s="79"/>
      <c r="G989" s="79"/>
      <c r="H989" s="79"/>
      <c r="I989" s="125"/>
      <c r="J989" s="79"/>
      <c r="K989" s="79"/>
      <c r="L989" s="79"/>
      <c r="M989" s="79"/>
      <c r="N989" s="79"/>
      <c r="O989" s="79"/>
      <c r="P989" s="79"/>
      <c r="Q989" s="79"/>
      <c r="R989" s="79"/>
      <c r="S989" s="79"/>
      <c r="T989" s="79"/>
      <c r="U989" s="79"/>
      <c r="V989" s="79"/>
      <c r="W989" s="79"/>
      <c r="X989" s="79"/>
      <c r="Y989" s="79"/>
      <c r="Z989" s="79"/>
      <c r="AA989" s="79"/>
      <c r="AB989" s="79"/>
      <c r="AC989" s="79"/>
    </row>
    <row r="990" spans="1:29" ht="12.75" customHeight="1">
      <c r="A990" s="79"/>
      <c r="B990" s="79"/>
      <c r="C990" s="79"/>
      <c r="D990" s="79"/>
      <c r="E990" s="79"/>
      <c r="F990" s="79"/>
      <c r="G990" s="79"/>
      <c r="H990" s="79"/>
      <c r="I990" s="125"/>
      <c r="J990" s="79"/>
      <c r="K990" s="79"/>
      <c r="L990" s="79"/>
      <c r="M990" s="79"/>
      <c r="N990" s="79"/>
      <c r="O990" s="79"/>
      <c r="P990" s="79"/>
      <c r="Q990" s="79"/>
      <c r="R990" s="79"/>
      <c r="S990" s="79"/>
      <c r="T990" s="79"/>
      <c r="U990" s="79"/>
      <c r="V990" s="79"/>
      <c r="W990" s="79"/>
      <c r="X990" s="79"/>
      <c r="Y990" s="79"/>
      <c r="Z990" s="79"/>
      <c r="AA990" s="79"/>
      <c r="AB990" s="79"/>
      <c r="AC990" s="79"/>
    </row>
    <row r="991" spans="1:29" ht="12.75" customHeight="1">
      <c r="A991" s="79"/>
      <c r="B991" s="79"/>
      <c r="C991" s="79"/>
      <c r="D991" s="79"/>
      <c r="E991" s="79"/>
      <c r="F991" s="79"/>
      <c r="G991" s="79"/>
      <c r="H991" s="79"/>
      <c r="I991" s="125"/>
      <c r="J991" s="79"/>
      <c r="K991" s="79"/>
      <c r="L991" s="79"/>
      <c r="M991" s="79"/>
      <c r="N991" s="79"/>
      <c r="O991" s="79"/>
      <c r="P991" s="79"/>
      <c r="Q991" s="79"/>
      <c r="R991" s="79"/>
      <c r="S991" s="79"/>
      <c r="T991" s="79"/>
      <c r="U991" s="79"/>
      <c r="V991" s="79"/>
      <c r="W991" s="79"/>
      <c r="X991" s="79"/>
      <c r="Y991" s="79"/>
      <c r="Z991" s="79"/>
      <c r="AA991" s="79"/>
      <c r="AB991" s="79"/>
      <c r="AC991" s="79"/>
    </row>
    <row r="992" spans="1:29" ht="12.75" customHeight="1">
      <c r="A992" s="79"/>
      <c r="B992" s="79"/>
      <c r="C992" s="79"/>
      <c r="D992" s="79"/>
      <c r="E992" s="79"/>
      <c r="F992" s="79"/>
      <c r="G992" s="79"/>
      <c r="H992" s="79"/>
      <c r="I992" s="125"/>
      <c r="J992" s="79"/>
      <c r="K992" s="79"/>
      <c r="L992" s="79"/>
      <c r="M992" s="79"/>
      <c r="N992" s="79"/>
      <c r="O992" s="79"/>
      <c r="P992" s="79"/>
      <c r="Q992" s="79"/>
      <c r="R992" s="79"/>
      <c r="S992" s="79"/>
      <c r="T992" s="79"/>
      <c r="U992" s="79"/>
      <c r="V992" s="79"/>
      <c r="W992" s="79"/>
      <c r="X992" s="79"/>
      <c r="Y992" s="79"/>
      <c r="Z992" s="79"/>
      <c r="AA992" s="79"/>
      <c r="AB992" s="79"/>
      <c r="AC992" s="79"/>
    </row>
    <row r="993" spans="1:29" ht="12.75" customHeight="1">
      <c r="A993" s="79"/>
      <c r="B993" s="79"/>
      <c r="C993" s="79"/>
      <c r="D993" s="79"/>
      <c r="E993" s="79"/>
      <c r="F993" s="79"/>
      <c r="G993" s="79"/>
      <c r="H993" s="79"/>
      <c r="I993" s="125"/>
      <c r="J993" s="79"/>
      <c r="K993" s="79"/>
      <c r="L993" s="79"/>
      <c r="M993" s="79"/>
      <c r="N993" s="79"/>
      <c r="O993" s="79"/>
      <c r="P993" s="79"/>
      <c r="Q993" s="79"/>
      <c r="R993" s="79"/>
      <c r="S993" s="79"/>
      <c r="T993" s="79"/>
      <c r="U993" s="79"/>
      <c r="V993" s="79"/>
      <c r="W993" s="79"/>
      <c r="X993" s="79"/>
      <c r="Y993" s="79"/>
      <c r="Z993" s="79"/>
      <c r="AA993" s="79"/>
      <c r="AB993" s="79"/>
      <c r="AC993" s="79"/>
    </row>
    <row r="994" spans="1:29" ht="12.75" customHeight="1">
      <c r="A994" s="79"/>
      <c r="B994" s="79"/>
      <c r="C994" s="79"/>
      <c r="D994" s="79"/>
      <c r="E994" s="79"/>
      <c r="F994" s="79"/>
      <c r="G994" s="79"/>
      <c r="H994" s="79"/>
      <c r="I994" s="125"/>
      <c r="J994" s="79"/>
      <c r="K994" s="79"/>
      <c r="L994" s="79"/>
      <c r="M994" s="79"/>
      <c r="N994" s="79"/>
      <c r="O994" s="79"/>
      <c r="P994" s="79"/>
      <c r="Q994" s="79"/>
      <c r="R994" s="79"/>
      <c r="S994" s="79"/>
      <c r="T994" s="79"/>
      <c r="U994" s="79"/>
      <c r="V994" s="79"/>
      <c r="W994" s="79"/>
      <c r="X994" s="79"/>
      <c r="Y994" s="79"/>
      <c r="Z994" s="79"/>
      <c r="AA994" s="79"/>
      <c r="AB994" s="79"/>
      <c r="AC994" s="79"/>
    </row>
    <row r="995" spans="1:29" ht="12.75" customHeight="1">
      <c r="A995" s="79"/>
      <c r="B995" s="79"/>
      <c r="C995" s="79"/>
      <c r="D995" s="79"/>
      <c r="E995" s="79"/>
      <c r="F995" s="79"/>
      <c r="G995" s="79"/>
      <c r="H995" s="79"/>
      <c r="I995" s="125"/>
      <c r="J995" s="79"/>
      <c r="K995" s="79"/>
      <c r="L995" s="79"/>
      <c r="M995" s="79"/>
      <c r="N995" s="79"/>
      <c r="O995" s="79"/>
      <c r="P995" s="79"/>
      <c r="Q995" s="79"/>
      <c r="R995" s="79"/>
      <c r="S995" s="79"/>
      <c r="T995" s="79"/>
      <c r="U995" s="79"/>
      <c r="V995" s="79"/>
      <c r="W995" s="79"/>
      <c r="X995" s="79"/>
      <c r="Y995" s="79"/>
      <c r="Z995" s="79"/>
      <c r="AA995" s="79"/>
      <c r="AB995" s="79"/>
      <c r="AC995" s="79"/>
    </row>
    <row r="996" spans="1:29" ht="12.75" customHeight="1">
      <c r="A996" s="79"/>
      <c r="B996" s="79"/>
      <c r="C996" s="79"/>
      <c r="D996" s="79"/>
      <c r="E996" s="79"/>
      <c r="F996" s="79"/>
      <c r="G996" s="79"/>
      <c r="H996" s="79"/>
      <c r="I996" s="125"/>
      <c r="J996" s="79"/>
      <c r="K996" s="79"/>
      <c r="L996" s="79"/>
      <c r="M996" s="79"/>
      <c r="N996" s="79"/>
      <c r="O996" s="79"/>
      <c r="P996" s="79"/>
      <c r="Q996" s="79"/>
      <c r="R996" s="79"/>
      <c r="S996" s="79"/>
      <c r="T996" s="79"/>
      <c r="U996" s="79"/>
      <c r="V996" s="79"/>
      <c r="W996" s="79"/>
      <c r="X996" s="79"/>
      <c r="Y996" s="79"/>
      <c r="Z996" s="79"/>
      <c r="AA996" s="79"/>
      <c r="AB996" s="79"/>
      <c r="AC996" s="79"/>
    </row>
    <row r="997" spans="1:29" ht="12.75" customHeight="1">
      <c r="A997" s="79"/>
      <c r="B997" s="79"/>
      <c r="C997" s="79"/>
      <c r="D997" s="79"/>
      <c r="E997" s="79"/>
      <c r="F997" s="79"/>
      <c r="G997" s="79"/>
      <c r="H997" s="79"/>
      <c r="I997" s="125"/>
      <c r="J997" s="79"/>
      <c r="K997" s="79"/>
      <c r="L997" s="79"/>
      <c r="M997" s="79"/>
      <c r="N997" s="79"/>
      <c r="O997" s="79"/>
      <c r="P997" s="79"/>
      <c r="Q997" s="79"/>
      <c r="R997" s="79"/>
      <c r="S997" s="79"/>
      <c r="T997" s="79"/>
      <c r="U997" s="79"/>
      <c r="V997" s="79"/>
      <c r="W997" s="79"/>
      <c r="X997" s="79"/>
      <c r="Y997" s="79"/>
      <c r="Z997" s="79"/>
      <c r="AA997" s="79"/>
      <c r="AB997" s="79"/>
      <c r="AC997" s="79"/>
    </row>
    <row r="998" spans="1:29" ht="12.75" customHeight="1">
      <c r="A998" s="79"/>
      <c r="B998" s="79"/>
      <c r="C998" s="79"/>
      <c r="D998" s="79"/>
      <c r="E998" s="79"/>
      <c r="F998" s="79"/>
      <c r="G998" s="79"/>
      <c r="H998" s="79"/>
      <c r="I998" s="125"/>
      <c r="J998" s="79"/>
      <c r="K998" s="79"/>
      <c r="L998" s="79"/>
      <c r="M998" s="79"/>
      <c r="N998" s="79"/>
      <c r="O998" s="79"/>
      <c r="P998" s="79"/>
      <c r="Q998" s="79"/>
      <c r="R998" s="79"/>
      <c r="S998" s="79"/>
      <c r="T998" s="79"/>
      <c r="U998" s="79"/>
      <c r="V998" s="79"/>
      <c r="W998" s="79"/>
      <c r="X998" s="79"/>
      <c r="Y998" s="79"/>
      <c r="Z998" s="79"/>
      <c r="AA998" s="79"/>
      <c r="AB998" s="79"/>
      <c r="AC998" s="79"/>
    </row>
    <row r="999" spans="1:29" ht="12.75" customHeight="1">
      <c r="A999" s="79"/>
      <c r="B999" s="79"/>
      <c r="C999" s="79"/>
      <c r="D999" s="79"/>
      <c r="E999" s="79"/>
      <c r="F999" s="79"/>
      <c r="G999" s="79"/>
      <c r="H999" s="79"/>
      <c r="I999" s="125"/>
      <c r="J999" s="79"/>
      <c r="K999" s="79"/>
      <c r="L999" s="79"/>
      <c r="M999" s="79"/>
      <c r="N999" s="79"/>
      <c r="O999" s="79"/>
      <c r="P999" s="79"/>
      <c r="Q999" s="79"/>
      <c r="R999" s="79"/>
      <c r="S999" s="79"/>
      <c r="T999" s="79"/>
      <c r="U999" s="79"/>
      <c r="V999" s="79"/>
      <c r="W999" s="79"/>
      <c r="X999" s="79"/>
      <c r="Y999" s="79"/>
      <c r="Z999" s="79"/>
      <c r="AA999" s="79"/>
      <c r="AB999" s="79"/>
      <c r="AC999" s="79"/>
    </row>
    <row r="1000" spans="1:29" ht="12.75" customHeight="1">
      <c r="A1000" s="79"/>
      <c r="B1000" s="79"/>
      <c r="C1000" s="79"/>
      <c r="D1000" s="79"/>
      <c r="E1000" s="79"/>
      <c r="F1000" s="79"/>
      <c r="G1000" s="79"/>
      <c r="H1000" s="79"/>
      <c r="I1000" s="125"/>
      <c r="J1000" s="79"/>
      <c r="K1000" s="79"/>
      <c r="L1000" s="79"/>
      <c r="M1000" s="79"/>
      <c r="N1000" s="79"/>
      <c r="O1000" s="79"/>
      <c r="P1000" s="79"/>
      <c r="Q1000" s="79"/>
      <c r="R1000" s="79"/>
      <c r="S1000" s="79"/>
      <c r="T1000" s="79"/>
      <c r="U1000" s="79"/>
      <c r="V1000" s="79"/>
      <c r="W1000" s="79"/>
      <c r="X1000" s="79"/>
      <c r="Y1000" s="79"/>
      <c r="Z1000" s="79"/>
      <c r="AA1000" s="79"/>
      <c r="AB1000" s="79"/>
      <c r="AC1000" s="79"/>
    </row>
  </sheetData>
  <sheetProtection algorithmName="SHA-512" hashValue="PnQArM69RttVmNE00MsCraQew9wa4kJ0kzUvEMax3f8EmUMqwacLEDPiItuzRtn9mzvq7A2cGC0ukB/AoC480w==" saltValue="PCGSSLGQMxZFo5jS/SL6xQ==" spinCount="100000" sheet="1" objects="1" scenarios="1" formatCells="0"/>
  <mergeCells count="7">
    <mergeCell ref="B83:C83"/>
    <mergeCell ref="D83:U83"/>
    <mergeCell ref="B1:V1"/>
    <mergeCell ref="B3:C3"/>
    <mergeCell ref="D3:U3"/>
    <mergeCell ref="B43:C43"/>
    <mergeCell ref="D43:U43"/>
  </mergeCells>
  <dataValidations count="2">
    <dataValidation type="decimal" allowBlank="1" showInputMessage="1" showErrorMessage="1" prompt="Molimo unos brojčane vrijednosti!" sqref="E5:W5">
      <formula1>0</formula1>
      <formula2>500000000</formula2>
    </dataValidation>
    <dataValidation type="decimal" allowBlank="1" showInputMessage="1" showErrorMessage="1" prompt="Dozvoljen je unos samo negativnih vrijednosti (cijeli broj)" sqref="E7:W7 E47:W47 E87:W87">
      <formula1>-10000000000</formula1>
      <formula2>0</formula2>
    </dataValidation>
  </dataValidations>
  <pageMargins left="0" right="0" top="0.35433070866141736" bottom="0.15748031496062992" header="0" footer="0"/>
  <pageSetup paperSize="9" fitToHeight="0"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1000"/>
  <sheetViews>
    <sheetView showGridLines="0" tabSelected="1" workbookViewId="0">
      <pane xSplit="4" ySplit="3" topLeftCell="E4" activePane="bottomRight" state="frozen"/>
      <selection pane="topRight" activeCell="E1" sqref="E1"/>
      <selection pane="bottomLeft" activeCell="A4" sqref="A4"/>
      <selection pane="bottomRight" activeCell="F10" sqref="F10"/>
    </sheetView>
  </sheetViews>
  <sheetFormatPr defaultColWidth="12.625" defaultRowHeight="15" customHeight="1"/>
  <cols>
    <col min="1" max="1" width="10" hidden="1" customWidth="1"/>
    <col min="2" max="2" width="12.375" customWidth="1"/>
    <col min="3" max="3" width="35" customWidth="1"/>
    <col min="4" max="4" width="12.125" customWidth="1"/>
    <col min="5" max="15" width="11.5" customWidth="1"/>
    <col min="16" max="16" width="12.625" customWidth="1"/>
    <col min="17" max="21" width="11.5" customWidth="1"/>
    <col min="22" max="22" width="12.875" customWidth="1"/>
    <col min="23" max="23" width="11.5" customWidth="1"/>
    <col min="24" max="43" width="10" customWidth="1"/>
  </cols>
  <sheetData>
    <row r="1" spans="1:43" ht="24" customHeight="1">
      <c r="A1" s="2"/>
      <c r="B1" s="252" t="s">
        <v>3423</v>
      </c>
      <c r="C1" s="253"/>
      <c r="D1" s="253"/>
      <c r="E1" s="253"/>
      <c r="F1" s="253"/>
      <c r="G1" s="253"/>
      <c r="H1" s="253"/>
      <c r="I1" s="253"/>
      <c r="J1" s="253"/>
      <c r="K1" s="253"/>
      <c r="L1" s="253"/>
      <c r="M1" s="253"/>
      <c r="N1" s="253"/>
      <c r="O1" s="253"/>
      <c r="P1" s="253"/>
      <c r="Q1" s="253"/>
      <c r="R1" s="253"/>
      <c r="S1" s="253"/>
      <c r="T1" s="253"/>
      <c r="U1" s="253"/>
      <c r="V1" s="253"/>
      <c r="W1" s="253"/>
      <c r="X1" s="129"/>
      <c r="Y1" s="129"/>
      <c r="Z1" s="129"/>
      <c r="AA1" s="129"/>
      <c r="AB1" s="129"/>
      <c r="AC1" s="129"/>
      <c r="AD1" s="129"/>
      <c r="AE1" s="129"/>
      <c r="AF1" s="129"/>
      <c r="AG1" s="129"/>
      <c r="AH1" s="129"/>
      <c r="AI1" s="129"/>
      <c r="AJ1" s="129"/>
      <c r="AK1" s="129"/>
      <c r="AL1" s="129"/>
      <c r="AM1" s="129"/>
      <c r="AN1" s="129"/>
      <c r="AO1" s="129"/>
      <c r="AP1" s="129"/>
      <c r="AQ1" s="129"/>
    </row>
    <row r="2" spans="1:43" ht="12.75" customHeight="1">
      <c r="A2" s="87" t="s">
        <v>3338</v>
      </c>
      <c r="B2" s="87" t="s">
        <v>3424</v>
      </c>
      <c r="C2" s="87" t="s">
        <v>3425</v>
      </c>
      <c r="D2" s="87" t="s">
        <v>3426</v>
      </c>
      <c r="E2" s="87" t="s">
        <v>3427</v>
      </c>
      <c r="F2" s="87" t="s">
        <v>3343</v>
      </c>
      <c r="G2" s="87" t="s">
        <v>3344</v>
      </c>
      <c r="H2" s="87" t="s">
        <v>3345</v>
      </c>
      <c r="I2" s="87" t="s">
        <v>3346</v>
      </c>
      <c r="J2" s="87" t="s">
        <v>3347</v>
      </c>
      <c r="K2" s="87" t="s">
        <v>3348</v>
      </c>
      <c r="L2" s="87" t="s">
        <v>3349</v>
      </c>
      <c r="M2" s="87" t="s">
        <v>3350</v>
      </c>
      <c r="N2" s="87" t="s">
        <v>3351</v>
      </c>
      <c r="O2" s="87" t="s">
        <v>3352</v>
      </c>
      <c r="P2" s="87" t="s">
        <v>3353</v>
      </c>
      <c r="Q2" s="87" t="s">
        <v>3354</v>
      </c>
      <c r="R2" s="87" t="s">
        <v>3355</v>
      </c>
      <c r="S2" s="87" t="s">
        <v>3356</v>
      </c>
      <c r="T2" s="87" t="s">
        <v>3357</v>
      </c>
      <c r="U2" s="87" t="s">
        <v>3358</v>
      </c>
      <c r="V2" s="87" t="s">
        <v>3428</v>
      </c>
      <c r="W2" s="87" t="s">
        <v>3360</v>
      </c>
      <c r="X2" s="130"/>
      <c r="Y2" s="130"/>
      <c r="Z2" s="130"/>
      <c r="AA2" s="130"/>
      <c r="AB2" s="130"/>
      <c r="AC2" s="130"/>
      <c r="AD2" s="130"/>
      <c r="AE2" s="130"/>
      <c r="AF2" s="130"/>
      <c r="AG2" s="130"/>
      <c r="AH2" s="130"/>
      <c r="AI2" s="130"/>
      <c r="AJ2" s="130"/>
      <c r="AK2" s="130"/>
      <c r="AL2" s="130"/>
      <c r="AM2" s="130"/>
      <c r="AN2" s="130"/>
      <c r="AO2" s="130"/>
      <c r="AP2" s="130"/>
      <c r="AQ2" s="130"/>
    </row>
    <row r="3" spans="1:43" ht="19.5" customHeight="1">
      <c r="A3" s="131">
        <v>2021</v>
      </c>
      <c r="B3" s="132"/>
      <c r="C3" s="132" t="s">
        <v>3429</v>
      </c>
      <c r="D3" s="133">
        <f t="shared" ref="D3:D68" si="0">SUM(E3:W3)</f>
        <v>483907269.59139997</v>
      </c>
      <c r="E3" s="134">
        <f t="shared" ref="E3:W3" si="1">E4+E38+E58</f>
        <v>138511770</v>
      </c>
      <c r="F3" s="134">
        <f t="shared" si="1"/>
        <v>0</v>
      </c>
      <c r="G3" s="134">
        <f t="shared" si="1"/>
        <v>12834098</v>
      </c>
      <c r="H3" s="134">
        <f t="shared" si="1"/>
        <v>0</v>
      </c>
      <c r="I3" s="134">
        <f t="shared" si="1"/>
        <v>20609170.48</v>
      </c>
      <c r="J3" s="134">
        <f t="shared" si="1"/>
        <v>941584</v>
      </c>
      <c r="K3" s="134">
        <f t="shared" si="1"/>
        <v>10611895.286999999</v>
      </c>
      <c r="L3" s="134">
        <f t="shared" si="1"/>
        <v>0</v>
      </c>
      <c r="M3" s="134">
        <f t="shared" si="1"/>
        <v>0</v>
      </c>
      <c r="N3" s="134">
        <f t="shared" si="1"/>
        <v>0</v>
      </c>
      <c r="O3" s="134">
        <f t="shared" si="1"/>
        <v>22045383</v>
      </c>
      <c r="P3" s="134">
        <f t="shared" si="1"/>
        <v>0</v>
      </c>
      <c r="Q3" s="134">
        <f t="shared" si="1"/>
        <v>0</v>
      </c>
      <c r="R3" s="134">
        <f t="shared" si="1"/>
        <v>175730498</v>
      </c>
      <c r="S3" s="134">
        <f t="shared" si="1"/>
        <v>102093139</v>
      </c>
      <c r="T3" s="134">
        <f t="shared" si="1"/>
        <v>529731.82439999992</v>
      </c>
      <c r="U3" s="134">
        <f t="shared" si="1"/>
        <v>0</v>
      </c>
      <c r="V3" s="134">
        <f t="shared" si="1"/>
        <v>0</v>
      </c>
      <c r="W3" s="134">
        <f t="shared" si="1"/>
        <v>0</v>
      </c>
      <c r="X3" s="79"/>
      <c r="Y3" s="79"/>
      <c r="Z3" s="79"/>
      <c r="AA3" s="79"/>
      <c r="AB3" s="79"/>
      <c r="AC3" s="79"/>
      <c r="AD3" s="79"/>
      <c r="AE3" s="79"/>
      <c r="AF3" s="79"/>
      <c r="AG3" s="79"/>
      <c r="AH3" s="79"/>
      <c r="AI3" s="79"/>
      <c r="AJ3" s="79"/>
      <c r="AK3" s="79"/>
      <c r="AL3" s="79"/>
      <c r="AM3" s="79"/>
      <c r="AN3" s="135"/>
      <c r="AO3" s="135"/>
      <c r="AP3" s="135"/>
      <c r="AQ3" s="135"/>
    </row>
    <row r="4" spans="1:43" ht="12" customHeight="1">
      <c r="A4" s="131">
        <v>2021</v>
      </c>
      <c r="B4" s="136">
        <v>3</v>
      </c>
      <c r="C4" s="137" t="s">
        <v>3430</v>
      </c>
      <c r="D4" s="138">
        <f t="shared" si="0"/>
        <v>192924840.91360003</v>
      </c>
      <c r="E4" s="139">
        <f t="shared" ref="E4:W4" si="2">E5+E9+E15+E19+E23+E30+E33</f>
        <v>138511770</v>
      </c>
      <c r="F4" s="139">
        <f t="shared" si="2"/>
        <v>0</v>
      </c>
      <c r="G4" s="139">
        <f t="shared" si="2"/>
        <v>11733028</v>
      </c>
      <c r="H4" s="139">
        <f t="shared" si="2"/>
        <v>0</v>
      </c>
      <c r="I4" s="139">
        <f t="shared" si="2"/>
        <v>17527063.895</v>
      </c>
      <c r="J4" s="139">
        <f t="shared" si="2"/>
        <v>941584</v>
      </c>
      <c r="K4" s="139">
        <f t="shared" si="2"/>
        <v>9458904.0991999991</v>
      </c>
      <c r="L4" s="139">
        <f t="shared" si="2"/>
        <v>0</v>
      </c>
      <c r="M4" s="139">
        <f t="shared" si="2"/>
        <v>0</v>
      </c>
      <c r="N4" s="139">
        <f t="shared" si="2"/>
        <v>0</v>
      </c>
      <c r="O4" s="139">
        <f t="shared" si="2"/>
        <v>14254983</v>
      </c>
      <c r="P4" s="139">
        <f t="shared" si="2"/>
        <v>0</v>
      </c>
      <c r="Q4" s="139">
        <f t="shared" si="2"/>
        <v>0</v>
      </c>
      <c r="R4" s="139">
        <f t="shared" si="2"/>
        <v>0</v>
      </c>
      <c r="S4" s="139">
        <f t="shared" si="2"/>
        <v>0</v>
      </c>
      <c r="T4" s="139">
        <f t="shared" si="2"/>
        <v>497507.91939999996</v>
      </c>
      <c r="U4" s="139">
        <f t="shared" si="2"/>
        <v>0</v>
      </c>
      <c r="V4" s="139">
        <f t="shared" si="2"/>
        <v>0</v>
      </c>
      <c r="W4" s="139">
        <f t="shared" si="2"/>
        <v>0</v>
      </c>
      <c r="X4" s="129"/>
      <c r="Y4" s="129"/>
      <c r="Z4" s="129"/>
      <c r="AA4" s="129"/>
      <c r="AB4" s="129"/>
      <c r="AC4" s="129"/>
      <c r="AD4" s="129"/>
      <c r="AE4" s="129"/>
      <c r="AF4" s="129"/>
      <c r="AG4" s="129"/>
      <c r="AH4" s="129"/>
      <c r="AI4" s="129"/>
      <c r="AJ4" s="129"/>
      <c r="AK4" s="129"/>
      <c r="AL4" s="129"/>
      <c r="AM4" s="129"/>
      <c r="AN4" s="129"/>
      <c r="AO4" s="129"/>
      <c r="AP4" s="129"/>
      <c r="AQ4" s="129"/>
    </row>
    <row r="5" spans="1:43" ht="12" customHeight="1">
      <c r="A5" s="131">
        <v>2021</v>
      </c>
      <c r="B5" s="140">
        <v>31</v>
      </c>
      <c r="C5" s="141" t="s">
        <v>3431</v>
      </c>
      <c r="D5" s="142">
        <f t="shared" si="0"/>
        <v>150713269.52419999</v>
      </c>
      <c r="E5" s="143">
        <f t="shared" ref="E5:W5" si="3">SUM(E6:E8)</f>
        <v>125218992</v>
      </c>
      <c r="F5" s="143">
        <f t="shared" si="3"/>
        <v>0</v>
      </c>
      <c r="G5" s="143">
        <f t="shared" si="3"/>
        <v>6471139</v>
      </c>
      <c r="H5" s="143">
        <f t="shared" si="3"/>
        <v>0</v>
      </c>
      <c r="I5" s="143">
        <f t="shared" si="3"/>
        <v>10064914.765000001</v>
      </c>
      <c r="J5" s="143">
        <f t="shared" si="3"/>
        <v>645349</v>
      </c>
      <c r="K5" s="143">
        <f t="shared" si="3"/>
        <v>5247149.7592000002</v>
      </c>
      <c r="L5" s="143">
        <f t="shared" si="3"/>
        <v>0</v>
      </c>
      <c r="M5" s="143">
        <f t="shared" si="3"/>
        <v>0</v>
      </c>
      <c r="N5" s="143">
        <f t="shared" si="3"/>
        <v>0</v>
      </c>
      <c r="O5" s="143">
        <f t="shared" si="3"/>
        <v>2872773</v>
      </c>
      <c r="P5" s="143">
        <f t="shared" si="3"/>
        <v>0</v>
      </c>
      <c r="Q5" s="143">
        <f t="shared" si="3"/>
        <v>0</v>
      </c>
      <c r="R5" s="143">
        <f t="shared" si="3"/>
        <v>0</v>
      </c>
      <c r="S5" s="143">
        <f t="shared" si="3"/>
        <v>0</v>
      </c>
      <c r="T5" s="143">
        <f t="shared" si="3"/>
        <v>192952</v>
      </c>
      <c r="U5" s="143">
        <f t="shared" si="3"/>
        <v>0</v>
      </c>
      <c r="V5" s="143">
        <f t="shared" si="3"/>
        <v>0</v>
      </c>
      <c r="W5" s="143">
        <f t="shared" si="3"/>
        <v>0</v>
      </c>
      <c r="X5" s="144"/>
      <c r="Y5" s="144"/>
      <c r="Z5" s="144"/>
      <c r="AA5" s="144"/>
      <c r="AB5" s="144"/>
      <c r="AC5" s="144"/>
      <c r="AD5" s="144"/>
      <c r="AE5" s="144"/>
      <c r="AF5" s="144"/>
      <c r="AG5" s="144"/>
      <c r="AH5" s="144"/>
      <c r="AI5" s="144"/>
      <c r="AJ5" s="144"/>
      <c r="AK5" s="144"/>
      <c r="AL5" s="144"/>
      <c r="AM5" s="144"/>
      <c r="AN5" s="144"/>
      <c r="AO5" s="144"/>
      <c r="AP5" s="144"/>
      <c r="AQ5" s="144"/>
    </row>
    <row r="6" spans="1:43" ht="12" customHeight="1">
      <c r="A6" s="131">
        <v>2021</v>
      </c>
      <c r="B6" s="145">
        <v>311</v>
      </c>
      <c r="C6" s="145" t="s">
        <v>3432</v>
      </c>
      <c r="D6" s="146">
        <f t="shared" si="0"/>
        <v>128761689.5786</v>
      </c>
      <c r="E6" s="147">
        <f>SUMIFS('Plan rashoda za unos u SAP'!$I$3:$I$480,'Plan rashoda za unos u SAP'!$C$3:$C$480,"=11",'Plan rashoda za unos u SAP'!$M$3:$M$480,"=311")+SUMIFS('ANALITIKA EU PROJEKATA'!$G$3:$G$499,'ANALITIKA EU PROJEKATA'!$A$3:$A$499,"=11",'ANALITIKA EU PROJEKATA'!$P$3:$P$499,"=311")</f>
        <v>106370782</v>
      </c>
      <c r="F6" s="147">
        <f>SUMIFS('Plan rashoda za unos u SAP'!$I$3:$I$480,'Plan rashoda za unos u SAP'!$C$3:$C$480,"=12",'Plan rashoda za unos u SAP'!$M$3:$M$480,"=311")+SUMIFS('ANALITIKA EU PROJEKATA'!$G$3:$G$499,'ANALITIKA EU PROJEKATA'!$A$3:$A$499,"=12",'ANALITIKA EU PROJEKATA'!$P$3:$P$499,"=311")</f>
        <v>0</v>
      </c>
      <c r="G6" s="147">
        <f>SUMIFS('Plan rashoda za unos u SAP'!$I$3:$I$480,'Plan rashoda za unos u SAP'!$C$3:$C$480,"=31",'Plan rashoda za unos u SAP'!$M$3:$M$480,"=311")+SUMIFS('ANALITIKA EU PROJEKATA'!$G$3:$G$499,'ANALITIKA EU PROJEKATA'!$A$3:$A$499,"=31",'ANALITIKA EU PROJEKATA'!$P$3:$P$499,"=311")</f>
        <v>5542454</v>
      </c>
      <c r="H6" s="147">
        <f>SUMIFS('Plan rashoda za unos u SAP'!$I$3:$I$480,'Plan rashoda za unos u SAP'!$C$3:$C$480,"=41",'Plan rashoda za unos u SAP'!$M$3:$M$480,"=311")+SUMIFS('ANALITIKA EU PROJEKATA'!$G$3:$G$499,'ANALITIKA EU PROJEKATA'!$A$3:$A$499,"=41",'ANALITIKA EU PROJEKATA'!$P$3:$P$499,"=311")</f>
        <v>0</v>
      </c>
      <c r="I6" s="147">
        <f>SUMIFS('Plan rashoda za unos u SAP'!$I$3:$I$480,'Plan rashoda za unos u SAP'!$C$3:$C$480,"=43",'Plan rashoda za unos u SAP'!$M$3:$M$480,"=311")+SUMIFS('ANALITIKA EU PROJEKATA'!$G$3:$G$499,'ANALITIKA EU PROJEKATA'!$A$3:$A$499,"=43",'ANALITIKA EU PROJEKATA'!$P$3:$P$499,"=311")</f>
        <v>8666099.0449999999</v>
      </c>
      <c r="J6" s="147">
        <f>SUMIFS('Plan rashoda za unos u SAP'!$I$3:$I$480,'Plan rashoda za unos u SAP'!$C$3:$C$480,"=51",'Plan rashoda za unos u SAP'!$M$3:$M$480,"=311")+SUMIFS('ANALITIKA EU PROJEKATA'!$G$3:$G$499,'ANALITIKA EU PROJEKATA'!$A$3:$A$499,"=51",'ANALITIKA EU PROJEKATA'!$P$3:$P$499,"=311")</f>
        <v>645349</v>
      </c>
      <c r="K6" s="147">
        <f>SUMIFS('Plan rashoda za unos u SAP'!$I$3:$I$480,'Plan rashoda za unos u SAP'!$C$3:$C$480,"=52",'Plan rashoda za unos u SAP'!$M$3:$M$480,"=311")+SUMIFS('ANALITIKA EU PROJEKATA'!$G$3:$G$499,'ANALITIKA EU PROJEKATA'!$A$3:$A$499,"=52",'ANALITIKA EU PROJEKATA'!$P$3:$P$499,"=311")</f>
        <v>4491908.8335999995</v>
      </c>
      <c r="L6" s="147">
        <f>SUMIFS('Plan rashoda za unos u SAP'!$I$3:$I$480,'Plan rashoda za unos u SAP'!$C$3:$C$480,"=552",'Plan rashoda za unos u SAP'!$M$3:$M$480,"=311")+SUMIFS('ANALITIKA EU PROJEKATA'!$G$3:$G$499,'ANALITIKA EU PROJEKATA'!$A$3:$A$499,"=552",'ANALITIKA EU PROJEKATA'!$P$3:$P$499,"=311")</f>
        <v>0</v>
      </c>
      <c r="M6" s="147">
        <f>SUMIFS('Plan rashoda za unos u SAP'!$I$3:$I$480,'Plan rashoda za unos u SAP'!$C$3:$C$480,"=559",'Plan rashoda za unos u SAP'!$M$3:$M$480,"=311")+SUMIFS('ANALITIKA EU PROJEKATA'!$G$3:$G$499,'ANALITIKA EU PROJEKATA'!$A$3:$A$499,"=559",'ANALITIKA EU PROJEKATA'!$P$3:$P$499,"=311")</f>
        <v>0</v>
      </c>
      <c r="N6" s="147">
        <f>SUMIFS('Plan rashoda za unos u SAP'!$I$3:$I$480,'Plan rashoda za unos u SAP'!$C$3:$C$480,"=561",'Plan rashoda za unos u SAP'!$M$3:$M$480,"=311")+SUMIFS('ANALITIKA EU PROJEKATA'!$G$3:$G$499,'ANALITIKA EU PROJEKATA'!$A$3:$A$499,"=561",'ANALITIKA EU PROJEKATA'!$P$3:$P$499,"=311")</f>
        <v>0</v>
      </c>
      <c r="O6" s="147">
        <f>SUMIFS('Plan rashoda za unos u SAP'!$I$3:$I$480,'Plan rashoda za unos u SAP'!$C$3:$C$480,"=563",'Plan rashoda za unos u SAP'!$M$3:$M$480,"=311")+SUMIFS('ANALITIKA EU PROJEKATA'!$G$3:$G$499,'ANALITIKA EU PROJEKATA'!$A$3:$A$499,"=563",'ANALITIKA EU PROJEKATA'!$P$3:$P$499,"=311")</f>
        <v>2872773</v>
      </c>
      <c r="P6" s="147">
        <f>SUMIFS('Plan rashoda za unos u SAP'!$I$3:$I$480,'Plan rashoda za unos u SAP'!$C$3:$C$480,"=573",'Plan rashoda za unos u SAP'!$M$3:$M$480,"=311")+SUMIFS('ANALITIKA EU PROJEKATA'!$G$3:$G$499,'ANALITIKA EU PROJEKATA'!$A$3:$A$499,"=573",'ANALITIKA EU PROJEKATA'!$P$3:$P$499,"=311")</f>
        <v>0</v>
      </c>
      <c r="Q6" s="147">
        <f>SUMIFS('Plan rashoda za unos u SAP'!$I$3:$I$480,'Plan rashoda za unos u SAP'!$C$3:$C$480,"=575",'Plan rashoda za unos u SAP'!$M$3:$M$480,"=311")+SUMIFS('ANALITIKA EU PROJEKATA'!$G$3:$G$499,'ANALITIKA EU PROJEKATA'!$A$3:$A$499,"=575",'ANALITIKA EU PROJEKATA'!$P$3:$P$499,"=311")</f>
        <v>0</v>
      </c>
      <c r="R6" s="147">
        <f>SUMIFS('Plan rashoda za unos u SAP'!$I$3:$I$480,'Plan rashoda za unos u SAP'!$C$3:$C$480,"=576",'Plan rashoda za unos u SAP'!$M$3:$M$480,"=311")+SUMIFS('ANALITIKA EU PROJEKATA'!$G$3:$G$499,'ANALITIKA EU PROJEKATA'!$A$3:$A$499,"=576",'ANALITIKA EU PROJEKATA'!$P$3:$P$499,"=311")</f>
        <v>0</v>
      </c>
      <c r="S6" s="147">
        <f>SUMIFS('Plan rashoda za unos u SAP'!$I$3:$I$480,'Plan rashoda za unos u SAP'!$C$3:$C$480,"=581",'Plan rashoda za unos u SAP'!$M$3:$M$480,"=311")+SUMIFS('ANALITIKA EU PROJEKATA'!$G$3:$G$499,'ANALITIKA EU PROJEKATA'!$A$3:$A$499,"=581",'ANALITIKA EU PROJEKATA'!$P$3:$P$499,"=311")</f>
        <v>0</v>
      </c>
      <c r="T6" s="147">
        <f>SUMIFS('Plan rashoda za unos u SAP'!$I$3:$I$480,'Plan rashoda za unos u SAP'!$C$3:$C$480,"=61",'Plan rashoda za unos u SAP'!$M$3:$M$480,"=311")+SUMIFS('ANALITIKA EU PROJEKATA'!$G$3:$G$499,'ANALITIKA EU PROJEKATA'!$A$3:$A$499,"=61",'ANALITIKA EU PROJEKATA'!$P$3:$P$499,"=311")</f>
        <v>172323.7</v>
      </c>
      <c r="U6" s="147">
        <f>SUMIFS('Plan rashoda za unos u SAP'!$I$3:$I$480,'Plan rashoda za unos u SAP'!$C$3:$C$480,"=63",'Plan rashoda za unos u SAP'!$M$3:$M$480,"=311")+SUMIFS('ANALITIKA EU PROJEKATA'!$G$3:$G$499,'ANALITIKA EU PROJEKATA'!$A$3:$A$499,"=63",'ANALITIKA EU PROJEKATA'!$P$3:$P$499,"=311")</f>
        <v>0</v>
      </c>
      <c r="V6" s="147">
        <f>SUMIFS('Plan rashoda za unos u SAP'!$I$3:$I$480,'Plan rashoda za unos u SAP'!$C$3:$C$480,"=71",'Plan rashoda za unos u SAP'!$M$3:$M$480,"=311")+SUMIFS('ANALITIKA EU PROJEKATA'!$G$3:$G$499,'ANALITIKA EU PROJEKATA'!$A$3:$A$499,"=71",'ANALITIKA EU PROJEKATA'!$P$3:$P$499,"=311")</f>
        <v>0</v>
      </c>
      <c r="W6" s="147">
        <f>SUMIFS('Plan rashoda za unos u SAP'!$I$3:$I$480,'Plan rashoda za unos u SAP'!$C$3:$C$480,"=81",'Plan rashoda za unos u SAP'!$M$3:$M$480,"=311")+SUMIFS('ANALITIKA EU PROJEKATA'!$G$3:$G$499,'ANALITIKA EU PROJEKATA'!$A$3:$A$499,"=81",'ANALITIKA EU PROJEKATA'!$P$3:$P$499,"=311")</f>
        <v>0</v>
      </c>
      <c r="X6" s="129"/>
      <c r="Y6" s="129"/>
      <c r="Z6" s="129"/>
      <c r="AA6" s="129"/>
      <c r="AB6" s="129"/>
      <c r="AC6" s="129"/>
      <c r="AD6" s="129"/>
      <c r="AE6" s="129"/>
      <c r="AF6" s="129"/>
      <c r="AG6" s="129"/>
      <c r="AH6" s="129"/>
      <c r="AI6" s="129"/>
      <c r="AJ6" s="129"/>
      <c r="AK6" s="129"/>
      <c r="AL6" s="129"/>
      <c r="AM6" s="129"/>
      <c r="AN6" s="129"/>
      <c r="AO6" s="129"/>
      <c r="AP6" s="129"/>
      <c r="AQ6" s="129"/>
    </row>
    <row r="7" spans="1:43" ht="12" customHeight="1">
      <c r="A7" s="131">
        <v>2021</v>
      </c>
      <c r="B7" s="148">
        <v>312</v>
      </c>
      <c r="C7" s="149" t="s">
        <v>618</v>
      </c>
      <c r="D7" s="94">
        <f t="shared" si="0"/>
        <v>2072759.2855</v>
      </c>
      <c r="E7" s="147">
        <f>SUMIFS('Plan rashoda za unos u SAP'!$I$3:$I$480,'Plan rashoda za unos u SAP'!$C$3:$C$480,"=11",'Plan rashoda za unos u SAP'!$M$3:$M$480,"=312")+SUMIFS('ANALITIKA EU PROJEKATA'!$G$3:$G$499,'ANALITIKA EU PROJEKATA'!$A$3:$A$499,"=11",'ANALITIKA EU PROJEKATA'!$P$3:$P$499,"=312")</f>
        <v>1942773</v>
      </c>
      <c r="F7" s="147">
        <f>SUMIFS('Plan rashoda za unos u SAP'!$I$3:$I$480,'Plan rashoda za unos u SAP'!$C$3:$C$480,"=12",'Plan rashoda za unos u SAP'!$M$3:$M$480,"=312")+SUMIFS('ANALITIKA EU PROJEKATA'!$G$3:$G$499,'ANALITIKA EU PROJEKATA'!$A$3:$A$499,"=12",'ANALITIKA EU PROJEKATA'!$P$3:$P$499,"=312")</f>
        <v>0</v>
      </c>
      <c r="G7" s="147">
        <f>SUMIFS('Plan rashoda za unos u SAP'!$I$3:$I$480,'Plan rashoda za unos u SAP'!$C$3:$C$480,"=31",'Plan rashoda za unos u SAP'!$M$3:$M$480,"=312")+SUMIFS('ANALITIKA EU PROJEKATA'!$G$3:$G$499,'ANALITIKA EU PROJEKATA'!$A$3:$A$499,"=31",'ANALITIKA EU PROJEKATA'!$P$3:$P$499,"=312")</f>
        <v>25875</v>
      </c>
      <c r="H7" s="147">
        <f>SUMIFS('Plan rashoda za unos u SAP'!$I$3:$I$480,'Plan rashoda za unos u SAP'!$C$3:$C$480,"=41",'Plan rashoda za unos u SAP'!$M$3:$M$480,"=312")+SUMIFS('ANALITIKA EU PROJEKATA'!$G$3:$G$499,'ANALITIKA EU PROJEKATA'!$A$3:$A$499,"=41",'ANALITIKA EU PROJEKATA'!$P$3:$P$499,"=312")</f>
        <v>0</v>
      </c>
      <c r="I7" s="147">
        <f>SUMIFS('Plan rashoda za unos u SAP'!$I$3:$I$480,'Plan rashoda za unos u SAP'!$C$3:$C$480,"=43",'Plan rashoda za unos u SAP'!$M$3:$M$480,"=312")+SUMIFS('ANALITIKA EU PROJEKATA'!$G$3:$G$499,'ANALITIKA EU PROJEKATA'!$A$3:$A$499,"=43",'ANALITIKA EU PROJEKATA'!$P$3:$P$499,"=312")</f>
        <v>20550.669999999998</v>
      </c>
      <c r="J7" s="147">
        <f>SUMIFS('Plan rashoda za unos u SAP'!$I$3:$I$480,'Plan rashoda za unos u SAP'!$C$3:$C$480,"=51",'Plan rashoda za unos u SAP'!$M$3:$M$480,"=312")+SUMIFS('ANALITIKA EU PROJEKATA'!$G$3:$G$499,'ANALITIKA EU PROJEKATA'!$A$3:$A$499,"=51",'ANALITIKA EU PROJEKATA'!$P$3:$P$499,"=312")</f>
        <v>0</v>
      </c>
      <c r="K7" s="147">
        <f>SUMIFS('Plan rashoda za unos u SAP'!$I$3:$I$480,'Plan rashoda za unos u SAP'!$C$3:$C$480,"=52",'Plan rashoda za unos u SAP'!$M$3:$M$480,"=312")+SUMIFS('ANALITIKA EU PROJEKATA'!$G$3:$G$499,'ANALITIKA EU PROJEKATA'!$A$3:$A$499,"=52",'ANALITIKA EU PROJEKATA'!$P$3:$P$499,"=312")</f>
        <v>83560.6155</v>
      </c>
      <c r="L7" s="147">
        <f>SUMIFS('Plan rashoda za unos u SAP'!$I$3:$I$480,'Plan rashoda za unos u SAP'!$C$3:$C$480,"=552",'Plan rashoda za unos u SAP'!$M$3:$M$480,"=312")+SUMIFS('ANALITIKA EU PROJEKATA'!$G$3:$G$499,'ANALITIKA EU PROJEKATA'!$A$3:$A$499,"=552",'ANALITIKA EU PROJEKATA'!$P$3:$P$499,"=312")</f>
        <v>0</v>
      </c>
      <c r="M7" s="147">
        <f>SUMIFS('Plan rashoda za unos u SAP'!$I$3:$I$480,'Plan rashoda za unos u SAP'!$C$3:$C$480,"=559",'Plan rashoda za unos u SAP'!$M$3:$M$480,"=312")+SUMIFS('ANALITIKA EU PROJEKATA'!$G$3:$G$499,'ANALITIKA EU PROJEKATA'!$A$3:$A$499,"=559",'ANALITIKA EU PROJEKATA'!$P$3:$P$499,"=312")</f>
        <v>0</v>
      </c>
      <c r="N7" s="147">
        <f>SUMIFS('Plan rashoda za unos u SAP'!$I$3:$I$480,'Plan rashoda za unos u SAP'!$C$3:$C$480,"=561",'Plan rashoda za unos u SAP'!$M$3:$M$480,"=312")+SUMIFS('ANALITIKA EU PROJEKATA'!$G$3:$G$499,'ANALITIKA EU PROJEKATA'!$A$3:$A$499,"=561",'ANALITIKA EU PROJEKATA'!$P$3:$P$499,"=312")</f>
        <v>0</v>
      </c>
      <c r="O7" s="147">
        <f>SUMIFS('Plan rashoda za unos u SAP'!$I$3:$I$480,'Plan rashoda za unos u SAP'!$C$3:$C$480,"=563",'Plan rashoda za unos u SAP'!$M$3:$M$480,"=312")+SUMIFS('ANALITIKA EU PROJEKATA'!$G$3:$G$499,'ANALITIKA EU PROJEKATA'!$A$3:$A$499,"=563",'ANALITIKA EU PROJEKATA'!$P$3:$P$499,"=312")</f>
        <v>0</v>
      </c>
      <c r="P7" s="147">
        <f>SUMIFS('Plan rashoda za unos u SAP'!$I$3:$I$480,'Plan rashoda za unos u SAP'!$C$3:$C$480,"=573",'Plan rashoda za unos u SAP'!$M$3:$M$480,"=312")+SUMIFS('ANALITIKA EU PROJEKATA'!$G$3:$G$499,'ANALITIKA EU PROJEKATA'!$A$3:$A$499,"=573",'ANALITIKA EU PROJEKATA'!$P$3:$P$499,"=312")</f>
        <v>0</v>
      </c>
      <c r="Q7" s="147">
        <f>SUMIFS('Plan rashoda za unos u SAP'!$I$3:$I$480,'Plan rashoda za unos u SAP'!$C$3:$C$480,"=575",'Plan rashoda za unos u SAP'!$M$3:$M$480,"=312")+SUMIFS('ANALITIKA EU PROJEKATA'!$G$3:$G$499,'ANALITIKA EU PROJEKATA'!$A$3:$A$499,"=575",'ANALITIKA EU PROJEKATA'!$P$3:$P$499,"=312")</f>
        <v>0</v>
      </c>
      <c r="R7" s="147">
        <f>SUMIFS('Plan rashoda za unos u SAP'!$I$3:$I$480,'Plan rashoda za unos u SAP'!$C$3:$C$480,"=576",'Plan rashoda za unos u SAP'!$M$3:$M$480,"=312")+SUMIFS('ANALITIKA EU PROJEKATA'!$G$3:$G$499,'ANALITIKA EU PROJEKATA'!$A$3:$A$499,"=576",'ANALITIKA EU PROJEKATA'!$P$3:$P$499,"=312")</f>
        <v>0</v>
      </c>
      <c r="S7" s="147">
        <f>SUMIFS('Plan rashoda za unos u SAP'!$I$3:$I$480,'Plan rashoda za unos u SAP'!$C$3:$C$480,"=581",'Plan rashoda za unos u SAP'!$M$3:$M$480,"=312")+SUMIFS('ANALITIKA EU PROJEKATA'!$G$3:$G$499,'ANALITIKA EU PROJEKATA'!$A$3:$A$499,"=581",'ANALITIKA EU PROJEKATA'!$P$3:$P$499,"=312")</f>
        <v>0</v>
      </c>
      <c r="T7" s="147">
        <f>SUMIFS('Plan rashoda za unos u SAP'!$I$3:$I$480,'Plan rashoda za unos u SAP'!$C$3:$C$480,"=61",'Plan rashoda za unos u SAP'!$M$3:$M$480,"=312")+SUMIFS('ANALITIKA EU PROJEKATA'!$G$3:$G$499,'ANALITIKA EU PROJEKATA'!$A$3:$A$499,"=61",'ANALITIKA EU PROJEKATA'!$P$3:$P$499,"=312")</f>
        <v>0</v>
      </c>
      <c r="U7" s="147">
        <f>SUMIFS('Plan rashoda za unos u SAP'!$I$3:$I$480,'Plan rashoda za unos u SAP'!$C$3:$C$480,"=63",'Plan rashoda za unos u SAP'!$M$3:$M$480,"=312")+SUMIFS('ANALITIKA EU PROJEKATA'!$G$3:$G$499,'ANALITIKA EU PROJEKATA'!$A$3:$A$499,"=63",'ANALITIKA EU PROJEKATA'!$P$3:$P$499,"=312")</f>
        <v>0</v>
      </c>
      <c r="V7" s="147">
        <f>SUMIFS('Plan rashoda za unos u SAP'!$I$3:$I$480,'Plan rashoda za unos u SAP'!$C$3:$C$480,"=71",'Plan rashoda za unos u SAP'!$M$3:$M$480,"=312")+SUMIFS('ANALITIKA EU PROJEKATA'!$G$3:$G$499,'ANALITIKA EU PROJEKATA'!$A$3:$A$499,"=71",'ANALITIKA EU PROJEKATA'!$P$3:$P$499,"=312")</f>
        <v>0</v>
      </c>
      <c r="W7" s="147">
        <f>SUMIFS('Plan rashoda za unos u SAP'!$I$3:$I$480,'Plan rashoda za unos u SAP'!$C$3:$C$480,"=81",'Plan rashoda za unos u SAP'!$M$3:$M$480,"=312")+SUMIFS('ANALITIKA EU PROJEKATA'!$G$3:$G$499,'ANALITIKA EU PROJEKATA'!$A$3:$A$499,"=81",'ANALITIKA EU PROJEKATA'!$P$3:$P$499,"=312")</f>
        <v>0</v>
      </c>
      <c r="X7" s="129"/>
      <c r="Y7" s="129"/>
      <c r="Z7" s="129"/>
      <c r="AA7" s="129"/>
      <c r="AB7" s="129"/>
      <c r="AC7" s="129"/>
      <c r="AD7" s="129"/>
      <c r="AE7" s="129"/>
      <c r="AF7" s="129"/>
      <c r="AG7" s="129"/>
      <c r="AH7" s="129"/>
      <c r="AI7" s="129"/>
      <c r="AJ7" s="129"/>
      <c r="AK7" s="129"/>
      <c r="AL7" s="129"/>
      <c r="AM7" s="129"/>
      <c r="AN7" s="129"/>
      <c r="AO7" s="129"/>
      <c r="AP7" s="129"/>
      <c r="AQ7" s="129"/>
    </row>
    <row r="8" spans="1:43" ht="12" customHeight="1">
      <c r="A8" s="131">
        <v>2021</v>
      </c>
      <c r="B8" s="148">
        <v>313</v>
      </c>
      <c r="C8" s="149" t="s">
        <v>3433</v>
      </c>
      <c r="D8" s="94">
        <f t="shared" si="0"/>
        <v>19878820.660100002</v>
      </c>
      <c r="E8" s="147">
        <f>SUMIFS('Plan rashoda za unos u SAP'!$I$3:$I$480,'Plan rashoda za unos u SAP'!$C$3:$C$480,"=11",'Plan rashoda za unos u SAP'!$M$3:$M$480,"=313")+SUMIFS('ANALITIKA EU PROJEKATA'!$G$3:$G$499,'ANALITIKA EU PROJEKATA'!$A$3:$A$499,"=11",'ANALITIKA EU PROJEKATA'!$P$3:$P$499,"=313")</f>
        <v>16905437</v>
      </c>
      <c r="F8" s="147">
        <f>SUMIFS('Plan rashoda za unos u SAP'!$I$3:$I$480,'Plan rashoda za unos u SAP'!$C$3:$C$480,"=12",'Plan rashoda za unos u SAP'!$M$3:$M$480,"=313")+SUMIFS('ANALITIKA EU PROJEKATA'!$G$3:$G$499,'ANALITIKA EU PROJEKATA'!$A$3:$A$499,"=12",'ANALITIKA EU PROJEKATA'!$P$3:$P$499,"=313")</f>
        <v>0</v>
      </c>
      <c r="G8" s="147">
        <f>SUMIFS('Plan rashoda za unos u SAP'!$I$3:$I$480,'Plan rashoda za unos u SAP'!$C$3:$C$480,"=31",'Plan rashoda za unos u SAP'!$M$3:$M$480,"=313")+SUMIFS('ANALITIKA EU PROJEKATA'!$G$3:$G$499,'ANALITIKA EU PROJEKATA'!$A$3:$A$499,"=31",'ANALITIKA EU PROJEKATA'!$P$3:$P$499,"=313")</f>
        <v>902810</v>
      </c>
      <c r="H8" s="147">
        <f>SUMIFS('Plan rashoda za unos u SAP'!$I$3:$I$480,'Plan rashoda za unos u SAP'!$C$3:$C$480,"=41",'Plan rashoda za unos u SAP'!$M$3:$M$480,"=313")+SUMIFS('ANALITIKA EU PROJEKATA'!$G$3:$G$499,'ANALITIKA EU PROJEKATA'!$A$3:$A$499,"=41",'ANALITIKA EU PROJEKATA'!$P$3:$P$499,"=313")</f>
        <v>0</v>
      </c>
      <c r="I8" s="147">
        <f>SUMIFS('Plan rashoda za unos u SAP'!$I$3:$I$480,'Plan rashoda za unos u SAP'!$C$3:$C$480,"=43",'Plan rashoda za unos u SAP'!$M$3:$M$480,"=313")+SUMIFS('ANALITIKA EU PROJEKATA'!$G$3:$G$499,'ANALITIKA EU PROJEKATA'!$A$3:$A$499,"=43",'ANALITIKA EU PROJEKATA'!$P$3:$P$499,"=313")</f>
        <v>1378265.05</v>
      </c>
      <c r="J8" s="147">
        <f>SUMIFS('Plan rashoda za unos u SAP'!$I$3:$I$480,'Plan rashoda za unos u SAP'!$C$3:$C$480,"=51",'Plan rashoda za unos u SAP'!$M$3:$M$480,"=313")+SUMIFS('ANALITIKA EU PROJEKATA'!$G$3:$G$499,'ANALITIKA EU PROJEKATA'!$A$3:$A$499,"=51",'ANALITIKA EU PROJEKATA'!$P$3:$P$499,"=313")</f>
        <v>0</v>
      </c>
      <c r="K8" s="147">
        <f>SUMIFS('Plan rashoda za unos u SAP'!$I$3:$I$480,'Plan rashoda za unos u SAP'!$C$3:$C$480,"=52",'Plan rashoda za unos u SAP'!$M$3:$M$480,"=313")+SUMIFS('ANALITIKA EU PROJEKATA'!$G$3:$G$499,'ANALITIKA EU PROJEKATA'!$A$3:$A$499,"=52",'ANALITIKA EU PROJEKATA'!$P$3:$P$499,"=313")</f>
        <v>671680.3101</v>
      </c>
      <c r="L8" s="147">
        <f>SUMIFS('Plan rashoda za unos u SAP'!$I$3:$I$480,'Plan rashoda za unos u SAP'!$C$3:$C$480,"=552",'Plan rashoda za unos u SAP'!$M$3:$M$480,"=313")+SUMIFS('ANALITIKA EU PROJEKATA'!$G$3:$G$499,'ANALITIKA EU PROJEKATA'!$A$3:$A$499,"=552",'ANALITIKA EU PROJEKATA'!$P$3:$P$499,"=313")</f>
        <v>0</v>
      </c>
      <c r="M8" s="147">
        <f>SUMIFS('Plan rashoda za unos u SAP'!$I$3:$I$480,'Plan rashoda za unos u SAP'!$C$3:$C$480,"=559",'Plan rashoda za unos u SAP'!$M$3:$M$480,"=313")+SUMIFS('ANALITIKA EU PROJEKATA'!$G$3:$G$499,'ANALITIKA EU PROJEKATA'!$A$3:$A$499,"=559",'ANALITIKA EU PROJEKATA'!$P$3:$P$499,"=313")</f>
        <v>0</v>
      </c>
      <c r="N8" s="147">
        <f>SUMIFS('Plan rashoda za unos u SAP'!$I$3:$I$480,'Plan rashoda za unos u SAP'!$C$3:$C$480,"=561",'Plan rashoda za unos u SAP'!$M$3:$M$480,"=313")+SUMIFS('ANALITIKA EU PROJEKATA'!$G$3:$G$499,'ANALITIKA EU PROJEKATA'!$A$3:$A$499,"=561",'ANALITIKA EU PROJEKATA'!$P$3:$P$499,"=313")</f>
        <v>0</v>
      </c>
      <c r="O8" s="147">
        <f>SUMIFS('Plan rashoda za unos u SAP'!$I$3:$I$480,'Plan rashoda za unos u SAP'!$C$3:$C$480,"=563",'Plan rashoda za unos u SAP'!$M$3:$M$480,"=313")+SUMIFS('ANALITIKA EU PROJEKATA'!$G$3:$G$499,'ANALITIKA EU PROJEKATA'!$A$3:$A$499,"=563",'ANALITIKA EU PROJEKATA'!$P$3:$P$499,"=313")</f>
        <v>0</v>
      </c>
      <c r="P8" s="147">
        <f>SUMIFS('Plan rashoda za unos u SAP'!$I$3:$I$480,'Plan rashoda za unos u SAP'!$C$3:$C$480,"=573",'Plan rashoda za unos u SAP'!$M$3:$M$480,"=313")+SUMIFS('ANALITIKA EU PROJEKATA'!$G$3:$G$499,'ANALITIKA EU PROJEKATA'!$A$3:$A$499,"=573",'ANALITIKA EU PROJEKATA'!$P$3:$P$499,"=313")</f>
        <v>0</v>
      </c>
      <c r="Q8" s="147">
        <f>SUMIFS('Plan rashoda za unos u SAP'!$I$3:$I$480,'Plan rashoda za unos u SAP'!$C$3:$C$480,"=575",'Plan rashoda za unos u SAP'!$M$3:$M$480,"=313")+SUMIFS('ANALITIKA EU PROJEKATA'!$G$3:$G$499,'ANALITIKA EU PROJEKATA'!$A$3:$A$499,"=575",'ANALITIKA EU PROJEKATA'!$P$3:$P$499,"=313")</f>
        <v>0</v>
      </c>
      <c r="R8" s="147">
        <f>SUMIFS('Plan rashoda za unos u SAP'!$I$3:$I$480,'Plan rashoda za unos u SAP'!$C$3:$C$480,"=576",'Plan rashoda za unos u SAP'!$M$3:$M$480,"=313")+SUMIFS('ANALITIKA EU PROJEKATA'!$G$3:$G$499,'ANALITIKA EU PROJEKATA'!$A$3:$A$499,"=576",'ANALITIKA EU PROJEKATA'!$P$3:$P$499,"=313")</f>
        <v>0</v>
      </c>
      <c r="S8" s="147">
        <f>SUMIFS('Plan rashoda za unos u SAP'!$I$3:$I$480,'Plan rashoda za unos u SAP'!$C$3:$C$480,"=581",'Plan rashoda za unos u SAP'!$M$3:$M$480,"=313")+SUMIFS('ANALITIKA EU PROJEKATA'!$G$3:$G$499,'ANALITIKA EU PROJEKATA'!$A$3:$A$499,"=581",'ANALITIKA EU PROJEKATA'!$P$3:$P$499,"=313")</f>
        <v>0</v>
      </c>
      <c r="T8" s="147">
        <f>SUMIFS('Plan rashoda za unos u SAP'!$I$3:$I$480,'Plan rashoda za unos u SAP'!$C$3:$C$480,"=61",'Plan rashoda za unos u SAP'!$M$3:$M$480,"=313")+SUMIFS('ANALITIKA EU PROJEKATA'!$G$3:$G$499,'ANALITIKA EU PROJEKATA'!$A$3:$A$499,"=61",'ANALITIKA EU PROJEKATA'!$P$3:$P$499,"=313")</f>
        <v>20628.3</v>
      </c>
      <c r="U8" s="147">
        <f>SUMIFS('Plan rashoda za unos u SAP'!$I$3:$I$480,'Plan rashoda za unos u SAP'!$C$3:$C$480,"=63",'Plan rashoda za unos u SAP'!$M$3:$M$480,"=313")+SUMIFS('ANALITIKA EU PROJEKATA'!$G$3:$G$499,'ANALITIKA EU PROJEKATA'!$A$3:$A$499,"=63",'ANALITIKA EU PROJEKATA'!$P$3:$P$499,"=313")</f>
        <v>0</v>
      </c>
      <c r="V8" s="147">
        <f>SUMIFS('Plan rashoda za unos u SAP'!$I$3:$I$480,'Plan rashoda za unos u SAP'!$C$3:$C$480,"=71",'Plan rashoda za unos u SAP'!$M$3:$M$480,"=313")+SUMIFS('ANALITIKA EU PROJEKATA'!$G$3:$G$499,'ANALITIKA EU PROJEKATA'!$A$3:$A$499,"=71",'ANALITIKA EU PROJEKATA'!$P$3:$P$499,"=313")</f>
        <v>0</v>
      </c>
      <c r="W8" s="147">
        <f>SUMIFS('Plan rashoda za unos u SAP'!$I$3:$I$480,'Plan rashoda za unos u SAP'!$C$3:$C$480,"=81",'Plan rashoda za unos u SAP'!$M$3:$M$480,"=313")+SUMIFS('ANALITIKA EU PROJEKATA'!$G$3:$G$499,'ANALITIKA EU PROJEKATA'!$A$3:$A$499,"=81",'ANALITIKA EU PROJEKATA'!$P$3:$P$499,"=313")</f>
        <v>0</v>
      </c>
      <c r="X8" s="129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129"/>
      <c r="AQ8" s="129"/>
    </row>
    <row r="9" spans="1:43" ht="12" customHeight="1">
      <c r="A9" s="131">
        <v>2021</v>
      </c>
      <c r="B9" s="150">
        <v>32</v>
      </c>
      <c r="C9" s="151" t="s">
        <v>3434</v>
      </c>
      <c r="D9" s="108">
        <f t="shared" si="0"/>
        <v>41908881.024400003</v>
      </c>
      <c r="E9" s="142">
        <f t="shared" ref="E9:W9" si="4">SUM(E10:E14)</f>
        <v>13292778</v>
      </c>
      <c r="F9" s="142">
        <f t="shared" si="4"/>
        <v>0</v>
      </c>
      <c r="G9" s="142">
        <f t="shared" si="4"/>
        <v>5178798</v>
      </c>
      <c r="H9" s="142">
        <f t="shared" si="4"/>
        <v>0</v>
      </c>
      <c r="I9" s="142">
        <f t="shared" si="4"/>
        <v>7365354.7650000006</v>
      </c>
      <c r="J9" s="142">
        <f t="shared" si="4"/>
        <v>296235</v>
      </c>
      <c r="K9" s="142">
        <f t="shared" si="4"/>
        <v>4088949.34</v>
      </c>
      <c r="L9" s="142">
        <f t="shared" si="4"/>
        <v>0</v>
      </c>
      <c r="M9" s="142">
        <f t="shared" si="4"/>
        <v>0</v>
      </c>
      <c r="N9" s="142">
        <f t="shared" si="4"/>
        <v>0</v>
      </c>
      <c r="O9" s="142">
        <f t="shared" si="4"/>
        <v>11382210</v>
      </c>
      <c r="P9" s="142">
        <f t="shared" si="4"/>
        <v>0</v>
      </c>
      <c r="Q9" s="142">
        <f t="shared" si="4"/>
        <v>0</v>
      </c>
      <c r="R9" s="142">
        <f t="shared" si="4"/>
        <v>0</v>
      </c>
      <c r="S9" s="142">
        <f t="shared" si="4"/>
        <v>0</v>
      </c>
      <c r="T9" s="142">
        <f t="shared" si="4"/>
        <v>304555.91939999996</v>
      </c>
      <c r="U9" s="142">
        <f t="shared" si="4"/>
        <v>0</v>
      </c>
      <c r="V9" s="142">
        <f t="shared" si="4"/>
        <v>0</v>
      </c>
      <c r="W9" s="142">
        <f t="shared" si="4"/>
        <v>0</v>
      </c>
      <c r="X9" s="152"/>
      <c r="Y9" s="152"/>
      <c r="Z9" s="152"/>
      <c r="AA9" s="152"/>
      <c r="AB9" s="152"/>
      <c r="AC9" s="152"/>
      <c r="AD9" s="152"/>
      <c r="AE9" s="152"/>
      <c r="AF9" s="152"/>
      <c r="AG9" s="152"/>
      <c r="AH9" s="152"/>
      <c r="AI9" s="152"/>
      <c r="AJ9" s="152"/>
      <c r="AK9" s="152"/>
      <c r="AL9" s="152"/>
      <c r="AM9" s="152"/>
      <c r="AN9" s="152"/>
      <c r="AO9" s="152"/>
      <c r="AP9" s="152"/>
      <c r="AQ9" s="152"/>
    </row>
    <row r="10" spans="1:43" ht="12" customHeight="1">
      <c r="A10" s="131">
        <v>2021</v>
      </c>
      <c r="B10" s="145">
        <v>321</v>
      </c>
      <c r="C10" s="145" t="s">
        <v>3435</v>
      </c>
      <c r="D10" s="94">
        <f t="shared" si="0"/>
        <v>4633876.9980999995</v>
      </c>
      <c r="E10" s="147">
        <f>SUMIFS('Plan rashoda za unos u SAP'!$I$3:$I$480,'Plan rashoda za unos u SAP'!$C$3:$C$480,"=11",'Plan rashoda za unos u SAP'!$M$3:$M$480,"=321")+SUMIFS('ANALITIKA EU PROJEKATA'!$G$3:$G$499,'ANALITIKA EU PROJEKATA'!$A$3:$A$499,"=11",'ANALITIKA EU PROJEKATA'!$P$3:$P$499,"=321")</f>
        <v>2577295</v>
      </c>
      <c r="F10" s="147">
        <f>SUMIFS('Plan rashoda za unos u SAP'!$I$3:$I$480,'Plan rashoda za unos u SAP'!$C$3:$C$480,"=12",'Plan rashoda za unos u SAP'!$M$3:$M$480,"=321")+SUMIFS('ANALITIKA EU PROJEKATA'!$G$3:$G$499,'ANALITIKA EU PROJEKATA'!$A$3:$A$499,"=12",'ANALITIKA EU PROJEKATA'!$P$3:$P$499,"=321")</f>
        <v>0</v>
      </c>
      <c r="G10" s="147">
        <f>SUMIFS('Plan rashoda za unos u SAP'!$I$3:$I$480,'Plan rashoda za unos u SAP'!$C$3:$C$480,"=31",'Plan rashoda za unos u SAP'!$M$3:$M$480,"=321")+SUMIFS('ANALITIKA EU PROJEKATA'!$G$3:$G$499,'ANALITIKA EU PROJEKATA'!$A$3:$A$499,"=31",'ANALITIKA EU PROJEKATA'!$P$3:$P$499,"=321")</f>
        <v>248624</v>
      </c>
      <c r="H10" s="147">
        <f>SUMIFS('Plan rashoda za unos u SAP'!$I$3:$I$480,'Plan rashoda za unos u SAP'!$C$3:$C$480,"=41",'Plan rashoda za unos u SAP'!$M$3:$M$480,"=321")+SUMIFS('ANALITIKA EU PROJEKATA'!$G$3:$G$499,'ANALITIKA EU PROJEKATA'!$A$3:$A$499,"=41",'ANALITIKA EU PROJEKATA'!$P$3:$P$499,"=321")</f>
        <v>0</v>
      </c>
      <c r="I10" s="147">
        <f>SUMIFS('Plan rashoda za unos u SAP'!$I$3:$I$480,'Plan rashoda za unos u SAP'!$C$3:$C$480,"=43",'Plan rashoda za unos u SAP'!$M$3:$M$480,"=321")+SUMIFS('ANALITIKA EU PROJEKATA'!$G$3:$G$499,'ANALITIKA EU PROJEKATA'!$A$3:$A$499,"=43",'ANALITIKA EU PROJEKATA'!$P$3:$P$499,"=321")</f>
        <v>112441.35</v>
      </c>
      <c r="J10" s="147">
        <f>SUMIFS('Plan rashoda za unos u SAP'!$I$3:$I$480,'Plan rashoda za unos u SAP'!$C$3:$C$480,"=51",'Plan rashoda za unos u SAP'!$M$3:$M$480,"=321")+SUMIFS('ANALITIKA EU PROJEKATA'!$G$3:$G$499,'ANALITIKA EU PROJEKATA'!$A$3:$A$499,"=51",'ANALITIKA EU PROJEKATA'!$P$3:$P$499,"=321")</f>
        <v>88144</v>
      </c>
      <c r="K10" s="147">
        <f>SUMIFS('Plan rashoda za unos u SAP'!$I$3:$I$480,'Plan rashoda za unos u SAP'!$C$3:$C$480,"=52",'Plan rashoda za unos u SAP'!$M$3:$M$480,"=321")+SUMIFS('ANALITIKA EU PROJEKATA'!$G$3:$G$499,'ANALITIKA EU PROJEKATA'!$A$3:$A$499,"=52",'ANALITIKA EU PROJEKATA'!$P$3:$P$499,"=321")</f>
        <v>369761.64809999999</v>
      </c>
      <c r="L10" s="147">
        <f>SUMIFS('Plan rashoda za unos u SAP'!$I$3:$I$480,'Plan rashoda za unos u SAP'!$C$3:$C$480,"=552",'Plan rashoda za unos u SAP'!$M$3:$M$480,"=321")+SUMIFS('ANALITIKA EU PROJEKATA'!$G$3:$G$499,'ANALITIKA EU PROJEKATA'!$A$3:$A$499,"=552",'ANALITIKA EU PROJEKATA'!$P$3:$P$499,"=321")</f>
        <v>0</v>
      </c>
      <c r="M10" s="147">
        <f>SUMIFS('Plan rashoda za unos u SAP'!$I$3:$I$480,'Plan rashoda za unos u SAP'!$C$3:$C$480,"=559",'Plan rashoda za unos u SAP'!$M$3:$M$480,"=321")+SUMIFS('ANALITIKA EU PROJEKATA'!$G$3:$G$499,'ANALITIKA EU PROJEKATA'!$A$3:$A$499,"=559",'ANALITIKA EU PROJEKATA'!$P$3:$P$499,"=321")</f>
        <v>0</v>
      </c>
      <c r="N10" s="147">
        <f>SUMIFS('Plan rashoda za unos u SAP'!$I$3:$I$480,'Plan rashoda za unos u SAP'!$C$3:$C$480,"=561",'Plan rashoda za unos u SAP'!$M$3:$M$480,"=321")+SUMIFS('ANALITIKA EU PROJEKATA'!$G$3:$G$499,'ANALITIKA EU PROJEKATA'!$A$3:$A$499,"=561",'ANALITIKA EU PROJEKATA'!$P$3:$P$499,"=321")</f>
        <v>0</v>
      </c>
      <c r="O10" s="147">
        <f>SUMIFS('Plan rashoda za unos u SAP'!$I$3:$I$480,'Plan rashoda za unos u SAP'!$C$3:$C$480,"=563",'Plan rashoda za unos u SAP'!$M$3:$M$480,"=321")+SUMIFS('ANALITIKA EU PROJEKATA'!$G$3:$G$499,'ANALITIKA EU PROJEKATA'!$A$3:$A$499,"=563",'ANALITIKA EU PROJEKATA'!$P$3:$P$499,"=321")</f>
        <v>1225000</v>
      </c>
      <c r="P10" s="147">
        <f>SUMIFS('Plan rashoda za unos u SAP'!$I$3:$I$480,'Plan rashoda za unos u SAP'!$C$3:$C$480,"=573",'Plan rashoda za unos u SAP'!$M$3:$M$480,"=321")+SUMIFS('ANALITIKA EU PROJEKATA'!$G$3:$G$499,'ANALITIKA EU PROJEKATA'!$A$3:$A$499,"=573",'ANALITIKA EU PROJEKATA'!$P$3:$P$499,"=321")</f>
        <v>0</v>
      </c>
      <c r="Q10" s="147">
        <f>SUMIFS('Plan rashoda za unos u SAP'!$I$3:$I$480,'Plan rashoda za unos u SAP'!$C$3:$C$480,"=575",'Plan rashoda za unos u SAP'!$M$3:$M$480,"=321")+SUMIFS('ANALITIKA EU PROJEKATA'!$G$3:$G$499,'ANALITIKA EU PROJEKATA'!$A$3:$A$499,"=575",'ANALITIKA EU PROJEKATA'!$P$3:$P$499,"=321")</f>
        <v>0</v>
      </c>
      <c r="R10" s="147">
        <f>SUMIFS('Plan rashoda za unos u SAP'!$I$3:$I$480,'Plan rashoda za unos u SAP'!$C$3:$C$480,"=576",'Plan rashoda za unos u SAP'!$M$3:$M$480,"=321")+SUMIFS('ANALITIKA EU PROJEKATA'!$G$3:$G$499,'ANALITIKA EU PROJEKATA'!$A$3:$A$499,"=576",'ANALITIKA EU PROJEKATA'!$P$3:$P$499,"=321")</f>
        <v>0</v>
      </c>
      <c r="S10" s="147">
        <f>SUMIFS('Plan rashoda za unos u SAP'!$I$3:$I$480,'Plan rashoda za unos u SAP'!$C$3:$C$480,"=581",'Plan rashoda za unos u SAP'!$M$3:$M$480,"=321")+SUMIFS('ANALITIKA EU PROJEKATA'!$G$3:$G$499,'ANALITIKA EU PROJEKATA'!$A$3:$A$499,"=581",'ANALITIKA EU PROJEKATA'!$P$3:$P$499,"=321")</f>
        <v>0</v>
      </c>
      <c r="T10" s="147">
        <f>SUMIFS('Plan rashoda za unos u SAP'!$I$3:$I$480,'Plan rashoda za unos u SAP'!$C$3:$C$480,"=61",'Plan rashoda za unos u SAP'!$M$3:$M$480,"=321")+SUMIFS('ANALITIKA EU PROJEKATA'!$G$3:$G$499,'ANALITIKA EU PROJEKATA'!$A$3:$A$499,"=61",'ANALITIKA EU PROJEKATA'!$P$3:$P$499,"=321")</f>
        <v>12611</v>
      </c>
      <c r="U10" s="147">
        <f>SUMIFS('Plan rashoda za unos u SAP'!$I$3:$I$480,'Plan rashoda za unos u SAP'!$C$3:$C$480,"=63",'Plan rashoda za unos u SAP'!$M$3:$M$480,"=321")+SUMIFS('ANALITIKA EU PROJEKATA'!$G$3:$G$499,'ANALITIKA EU PROJEKATA'!$A$3:$A$499,"=63",'ANALITIKA EU PROJEKATA'!$P$3:$P$499,"=321")</f>
        <v>0</v>
      </c>
      <c r="V10" s="147">
        <f>SUMIFS('Plan rashoda za unos u SAP'!$I$3:$I$480,'Plan rashoda za unos u SAP'!$C$3:$C$480,"=71",'Plan rashoda za unos u SAP'!$M$3:$M$480,"=321")+SUMIFS('ANALITIKA EU PROJEKATA'!$G$3:$G$499,'ANALITIKA EU PROJEKATA'!$A$3:$A$499,"=71",'ANALITIKA EU PROJEKATA'!$P$3:$P$499,"=321")</f>
        <v>0</v>
      </c>
      <c r="W10" s="147">
        <f>SUMIFS('Plan rashoda za unos u SAP'!$I$3:$I$480,'Plan rashoda za unos u SAP'!$C$3:$C$480,"=81",'Plan rashoda za unos u SAP'!$M$3:$M$480,"=321")+SUMIFS('ANALITIKA EU PROJEKATA'!$G$3:$G$499,'ANALITIKA EU PROJEKATA'!$A$3:$A$499,"=81",'ANALITIKA EU PROJEKATA'!$P$3:$P$499,"=321")</f>
        <v>0</v>
      </c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  <c r="AH10" s="129"/>
      <c r="AI10" s="129"/>
      <c r="AJ10" s="129"/>
      <c r="AK10" s="129"/>
      <c r="AL10" s="129"/>
      <c r="AM10" s="129"/>
      <c r="AN10" s="129"/>
      <c r="AO10" s="129"/>
      <c r="AP10" s="129"/>
      <c r="AQ10" s="129"/>
    </row>
    <row r="11" spans="1:43" ht="12" customHeight="1">
      <c r="A11" s="131">
        <v>2021</v>
      </c>
      <c r="B11" s="148">
        <v>322</v>
      </c>
      <c r="C11" s="149" t="s">
        <v>3436</v>
      </c>
      <c r="D11" s="94">
        <f t="shared" si="0"/>
        <v>13590032.070900001</v>
      </c>
      <c r="E11" s="147">
        <f>SUMIFS('Plan rashoda za unos u SAP'!$I$3:$I$480,'Plan rashoda za unos u SAP'!$C$3:$C$480,"=11",'Plan rashoda za unos u SAP'!$M$3:$M$480,"=322")+SUMIFS('ANALITIKA EU PROJEKATA'!$G$3:$G$499,'ANALITIKA EU PROJEKATA'!$A$3:$A$499,"=11",'ANALITIKA EU PROJEKATA'!$P$3:$P$499,"=322")</f>
        <v>5165709</v>
      </c>
      <c r="F11" s="147">
        <f>SUMIFS('Plan rashoda za unos u SAP'!$I$3:$I$480,'Plan rashoda za unos u SAP'!$C$3:$C$480,"=12",'Plan rashoda za unos u SAP'!$M$3:$M$480,"=322")+SUMIFS('ANALITIKA EU PROJEKATA'!$G$3:$G$499,'ANALITIKA EU PROJEKATA'!$A$3:$A$499,"=12",'ANALITIKA EU PROJEKATA'!$P$3:$P$499,"=322")</f>
        <v>0</v>
      </c>
      <c r="G11" s="147">
        <f>SUMIFS('Plan rashoda za unos u SAP'!$I$3:$I$480,'Plan rashoda za unos u SAP'!$C$3:$C$480,"=31",'Plan rashoda za unos u SAP'!$M$3:$M$480,"=322")+SUMIFS('ANALITIKA EU PROJEKATA'!$G$3:$G$499,'ANALITIKA EU PROJEKATA'!$A$3:$A$499,"=31",'ANALITIKA EU PROJEKATA'!$P$3:$P$499,"=322")</f>
        <v>1209848</v>
      </c>
      <c r="H11" s="147">
        <f>SUMIFS('Plan rashoda za unos u SAP'!$I$3:$I$480,'Plan rashoda za unos u SAP'!$C$3:$C$480,"=41",'Plan rashoda za unos u SAP'!$M$3:$M$480,"=322")+SUMIFS('ANALITIKA EU PROJEKATA'!$G$3:$G$499,'ANALITIKA EU PROJEKATA'!$A$3:$A$499,"=41",'ANALITIKA EU PROJEKATA'!$P$3:$P$499,"=322")</f>
        <v>0</v>
      </c>
      <c r="I11" s="147">
        <f>SUMIFS('Plan rashoda za unos u SAP'!$I$3:$I$480,'Plan rashoda za unos u SAP'!$C$3:$C$480,"=43",'Plan rashoda za unos u SAP'!$M$3:$M$480,"=322")+SUMIFS('ANALITIKA EU PROJEKATA'!$G$3:$G$499,'ANALITIKA EU PROJEKATA'!$A$3:$A$499,"=43",'ANALITIKA EU PROJEKATA'!$P$3:$P$499,"=322")</f>
        <v>1552948.34</v>
      </c>
      <c r="J11" s="147">
        <f>SUMIFS('Plan rashoda za unos u SAP'!$I$3:$I$480,'Plan rashoda za unos u SAP'!$C$3:$C$480,"=51",'Plan rashoda za unos u SAP'!$M$3:$M$480,"=322")+SUMIFS('ANALITIKA EU PROJEKATA'!$G$3:$G$499,'ANALITIKA EU PROJEKATA'!$A$3:$A$499,"=51",'ANALITIKA EU PROJEKATA'!$P$3:$P$499,"=322")</f>
        <v>53475</v>
      </c>
      <c r="K11" s="147">
        <f>SUMIFS('Plan rashoda za unos u SAP'!$I$3:$I$480,'Plan rashoda za unos u SAP'!$C$3:$C$480,"=52",'Plan rashoda za unos u SAP'!$M$3:$M$480,"=322")+SUMIFS('ANALITIKA EU PROJEKATA'!$G$3:$G$499,'ANALITIKA EU PROJEKATA'!$A$3:$A$499,"=52",'ANALITIKA EU PROJEKATA'!$P$3:$P$499,"=322")</f>
        <v>3083442.3308999999</v>
      </c>
      <c r="L11" s="147">
        <f>SUMIFS('Plan rashoda za unos u SAP'!$I$3:$I$480,'Plan rashoda za unos u SAP'!$C$3:$C$480,"=552",'Plan rashoda za unos u SAP'!$M$3:$M$480,"=322")+SUMIFS('ANALITIKA EU PROJEKATA'!$G$3:$G$499,'ANALITIKA EU PROJEKATA'!$A$3:$A$499,"=552",'ANALITIKA EU PROJEKATA'!$P$3:$P$499,"=322")</f>
        <v>0</v>
      </c>
      <c r="M11" s="147">
        <f>SUMIFS('Plan rashoda za unos u SAP'!$I$3:$I$480,'Plan rashoda za unos u SAP'!$C$3:$C$480,"=559",'Plan rashoda za unos u SAP'!$M$3:$M$480,"=322")+SUMIFS('ANALITIKA EU PROJEKATA'!$G$3:$G$499,'ANALITIKA EU PROJEKATA'!$A$3:$A$499,"=559",'ANALITIKA EU PROJEKATA'!$P$3:$P$499,"=322")</f>
        <v>0</v>
      </c>
      <c r="N11" s="147">
        <f>SUMIFS('Plan rashoda za unos u SAP'!$I$3:$I$480,'Plan rashoda za unos u SAP'!$C$3:$C$480,"=561",'Plan rashoda za unos u SAP'!$M$3:$M$480,"=322")+SUMIFS('ANALITIKA EU PROJEKATA'!$G$3:$G$499,'ANALITIKA EU PROJEKATA'!$A$3:$A$499,"=561",'ANALITIKA EU PROJEKATA'!$P$3:$P$499,"=322")</f>
        <v>0</v>
      </c>
      <c r="O11" s="147">
        <f>SUMIFS('Plan rashoda za unos u SAP'!$I$3:$I$480,'Plan rashoda za unos u SAP'!$C$3:$C$480,"=563",'Plan rashoda za unos u SAP'!$M$3:$M$480,"=322")+SUMIFS('ANALITIKA EU PROJEKATA'!$G$3:$G$499,'ANALITIKA EU PROJEKATA'!$A$3:$A$499,"=563",'ANALITIKA EU PROJEKATA'!$P$3:$P$499,"=322")</f>
        <v>2400000</v>
      </c>
      <c r="P11" s="147">
        <f>SUMIFS('Plan rashoda za unos u SAP'!$I$3:$I$480,'Plan rashoda za unos u SAP'!$C$3:$C$480,"=573",'Plan rashoda za unos u SAP'!$M$3:$M$480,"=322")+SUMIFS('ANALITIKA EU PROJEKATA'!$G$3:$G$499,'ANALITIKA EU PROJEKATA'!$A$3:$A$499,"=573",'ANALITIKA EU PROJEKATA'!$P$3:$P$499,"=322")</f>
        <v>0</v>
      </c>
      <c r="Q11" s="147">
        <f>SUMIFS('Plan rashoda za unos u SAP'!$I$3:$I$480,'Plan rashoda za unos u SAP'!$C$3:$C$480,"=575",'Plan rashoda za unos u SAP'!$M$3:$M$480,"=322")+SUMIFS('ANALITIKA EU PROJEKATA'!$G$3:$G$499,'ANALITIKA EU PROJEKATA'!$A$3:$A$499,"=575",'ANALITIKA EU PROJEKATA'!$P$3:$P$499,"=322")</f>
        <v>0</v>
      </c>
      <c r="R11" s="147">
        <f>SUMIFS('Plan rashoda za unos u SAP'!$I$3:$I$480,'Plan rashoda za unos u SAP'!$C$3:$C$480,"=576",'Plan rashoda za unos u SAP'!$M$3:$M$480,"=322")+SUMIFS('ANALITIKA EU PROJEKATA'!$G$3:$G$499,'ANALITIKA EU PROJEKATA'!$A$3:$A$499,"=576",'ANALITIKA EU PROJEKATA'!$P$3:$P$499,"=322")</f>
        <v>0</v>
      </c>
      <c r="S11" s="147">
        <f>SUMIFS('Plan rashoda za unos u SAP'!$I$3:$I$480,'Plan rashoda za unos u SAP'!$C$3:$C$480,"=581",'Plan rashoda za unos u SAP'!$M$3:$M$480,"=322")+SUMIFS('ANALITIKA EU PROJEKATA'!$G$3:$G$499,'ANALITIKA EU PROJEKATA'!$A$3:$A$499,"=581",'ANALITIKA EU PROJEKATA'!$P$3:$P$499,"=322")</f>
        <v>0</v>
      </c>
      <c r="T11" s="147">
        <f>SUMIFS('Plan rashoda za unos u SAP'!$I$3:$I$480,'Plan rashoda za unos u SAP'!$C$3:$C$480,"=61",'Plan rashoda za unos u SAP'!$M$3:$M$480,"=322")+SUMIFS('ANALITIKA EU PROJEKATA'!$G$3:$G$499,'ANALITIKA EU PROJEKATA'!$A$3:$A$499,"=61",'ANALITIKA EU PROJEKATA'!$P$3:$P$499,"=322")</f>
        <v>124609.4</v>
      </c>
      <c r="U11" s="147">
        <f>SUMIFS('Plan rashoda za unos u SAP'!$I$3:$I$480,'Plan rashoda za unos u SAP'!$C$3:$C$480,"=63",'Plan rashoda za unos u SAP'!$M$3:$M$480,"=322")+SUMIFS('ANALITIKA EU PROJEKATA'!$G$3:$G$499,'ANALITIKA EU PROJEKATA'!$A$3:$A$499,"=63",'ANALITIKA EU PROJEKATA'!$P$3:$P$499,"=322")</f>
        <v>0</v>
      </c>
      <c r="V11" s="147">
        <f>SUMIFS('Plan rashoda za unos u SAP'!$I$3:$I$480,'Plan rashoda za unos u SAP'!$C$3:$C$480,"=71",'Plan rashoda za unos u SAP'!$M$3:$M$480,"=322")+SUMIFS('ANALITIKA EU PROJEKATA'!$G$3:$G$499,'ANALITIKA EU PROJEKATA'!$A$3:$A$499,"=71",'ANALITIKA EU PROJEKATA'!$P$3:$P$499,"=322")</f>
        <v>0</v>
      </c>
      <c r="W11" s="147">
        <f>SUMIFS('Plan rashoda za unos u SAP'!$I$3:$I$480,'Plan rashoda za unos u SAP'!$C$3:$C$480,"=81",'Plan rashoda za unos u SAP'!$M$3:$M$480,"=322")+SUMIFS('ANALITIKA EU PROJEKATA'!$G$3:$G$499,'ANALITIKA EU PROJEKATA'!$A$3:$A$499,"=81",'ANALITIKA EU PROJEKATA'!$P$3:$P$499,"=322")</f>
        <v>0</v>
      </c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129"/>
      <c r="AJ11" s="129"/>
      <c r="AK11" s="129"/>
      <c r="AL11" s="129"/>
      <c r="AM11" s="129"/>
      <c r="AN11" s="129"/>
      <c r="AO11" s="129"/>
      <c r="AP11" s="129"/>
      <c r="AQ11" s="129"/>
    </row>
    <row r="12" spans="1:43" ht="12" customHeight="1">
      <c r="A12" s="131">
        <v>2021</v>
      </c>
      <c r="B12" s="148">
        <v>323</v>
      </c>
      <c r="C12" s="149" t="s">
        <v>3437</v>
      </c>
      <c r="D12" s="94">
        <f t="shared" si="0"/>
        <v>22075800.294599999</v>
      </c>
      <c r="E12" s="147">
        <f>SUMIFS('Plan rashoda za unos u SAP'!$I$3:$I$480,'Plan rashoda za unos u SAP'!$C$3:$C$480,"=11",'Plan rashoda za unos u SAP'!$M$3:$M$480,"=323")+SUMIFS('ANALITIKA EU PROJEKATA'!$G$3:$G$499,'ANALITIKA EU PROJEKATA'!$A$3:$A$499,"=11",'ANALITIKA EU PROJEKATA'!$P$3:$P$499,"=323")</f>
        <v>5549774</v>
      </c>
      <c r="F12" s="147">
        <f>SUMIFS('Plan rashoda za unos u SAP'!$I$3:$I$480,'Plan rashoda za unos u SAP'!$C$3:$C$480,"=12",'Plan rashoda za unos u SAP'!$M$3:$M$480,"=323")+SUMIFS('ANALITIKA EU PROJEKATA'!$G$3:$G$499,'ANALITIKA EU PROJEKATA'!$A$3:$A$499,"=12",'ANALITIKA EU PROJEKATA'!$P$3:$P$499,"=323")</f>
        <v>0</v>
      </c>
      <c r="G12" s="147">
        <f>SUMIFS('Plan rashoda za unos u SAP'!$I$3:$I$480,'Plan rashoda za unos u SAP'!$C$3:$C$480,"=31",'Plan rashoda za unos u SAP'!$M$3:$M$480,"=323")+SUMIFS('ANALITIKA EU PROJEKATA'!$G$3:$G$499,'ANALITIKA EU PROJEKATA'!$A$3:$A$499,"=31",'ANALITIKA EU PROJEKATA'!$P$3:$P$499,"=323")</f>
        <v>3133679</v>
      </c>
      <c r="H12" s="147">
        <f>SUMIFS('Plan rashoda za unos u SAP'!$I$3:$I$480,'Plan rashoda za unos u SAP'!$C$3:$C$480,"=41",'Plan rashoda za unos u SAP'!$M$3:$M$480,"=323")+SUMIFS('ANALITIKA EU PROJEKATA'!$G$3:$G$499,'ANALITIKA EU PROJEKATA'!$A$3:$A$499,"=41",'ANALITIKA EU PROJEKATA'!$P$3:$P$499,"=323")</f>
        <v>0</v>
      </c>
      <c r="I12" s="147">
        <f>SUMIFS('Plan rashoda za unos u SAP'!$I$3:$I$480,'Plan rashoda za unos u SAP'!$C$3:$C$480,"=43",'Plan rashoda za unos u SAP'!$M$3:$M$480,"=323")+SUMIFS('ANALITIKA EU PROJEKATA'!$G$3:$G$499,'ANALITIKA EU PROJEKATA'!$A$3:$A$499,"=43",'ANALITIKA EU PROJEKATA'!$P$3:$P$499,"=323")</f>
        <v>4713954.17</v>
      </c>
      <c r="J12" s="147">
        <f>SUMIFS('Plan rashoda za unos u SAP'!$I$3:$I$480,'Plan rashoda za unos u SAP'!$C$3:$C$480,"=51",'Plan rashoda za unos u SAP'!$M$3:$M$480,"=323")+SUMIFS('ANALITIKA EU PROJEKATA'!$G$3:$G$499,'ANALITIKA EU PROJEKATA'!$A$3:$A$499,"=51",'ANALITIKA EU PROJEKATA'!$P$3:$P$499,"=323")</f>
        <v>154616</v>
      </c>
      <c r="K12" s="147">
        <f>SUMIFS('Plan rashoda za unos u SAP'!$I$3:$I$480,'Plan rashoda za unos u SAP'!$C$3:$C$480,"=52",'Plan rashoda za unos u SAP'!$M$3:$M$480,"=323")+SUMIFS('ANALITIKA EU PROJEKATA'!$G$3:$G$499,'ANALITIKA EU PROJEKATA'!$A$3:$A$499,"=52",'ANALITIKA EU PROJEKATA'!$P$3:$P$499,"=323")</f>
        <v>606829.69570000004</v>
      </c>
      <c r="L12" s="147">
        <f>SUMIFS('Plan rashoda za unos u SAP'!$I$3:$I$480,'Plan rashoda za unos u SAP'!$C$3:$C$480,"=552",'Plan rashoda za unos u SAP'!$M$3:$M$480,"=323")+SUMIFS('ANALITIKA EU PROJEKATA'!$G$3:$G$499,'ANALITIKA EU PROJEKATA'!$A$3:$A$499,"=552",'ANALITIKA EU PROJEKATA'!$P$3:$P$499,"=323")</f>
        <v>0</v>
      </c>
      <c r="M12" s="147">
        <f>SUMIFS('Plan rashoda za unos u SAP'!$I$3:$I$480,'Plan rashoda za unos u SAP'!$C$3:$C$480,"=559",'Plan rashoda za unos u SAP'!$M$3:$M$480,"=323")+SUMIFS('ANALITIKA EU PROJEKATA'!$G$3:$G$499,'ANALITIKA EU PROJEKATA'!$A$3:$A$499,"=559",'ANALITIKA EU PROJEKATA'!$P$3:$P$499,"=323")</f>
        <v>0</v>
      </c>
      <c r="N12" s="147">
        <f>SUMIFS('Plan rashoda za unos u SAP'!$I$3:$I$480,'Plan rashoda za unos u SAP'!$C$3:$C$480,"=561",'Plan rashoda za unos u SAP'!$M$3:$M$480,"=323")+SUMIFS('ANALITIKA EU PROJEKATA'!$G$3:$G$499,'ANALITIKA EU PROJEKATA'!$A$3:$A$499,"=561",'ANALITIKA EU PROJEKATA'!$P$3:$P$499,"=323")</f>
        <v>0</v>
      </c>
      <c r="O12" s="147">
        <f>SUMIFS('Plan rashoda za unos u SAP'!$I$3:$I$480,'Plan rashoda za unos u SAP'!$C$3:$C$480,"=563",'Plan rashoda za unos u SAP'!$M$3:$M$480,"=323")+SUMIFS('ANALITIKA EU PROJEKATA'!$G$3:$G$499,'ANALITIKA EU PROJEKATA'!$A$3:$A$499,"=563",'ANALITIKA EU PROJEKATA'!$P$3:$P$499,"=323")</f>
        <v>7757210</v>
      </c>
      <c r="P12" s="147">
        <f>SUMIFS('Plan rashoda za unos u SAP'!$I$3:$I$480,'Plan rashoda za unos u SAP'!$C$3:$C$480,"=573",'Plan rashoda za unos u SAP'!$M$3:$M$480,"=323")+SUMIFS('ANALITIKA EU PROJEKATA'!$G$3:$G$499,'ANALITIKA EU PROJEKATA'!$A$3:$A$499,"=573",'ANALITIKA EU PROJEKATA'!$P$3:$P$499,"=323")</f>
        <v>0</v>
      </c>
      <c r="Q12" s="147">
        <f>SUMIFS('Plan rashoda za unos u SAP'!$I$3:$I$480,'Plan rashoda za unos u SAP'!$C$3:$C$480,"=575",'Plan rashoda za unos u SAP'!$M$3:$M$480,"=323")+SUMIFS('ANALITIKA EU PROJEKATA'!$G$3:$G$499,'ANALITIKA EU PROJEKATA'!$A$3:$A$499,"=575",'ANALITIKA EU PROJEKATA'!$P$3:$P$499,"=323")</f>
        <v>0</v>
      </c>
      <c r="R12" s="147">
        <f>SUMIFS('Plan rashoda za unos u SAP'!$I$3:$I$480,'Plan rashoda za unos u SAP'!$C$3:$C$480,"=576",'Plan rashoda za unos u SAP'!$M$3:$M$480,"=323")+SUMIFS('ANALITIKA EU PROJEKATA'!$G$3:$G$499,'ANALITIKA EU PROJEKATA'!$A$3:$A$499,"=576",'ANALITIKA EU PROJEKATA'!$P$3:$P$499,"=323")</f>
        <v>0</v>
      </c>
      <c r="S12" s="147">
        <f>SUMIFS('Plan rashoda za unos u SAP'!$I$3:$I$480,'Plan rashoda za unos u SAP'!$C$3:$C$480,"=581",'Plan rashoda za unos u SAP'!$M$3:$M$480,"=323")+SUMIFS('ANALITIKA EU PROJEKATA'!$G$3:$G$499,'ANALITIKA EU PROJEKATA'!$A$3:$A$499,"=581",'ANALITIKA EU PROJEKATA'!$P$3:$P$499,"=323")</f>
        <v>0</v>
      </c>
      <c r="T12" s="147">
        <f>SUMIFS('Plan rashoda za unos u SAP'!$I$3:$I$480,'Plan rashoda za unos u SAP'!$C$3:$C$480,"=61",'Plan rashoda za unos u SAP'!$M$3:$M$480,"=323")+SUMIFS('ANALITIKA EU PROJEKATA'!$G$3:$G$499,'ANALITIKA EU PROJEKATA'!$A$3:$A$499,"=61",'ANALITIKA EU PROJEKATA'!$P$3:$P$499,"=323")</f>
        <v>159737.4289</v>
      </c>
      <c r="U12" s="147">
        <f>SUMIFS('Plan rashoda za unos u SAP'!$I$3:$I$480,'Plan rashoda za unos u SAP'!$C$3:$C$480,"=63",'Plan rashoda za unos u SAP'!$M$3:$M$480,"=323")+SUMIFS('ANALITIKA EU PROJEKATA'!$G$3:$G$499,'ANALITIKA EU PROJEKATA'!$A$3:$A$499,"=63",'ANALITIKA EU PROJEKATA'!$P$3:$P$499,"=323")</f>
        <v>0</v>
      </c>
      <c r="V12" s="147">
        <f>SUMIFS('Plan rashoda za unos u SAP'!$I$3:$I$480,'Plan rashoda za unos u SAP'!$C$3:$C$480,"=71",'Plan rashoda za unos u SAP'!$M$3:$M$480,"=323")+SUMIFS('ANALITIKA EU PROJEKATA'!$G$3:$G$499,'ANALITIKA EU PROJEKATA'!$A$3:$A$499,"=71",'ANALITIKA EU PROJEKATA'!$P$3:$P$499,"=323")</f>
        <v>0</v>
      </c>
      <c r="W12" s="147">
        <f>SUMIFS('Plan rashoda za unos u SAP'!$I$3:$I$480,'Plan rashoda za unos u SAP'!$C$3:$C$480,"=81",'Plan rashoda za unos u SAP'!$M$3:$M$480,"=323")+SUMIFS('ANALITIKA EU PROJEKATA'!$G$3:$G$499,'ANALITIKA EU PROJEKATA'!$A$3:$A$499,"=81",'ANALITIKA EU PROJEKATA'!$P$3:$P$499,"=323")</f>
        <v>0</v>
      </c>
      <c r="X12" s="129"/>
      <c r="Y12" s="129"/>
      <c r="Z12" s="129"/>
      <c r="AA12" s="129"/>
      <c r="AB12" s="129"/>
      <c r="AC12" s="129"/>
      <c r="AD12" s="129"/>
      <c r="AE12" s="129"/>
      <c r="AF12" s="129"/>
      <c r="AG12" s="129"/>
      <c r="AH12" s="129"/>
      <c r="AI12" s="129"/>
      <c r="AJ12" s="129"/>
      <c r="AK12" s="129"/>
      <c r="AL12" s="129"/>
      <c r="AM12" s="129"/>
      <c r="AN12" s="129"/>
      <c r="AO12" s="129"/>
      <c r="AP12" s="129"/>
      <c r="AQ12" s="129"/>
    </row>
    <row r="13" spans="1:43" ht="12" customHeight="1">
      <c r="A13" s="131">
        <v>2021</v>
      </c>
      <c r="B13" s="148">
        <v>324</v>
      </c>
      <c r="C13" s="153" t="s">
        <v>686</v>
      </c>
      <c r="D13" s="94">
        <f t="shared" si="0"/>
        <v>37008.210099999997</v>
      </c>
      <c r="E13" s="147">
        <f>SUMIFS('Plan rashoda za unos u SAP'!$I$3:$I$480,'Plan rashoda za unos u SAP'!$C$3:$C$480,"=11",'Plan rashoda za unos u SAP'!$M$3:$M$480,"=324")+SUMIFS('ANALITIKA EU PROJEKATA'!$G$3:$G$499,'ANALITIKA EU PROJEKATA'!$A$3:$A$499,"=11",'ANALITIKA EU PROJEKATA'!$P$3:$P$499,"=324")</f>
        <v>0</v>
      </c>
      <c r="F13" s="147">
        <f>SUMIFS('Plan rashoda za unos u SAP'!$I$3:$I$480,'Plan rashoda za unos u SAP'!$C$3:$C$480,"=12",'Plan rashoda za unos u SAP'!$M$3:$M$480,"=324")+SUMIFS('ANALITIKA EU PROJEKATA'!$G$3:$G$499,'ANALITIKA EU PROJEKATA'!$A$3:$A$499,"=12",'ANALITIKA EU PROJEKATA'!$P$3:$P$499,"=324")</f>
        <v>0</v>
      </c>
      <c r="G13" s="147">
        <f>SUMIFS('Plan rashoda za unos u SAP'!$I$3:$I$480,'Plan rashoda za unos u SAP'!$C$3:$C$480,"=31",'Plan rashoda za unos u SAP'!$M$3:$M$480,"=324")+SUMIFS('ANALITIKA EU PROJEKATA'!$G$3:$G$499,'ANALITIKA EU PROJEKATA'!$A$3:$A$499,"=31",'ANALITIKA EU PROJEKATA'!$P$3:$P$499,"=324")</f>
        <v>22744</v>
      </c>
      <c r="H13" s="147">
        <f>SUMIFS('Plan rashoda za unos u SAP'!$I$3:$I$480,'Plan rashoda za unos u SAP'!$C$3:$C$480,"=41",'Plan rashoda za unos u SAP'!$M$3:$M$480,"=324")+SUMIFS('ANALITIKA EU PROJEKATA'!$G$3:$G$499,'ANALITIKA EU PROJEKATA'!$A$3:$A$499,"=41",'ANALITIKA EU PROJEKATA'!$P$3:$P$499,"=324")</f>
        <v>0</v>
      </c>
      <c r="I13" s="147">
        <f>SUMIFS('Plan rashoda za unos u SAP'!$I$3:$I$480,'Plan rashoda za unos u SAP'!$C$3:$C$480,"=43",'Plan rashoda za unos u SAP'!$M$3:$M$480,"=324")+SUMIFS('ANALITIKA EU PROJEKATA'!$G$3:$G$499,'ANALITIKA EU PROJEKATA'!$A$3:$A$499,"=43",'ANALITIKA EU PROJEKATA'!$P$3:$P$499,"=324")</f>
        <v>0</v>
      </c>
      <c r="J13" s="147">
        <f>SUMIFS('Plan rashoda za unos u SAP'!$I$3:$I$480,'Plan rashoda za unos u SAP'!$C$3:$C$480,"=51",'Plan rashoda za unos u SAP'!$M$3:$M$480,"=324")+SUMIFS('ANALITIKA EU PROJEKATA'!$G$3:$G$499,'ANALITIKA EU PROJEKATA'!$A$3:$A$499,"=51",'ANALITIKA EU PROJEKATA'!$P$3:$P$499,"=324")</f>
        <v>0</v>
      </c>
      <c r="K13" s="147">
        <f>SUMIFS('Plan rashoda za unos u SAP'!$I$3:$I$480,'Plan rashoda za unos u SAP'!$C$3:$C$480,"=52",'Plan rashoda za unos u SAP'!$M$3:$M$480,"=324")+SUMIFS('ANALITIKA EU PROJEKATA'!$G$3:$G$499,'ANALITIKA EU PROJEKATA'!$A$3:$A$499,"=52",'ANALITIKA EU PROJEKATA'!$P$3:$P$499,"=324")</f>
        <v>14264.2101</v>
      </c>
      <c r="L13" s="147">
        <f>SUMIFS('Plan rashoda za unos u SAP'!$I$3:$I$480,'Plan rashoda za unos u SAP'!$C$3:$C$480,"=552",'Plan rashoda za unos u SAP'!$M$3:$M$480,"=324")+SUMIFS('ANALITIKA EU PROJEKATA'!$G$3:$G$499,'ANALITIKA EU PROJEKATA'!$A$3:$A$499,"=552",'ANALITIKA EU PROJEKATA'!$P$3:$P$499,"=324")</f>
        <v>0</v>
      </c>
      <c r="M13" s="147">
        <f>SUMIFS('Plan rashoda za unos u SAP'!$I$3:$I$480,'Plan rashoda za unos u SAP'!$C$3:$C$480,"=559",'Plan rashoda za unos u SAP'!$M$3:$M$480,"=324")+SUMIFS('ANALITIKA EU PROJEKATA'!$G$3:$G$499,'ANALITIKA EU PROJEKATA'!$A$3:$A$499,"=559",'ANALITIKA EU PROJEKATA'!$P$3:$P$499,"=324")</f>
        <v>0</v>
      </c>
      <c r="N13" s="147">
        <f>SUMIFS('Plan rashoda za unos u SAP'!$I$3:$I$480,'Plan rashoda za unos u SAP'!$C$3:$C$480,"=561",'Plan rashoda za unos u SAP'!$M$3:$M$480,"=324")+SUMIFS('ANALITIKA EU PROJEKATA'!$G$3:$G$499,'ANALITIKA EU PROJEKATA'!$A$3:$A$499,"=561",'ANALITIKA EU PROJEKATA'!$P$3:$P$499,"=324")</f>
        <v>0</v>
      </c>
      <c r="O13" s="147">
        <f>SUMIFS('Plan rashoda za unos u SAP'!$I$3:$I$480,'Plan rashoda za unos u SAP'!$C$3:$C$480,"=563",'Plan rashoda za unos u SAP'!$M$3:$M$480,"=324")+SUMIFS('ANALITIKA EU PROJEKATA'!$G$3:$G$499,'ANALITIKA EU PROJEKATA'!$A$3:$A$499,"=563",'ANALITIKA EU PROJEKATA'!$P$3:$P$499,"=324")</f>
        <v>0</v>
      </c>
      <c r="P13" s="147">
        <f>SUMIFS('Plan rashoda za unos u SAP'!$I$3:$I$480,'Plan rashoda za unos u SAP'!$C$3:$C$480,"=573",'Plan rashoda za unos u SAP'!$M$3:$M$480,"=324")+SUMIFS('ANALITIKA EU PROJEKATA'!$G$3:$G$499,'ANALITIKA EU PROJEKATA'!$A$3:$A$499,"=573",'ANALITIKA EU PROJEKATA'!$P$3:$P$499,"=324")</f>
        <v>0</v>
      </c>
      <c r="Q13" s="147">
        <f>SUMIFS('Plan rashoda za unos u SAP'!$I$3:$I$480,'Plan rashoda za unos u SAP'!$C$3:$C$480,"=575",'Plan rashoda za unos u SAP'!$M$3:$M$480,"=324")+SUMIFS('ANALITIKA EU PROJEKATA'!$G$3:$G$499,'ANALITIKA EU PROJEKATA'!$A$3:$A$499,"=575",'ANALITIKA EU PROJEKATA'!$P$3:$P$499,"=324")</f>
        <v>0</v>
      </c>
      <c r="R13" s="147">
        <f>SUMIFS('Plan rashoda za unos u SAP'!$I$3:$I$480,'Plan rashoda za unos u SAP'!$C$3:$C$480,"=576",'Plan rashoda za unos u SAP'!$M$3:$M$480,"=324")+SUMIFS('ANALITIKA EU PROJEKATA'!$G$3:$G$499,'ANALITIKA EU PROJEKATA'!$A$3:$A$499,"=576",'ANALITIKA EU PROJEKATA'!$P$3:$P$499,"=324")</f>
        <v>0</v>
      </c>
      <c r="S13" s="147">
        <f>SUMIFS('Plan rashoda za unos u SAP'!$I$3:$I$480,'Plan rashoda za unos u SAP'!$C$3:$C$480,"=581",'Plan rashoda za unos u SAP'!$M$3:$M$480,"=324")+SUMIFS('ANALITIKA EU PROJEKATA'!$G$3:$G$499,'ANALITIKA EU PROJEKATA'!$A$3:$A$499,"=581",'ANALITIKA EU PROJEKATA'!$P$3:$P$499,"=324")</f>
        <v>0</v>
      </c>
      <c r="T13" s="147">
        <f>SUMIFS('Plan rashoda za unos u SAP'!$I$3:$I$480,'Plan rashoda za unos u SAP'!$C$3:$C$480,"=61",'Plan rashoda za unos u SAP'!$M$3:$M$480,"=324")+SUMIFS('ANALITIKA EU PROJEKATA'!$G$3:$G$499,'ANALITIKA EU PROJEKATA'!$A$3:$A$499,"=61",'ANALITIKA EU PROJEKATA'!$P$3:$P$499,"=324")</f>
        <v>0</v>
      </c>
      <c r="U13" s="147">
        <f>SUMIFS('Plan rashoda za unos u SAP'!$I$3:$I$480,'Plan rashoda za unos u SAP'!$C$3:$C$480,"=63",'Plan rashoda za unos u SAP'!$M$3:$M$480,"=324")+SUMIFS('ANALITIKA EU PROJEKATA'!$G$3:$G$499,'ANALITIKA EU PROJEKATA'!$A$3:$A$499,"=63",'ANALITIKA EU PROJEKATA'!$P$3:$P$499,"=324")</f>
        <v>0</v>
      </c>
      <c r="V13" s="147">
        <f>SUMIFS('Plan rashoda za unos u SAP'!$I$3:$I$480,'Plan rashoda za unos u SAP'!$C$3:$C$480,"=71",'Plan rashoda za unos u SAP'!$M$3:$M$480,"=324")+SUMIFS('ANALITIKA EU PROJEKATA'!$G$3:$G$499,'ANALITIKA EU PROJEKATA'!$A$3:$A$499,"=71",'ANALITIKA EU PROJEKATA'!$P$3:$P$499,"=324")</f>
        <v>0</v>
      </c>
      <c r="W13" s="147">
        <f>SUMIFS('Plan rashoda za unos u SAP'!$I$3:$I$480,'Plan rashoda za unos u SAP'!$C$3:$C$480,"=81",'Plan rashoda za unos u SAP'!$M$3:$M$480,"=324")+SUMIFS('ANALITIKA EU PROJEKATA'!$G$3:$G$499,'ANALITIKA EU PROJEKATA'!$A$3:$A$499,"=81",'ANALITIKA EU PROJEKATA'!$P$3:$P$499,"=324")</f>
        <v>0</v>
      </c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  <c r="AH13" s="129"/>
      <c r="AI13" s="129"/>
      <c r="AJ13" s="129"/>
      <c r="AK13" s="129"/>
      <c r="AL13" s="129"/>
      <c r="AM13" s="129"/>
      <c r="AN13" s="129"/>
      <c r="AO13" s="129"/>
      <c r="AP13" s="129"/>
      <c r="AQ13" s="129"/>
    </row>
    <row r="14" spans="1:43" ht="12" customHeight="1">
      <c r="A14" s="131">
        <v>2021</v>
      </c>
      <c r="B14" s="148">
        <v>329</v>
      </c>
      <c r="C14" s="149" t="s">
        <v>710</v>
      </c>
      <c r="D14" s="94">
        <f t="shared" si="0"/>
        <v>1572163.4506999999</v>
      </c>
      <c r="E14" s="147">
        <f>SUMIFS('Plan rashoda za unos u SAP'!$I$3:$I$480,'Plan rashoda za unos u SAP'!$C$3:$C$480,"=11",'Plan rashoda za unos u SAP'!$M$3:$M$480,"=329")+SUMIFS('ANALITIKA EU PROJEKATA'!$G$3:$G$499,'ANALITIKA EU PROJEKATA'!$A$3:$A$499,"=11",'ANALITIKA EU PROJEKATA'!$P$3:$P$499,"=329")</f>
        <v>0</v>
      </c>
      <c r="F14" s="147">
        <f>SUMIFS('Plan rashoda za unos u SAP'!$I$3:$I$480,'Plan rashoda za unos u SAP'!$C$3:$C$480,"=12",'Plan rashoda za unos u SAP'!$M$3:$M$480,"=329")+SUMIFS('ANALITIKA EU PROJEKATA'!$G$3:$G$499,'ANALITIKA EU PROJEKATA'!$A$3:$A$499,"=12",'ANALITIKA EU PROJEKATA'!$P$3:$P$499,"=329")</f>
        <v>0</v>
      </c>
      <c r="G14" s="147">
        <f>SUMIFS('Plan rashoda za unos u SAP'!$I$3:$I$480,'Plan rashoda za unos u SAP'!$C$3:$C$480,"=31",'Plan rashoda za unos u SAP'!$M$3:$M$480,"=329")+SUMIFS('ANALITIKA EU PROJEKATA'!$G$3:$G$499,'ANALITIKA EU PROJEKATA'!$A$3:$A$499,"=31",'ANALITIKA EU PROJEKATA'!$P$3:$P$499,"=329")</f>
        <v>563903</v>
      </c>
      <c r="H14" s="147">
        <f>SUMIFS('Plan rashoda za unos u SAP'!$I$3:$I$480,'Plan rashoda za unos u SAP'!$C$3:$C$480,"=41",'Plan rashoda za unos u SAP'!$M$3:$M$480,"=329")+SUMIFS('ANALITIKA EU PROJEKATA'!$G$3:$G$499,'ANALITIKA EU PROJEKATA'!$A$3:$A$499,"=41",'ANALITIKA EU PROJEKATA'!$P$3:$P$499,"=329")</f>
        <v>0</v>
      </c>
      <c r="I14" s="147">
        <f>SUMIFS('Plan rashoda za unos u SAP'!$I$3:$I$480,'Plan rashoda za unos u SAP'!$C$3:$C$480,"=43",'Plan rashoda za unos u SAP'!$M$3:$M$480,"=329")+SUMIFS('ANALITIKA EU PROJEKATA'!$G$3:$G$499,'ANALITIKA EU PROJEKATA'!$A$3:$A$499,"=43",'ANALITIKA EU PROJEKATA'!$P$3:$P$499,"=329")</f>
        <v>986010.90500000003</v>
      </c>
      <c r="J14" s="147">
        <f>SUMIFS('Plan rashoda za unos u SAP'!$I$3:$I$480,'Plan rashoda za unos u SAP'!$C$3:$C$480,"=51",'Plan rashoda za unos u SAP'!$M$3:$M$480,"=329")+SUMIFS('ANALITIKA EU PROJEKATA'!$G$3:$G$499,'ANALITIKA EU PROJEKATA'!$A$3:$A$499,"=51",'ANALITIKA EU PROJEKATA'!$P$3:$P$499,"=329")</f>
        <v>0</v>
      </c>
      <c r="K14" s="147">
        <f>SUMIFS('Plan rashoda za unos u SAP'!$I$3:$I$480,'Plan rashoda za unos u SAP'!$C$3:$C$480,"=52",'Plan rashoda za unos u SAP'!$M$3:$M$480,"=329")+SUMIFS('ANALITIKA EU PROJEKATA'!$G$3:$G$499,'ANALITIKA EU PROJEKATA'!$A$3:$A$499,"=52",'ANALITIKA EU PROJEKATA'!$P$3:$P$499,"=329")</f>
        <v>14651.4552</v>
      </c>
      <c r="L14" s="147">
        <f>SUMIFS('Plan rashoda za unos u SAP'!$I$3:$I$480,'Plan rashoda za unos u SAP'!$C$3:$C$480,"=552",'Plan rashoda za unos u SAP'!$M$3:$M$480,"=329")+SUMIFS('ANALITIKA EU PROJEKATA'!$G$3:$G$499,'ANALITIKA EU PROJEKATA'!$A$3:$A$499,"=552",'ANALITIKA EU PROJEKATA'!$P$3:$P$499,"=329")</f>
        <v>0</v>
      </c>
      <c r="M14" s="147">
        <f>SUMIFS('Plan rashoda za unos u SAP'!$I$3:$I$480,'Plan rashoda za unos u SAP'!$C$3:$C$480,"=559",'Plan rashoda za unos u SAP'!$M$3:$M$480,"=329")+SUMIFS('ANALITIKA EU PROJEKATA'!$G$3:$G$499,'ANALITIKA EU PROJEKATA'!$A$3:$A$499,"=559",'ANALITIKA EU PROJEKATA'!$P$3:$P$499,"=329")</f>
        <v>0</v>
      </c>
      <c r="N14" s="147">
        <f>SUMIFS('Plan rashoda za unos u SAP'!$I$3:$I$480,'Plan rashoda za unos u SAP'!$C$3:$C$480,"=561",'Plan rashoda za unos u SAP'!$M$3:$M$480,"=329")+SUMIFS('ANALITIKA EU PROJEKATA'!$G$3:$G$499,'ANALITIKA EU PROJEKATA'!$A$3:$A$499,"=561",'ANALITIKA EU PROJEKATA'!$P$3:$P$499,"=329")</f>
        <v>0</v>
      </c>
      <c r="O14" s="147">
        <f>SUMIFS('Plan rashoda za unos u SAP'!$I$3:$I$480,'Plan rashoda za unos u SAP'!$C$3:$C$480,"=563",'Plan rashoda za unos u SAP'!$M$3:$M$480,"=329")+SUMIFS('ANALITIKA EU PROJEKATA'!$G$3:$G$499,'ANALITIKA EU PROJEKATA'!$A$3:$A$499,"=563",'ANALITIKA EU PROJEKATA'!$P$3:$P$499,"=329")</f>
        <v>0</v>
      </c>
      <c r="P14" s="147">
        <f>SUMIFS('Plan rashoda za unos u SAP'!$I$3:$I$480,'Plan rashoda za unos u SAP'!$C$3:$C$480,"=573",'Plan rashoda za unos u SAP'!$M$3:$M$480,"=329")+SUMIFS('ANALITIKA EU PROJEKATA'!$G$3:$G$499,'ANALITIKA EU PROJEKATA'!$A$3:$A$499,"=573",'ANALITIKA EU PROJEKATA'!$P$3:$P$499,"=329")</f>
        <v>0</v>
      </c>
      <c r="Q14" s="147">
        <f>SUMIFS('Plan rashoda za unos u SAP'!$I$3:$I$480,'Plan rashoda za unos u SAP'!$C$3:$C$480,"=575",'Plan rashoda za unos u SAP'!$M$3:$M$480,"=329")+SUMIFS('ANALITIKA EU PROJEKATA'!$G$3:$G$499,'ANALITIKA EU PROJEKATA'!$A$3:$A$499,"=575",'ANALITIKA EU PROJEKATA'!$P$3:$P$499,"=329")</f>
        <v>0</v>
      </c>
      <c r="R14" s="147">
        <f>SUMIFS('Plan rashoda za unos u SAP'!$I$3:$I$480,'Plan rashoda za unos u SAP'!$C$3:$C$480,"=576",'Plan rashoda za unos u SAP'!$M$3:$M$480,"=329")+SUMIFS('ANALITIKA EU PROJEKATA'!$G$3:$G$499,'ANALITIKA EU PROJEKATA'!$A$3:$A$499,"=576",'ANALITIKA EU PROJEKATA'!$P$3:$P$499,"=329")</f>
        <v>0</v>
      </c>
      <c r="S14" s="147">
        <f>SUMIFS('Plan rashoda za unos u SAP'!$I$3:$I$480,'Plan rashoda za unos u SAP'!$C$3:$C$480,"=581",'Plan rashoda za unos u SAP'!$M$3:$M$480,"=329")+SUMIFS('ANALITIKA EU PROJEKATA'!$G$3:$G$499,'ANALITIKA EU PROJEKATA'!$A$3:$A$499,"=581",'ANALITIKA EU PROJEKATA'!$P$3:$P$499,"=329")</f>
        <v>0</v>
      </c>
      <c r="T14" s="147">
        <f>SUMIFS('Plan rashoda za unos u SAP'!$I$3:$I$480,'Plan rashoda za unos u SAP'!$C$3:$C$480,"=61",'Plan rashoda za unos u SAP'!$M$3:$M$480,"=329")+SUMIFS('ANALITIKA EU PROJEKATA'!$G$3:$G$499,'ANALITIKA EU PROJEKATA'!$A$3:$A$499,"=61",'ANALITIKA EU PROJEKATA'!$P$3:$P$499,"=329")</f>
        <v>7598.0904999999993</v>
      </c>
      <c r="U14" s="147">
        <f>SUMIFS('Plan rashoda za unos u SAP'!$I$3:$I$480,'Plan rashoda za unos u SAP'!$C$3:$C$480,"=63",'Plan rashoda za unos u SAP'!$M$3:$M$480,"=329")+SUMIFS('ANALITIKA EU PROJEKATA'!$G$3:$G$499,'ANALITIKA EU PROJEKATA'!$A$3:$A$499,"=63",'ANALITIKA EU PROJEKATA'!$P$3:$P$499,"=329")</f>
        <v>0</v>
      </c>
      <c r="V14" s="147">
        <f>SUMIFS('Plan rashoda za unos u SAP'!$I$3:$I$480,'Plan rashoda za unos u SAP'!$C$3:$C$480,"=71",'Plan rashoda za unos u SAP'!$M$3:$M$480,"=329")+SUMIFS('ANALITIKA EU PROJEKATA'!$G$3:$G$499,'ANALITIKA EU PROJEKATA'!$A$3:$A$499,"=71",'ANALITIKA EU PROJEKATA'!$P$3:$P$499,"=329")</f>
        <v>0</v>
      </c>
      <c r="W14" s="147">
        <f>SUMIFS('Plan rashoda za unos u SAP'!$I$3:$I$480,'Plan rashoda za unos u SAP'!$C$3:$C$480,"=81",'Plan rashoda za unos u SAP'!$M$3:$M$480,"=329")+SUMIFS('ANALITIKA EU PROJEKATA'!$G$3:$G$499,'ANALITIKA EU PROJEKATA'!$A$3:$A$499,"=81",'ANALITIKA EU PROJEKATA'!$P$3:$P$499,"=329")</f>
        <v>0</v>
      </c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  <c r="AL14" s="129"/>
      <c r="AM14" s="129"/>
      <c r="AN14" s="129"/>
      <c r="AO14" s="129"/>
      <c r="AP14" s="129"/>
      <c r="AQ14" s="129"/>
    </row>
    <row r="15" spans="1:43" ht="12" customHeight="1">
      <c r="A15" s="131">
        <v>2021</v>
      </c>
      <c r="B15" s="150">
        <v>34</v>
      </c>
      <c r="C15" s="151" t="s">
        <v>3438</v>
      </c>
      <c r="D15" s="108">
        <f t="shared" si="0"/>
        <v>45897.555</v>
      </c>
      <c r="E15" s="108">
        <f t="shared" ref="E15:W15" si="5">SUM(E16:E18)</f>
        <v>0</v>
      </c>
      <c r="F15" s="108">
        <f t="shared" si="5"/>
        <v>0</v>
      </c>
      <c r="G15" s="108">
        <f t="shared" si="5"/>
        <v>8091</v>
      </c>
      <c r="H15" s="108">
        <f t="shared" si="5"/>
        <v>0</v>
      </c>
      <c r="I15" s="108">
        <f t="shared" si="5"/>
        <v>37806.555</v>
      </c>
      <c r="J15" s="108">
        <f t="shared" si="5"/>
        <v>0</v>
      </c>
      <c r="K15" s="108">
        <f t="shared" si="5"/>
        <v>0</v>
      </c>
      <c r="L15" s="108">
        <f t="shared" si="5"/>
        <v>0</v>
      </c>
      <c r="M15" s="108">
        <f t="shared" si="5"/>
        <v>0</v>
      </c>
      <c r="N15" s="108">
        <f t="shared" si="5"/>
        <v>0</v>
      </c>
      <c r="O15" s="108">
        <f t="shared" si="5"/>
        <v>0</v>
      </c>
      <c r="P15" s="108">
        <f t="shared" si="5"/>
        <v>0</v>
      </c>
      <c r="Q15" s="108">
        <f t="shared" si="5"/>
        <v>0</v>
      </c>
      <c r="R15" s="108">
        <f t="shared" si="5"/>
        <v>0</v>
      </c>
      <c r="S15" s="108">
        <f t="shared" si="5"/>
        <v>0</v>
      </c>
      <c r="T15" s="108">
        <f t="shared" si="5"/>
        <v>0</v>
      </c>
      <c r="U15" s="108">
        <f t="shared" si="5"/>
        <v>0</v>
      </c>
      <c r="V15" s="108">
        <f t="shared" si="5"/>
        <v>0</v>
      </c>
      <c r="W15" s="108">
        <f t="shared" si="5"/>
        <v>0</v>
      </c>
      <c r="X15" s="152"/>
      <c r="Y15" s="152"/>
      <c r="Z15" s="152"/>
      <c r="AA15" s="152"/>
      <c r="AB15" s="152"/>
      <c r="AC15" s="152"/>
      <c r="AD15" s="152"/>
      <c r="AE15" s="152"/>
      <c r="AF15" s="152"/>
      <c r="AG15" s="152"/>
      <c r="AH15" s="152"/>
      <c r="AI15" s="152"/>
      <c r="AJ15" s="152"/>
      <c r="AK15" s="152"/>
      <c r="AL15" s="152"/>
      <c r="AM15" s="152"/>
      <c r="AN15" s="152"/>
      <c r="AO15" s="152"/>
      <c r="AP15" s="152"/>
      <c r="AQ15" s="152"/>
    </row>
    <row r="16" spans="1:43" ht="12" customHeight="1">
      <c r="A16" s="131">
        <v>2021</v>
      </c>
      <c r="B16" s="154">
        <v>341</v>
      </c>
      <c r="C16" s="149" t="s">
        <v>3439</v>
      </c>
      <c r="D16" s="94">
        <f t="shared" si="0"/>
        <v>0</v>
      </c>
      <c r="E16" s="147">
        <f>SUMIFS('Plan rashoda za unos u SAP'!$I$3:$I$480,'Plan rashoda za unos u SAP'!$C$3:$C$480,"=11",'Plan rashoda za unos u SAP'!$M$3:$M$480,"=341")+SUMIFS('ANALITIKA EU PROJEKATA'!$G$3:$G$499,'ANALITIKA EU PROJEKATA'!$A$3:$A$499,"=11",'ANALITIKA EU PROJEKATA'!$P$3:$P$499,"=341")</f>
        <v>0</v>
      </c>
      <c r="F16" s="147">
        <f>SUMIFS('Plan rashoda za unos u SAP'!$I$3:$I$480,'Plan rashoda za unos u SAP'!$C$3:$C$480,"=12",'Plan rashoda za unos u SAP'!$M$3:$M$480,"=341")+SUMIFS('ANALITIKA EU PROJEKATA'!$G$3:$G$499,'ANALITIKA EU PROJEKATA'!$A$3:$A$499,"=12",'ANALITIKA EU PROJEKATA'!$P$3:$P$499,"=341")</f>
        <v>0</v>
      </c>
      <c r="G16" s="147">
        <f>SUMIFS('Plan rashoda za unos u SAP'!$I$3:$I$480,'Plan rashoda za unos u SAP'!$C$3:$C$480,"=31",'Plan rashoda za unos u SAP'!$M$3:$M$480,"=341")+SUMIFS('ANALITIKA EU PROJEKATA'!$G$3:$G$499,'ANALITIKA EU PROJEKATA'!$A$3:$A$499,"=31",'ANALITIKA EU PROJEKATA'!$P$3:$P$499,"=341")</f>
        <v>0</v>
      </c>
      <c r="H16" s="147">
        <f>SUMIFS('Plan rashoda za unos u SAP'!$I$3:$I$480,'Plan rashoda za unos u SAP'!$C$3:$C$480,"=41",'Plan rashoda za unos u SAP'!$M$3:$M$480,"=341")+SUMIFS('ANALITIKA EU PROJEKATA'!$G$3:$G$499,'ANALITIKA EU PROJEKATA'!$A$3:$A$499,"=41",'ANALITIKA EU PROJEKATA'!$P$3:$P$499,"=341")</f>
        <v>0</v>
      </c>
      <c r="I16" s="147">
        <f>SUMIFS('Plan rashoda za unos u SAP'!$I$3:$I$480,'Plan rashoda za unos u SAP'!$C$3:$C$480,"=43",'Plan rashoda za unos u SAP'!$M$3:$M$480,"=341")+SUMIFS('ANALITIKA EU PROJEKATA'!$G$3:$G$499,'ANALITIKA EU PROJEKATA'!$A$3:$A$499,"=43",'ANALITIKA EU PROJEKATA'!$P$3:$P$499,"=341")</f>
        <v>0</v>
      </c>
      <c r="J16" s="147">
        <f>SUMIFS('Plan rashoda za unos u SAP'!$I$3:$I$480,'Plan rashoda za unos u SAP'!$C$3:$C$480,"=51",'Plan rashoda za unos u SAP'!$M$3:$M$480,"=341")+SUMIFS('ANALITIKA EU PROJEKATA'!$G$3:$G$499,'ANALITIKA EU PROJEKATA'!$A$3:$A$499,"=51",'ANALITIKA EU PROJEKATA'!$P$3:$P$499,"=341")</f>
        <v>0</v>
      </c>
      <c r="K16" s="147">
        <f>SUMIFS('Plan rashoda za unos u SAP'!$I$3:$I$480,'Plan rashoda za unos u SAP'!$C$3:$C$480,"=52",'Plan rashoda za unos u SAP'!$M$3:$M$480,"=341")+SUMIFS('ANALITIKA EU PROJEKATA'!$G$3:$G$499,'ANALITIKA EU PROJEKATA'!$A$3:$A$499,"=52",'ANALITIKA EU PROJEKATA'!$P$3:$P$499,"=341")</f>
        <v>0</v>
      </c>
      <c r="L16" s="147">
        <f>SUMIFS('Plan rashoda za unos u SAP'!$I$3:$I$480,'Plan rashoda za unos u SAP'!$C$3:$C$480,"=552",'Plan rashoda za unos u SAP'!$M$3:$M$480,"=341")+SUMIFS('ANALITIKA EU PROJEKATA'!$G$3:$G$499,'ANALITIKA EU PROJEKATA'!$A$3:$A$499,"=552",'ANALITIKA EU PROJEKATA'!$P$3:$P$499,"=341")</f>
        <v>0</v>
      </c>
      <c r="M16" s="147">
        <f>SUMIFS('Plan rashoda za unos u SAP'!$I$3:$I$480,'Plan rashoda za unos u SAP'!$C$3:$C$480,"=559",'Plan rashoda za unos u SAP'!$M$3:$M$480,"=341")+SUMIFS('ANALITIKA EU PROJEKATA'!$G$3:$G$499,'ANALITIKA EU PROJEKATA'!$A$3:$A$499,"=559",'ANALITIKA EU PROJEKATA'!$P$3:$P$499,"=341")</f>
        <v>0</v>
      </c>
      <c r="N16" s="147">
        <f>SUMIFS('Plan rashoda za unos u SAP'!$I$3:$I$480,'Plan rashoda za unos u SAP'!$C$3:$C$480,"=561",'Plan rashoda za unos u SAP'!$M$3:$M$480,"=341")+SUMIFS('ANALITIKA EU PROJEKATA'!$G$3:$G$499,'ANALITIKA EU PROJEKATA'!$A$3:$A$499,"=561",'ANALITIKA EU PROJEKATA'!$P$3:$P$499,"=341")</f>
        <v>0</v>
      </c>
      <c r="O16" s="147">
        <f>SUMIFS('Plan rashoda za unos u SAP'!$I$3:$I$480,'Plan rashoda za unos u SAP'!$C$3:$C$480,"=563",'Plan rashoda za unos u SAP'!$M$3:$M$480,"=341")+SUMIFS('ANALITIKA EU PROJEKATA'!$G$3:$G$499,'ANALITIKA EU PROJEKATA'!$A$3:$A$499,"=563",'ANALITIKA EU PROJEKATA'!$P$3:$P$499,"=341")</f>
        <v>0</v>
      </c>
      <c r="P16" s="147">
        <f>SUMIFS('Plan rashoda za unos u SAP'!$I$3:$I$480,'Plan rashoda za unos u SAP'!$C$3:$C$480,"=573",'Plan rashoda za unos u SAP'!$M$3:$M$480,"=341")+SUMIFS('ANALITIKA EU PROJEKATA'!$G$3:$G$499,'ANALITIKA EU PROJEKATA'!$A$3:$A$499,"=573",'ANALITIKA EU PROJEKATA'!$P$3:$P$499,"=341")</f>
        <v>0</v>
      </c>
      <c r="Q16" s="147">
        <f>SUMIFS('Plan rashoda za unos u SAP'!$I$3:$I$480,'Plan rashoda za unos u SAP'!$C$3:$C$480,"=575",'Plan rashoda za unos u SAP'!$M$3:$M$480,"=341")+SUMIFS('ANALITIKA EU PROJEKATA'!$G$3:$G$499,'ANALITIKA EU PROJEKATA'!$A$3:$A$499,"=575",'ANALITIKA EU PROJEKATA'!$P$3:$P$499,"=341")</f>
        <v>0</v>
      </c>
      <c r="R16" s="147">
        <f>SUMIFS('Plan rashoda za unos u SAP'!$I$3:$I$480,'Plan rashoda za unos u SAP'!$C$3:$C$480,"=576",'Plan rashoda za unos u SAP'!$M$3:$M$480,"=341")+SUMIFS('ANALITIKA EU PROJEKATA'!$G$3:$G$499,'ANALITIKA EU PROJEKATA'!$A$3:$A$499,"=576",'ANALITIKA EU PROJEKATA'!$P$3:$P$499,"=341")</f>
        <v>0</v>
      </c>
      <c r="S16" s="147">
        <f>SUMIFS('Plan rashoda za unos u SAP'!$I$3:$I$480,'Plan rashoda za unos u SAP'!$C$3:$C$480,"=581",'Plan rashoda za unos u SAP'!$M$3:$M$480,"=341")+SUMIFS('ANALITIKA EU PROJEKATA'!$G$3:$G$499,'ANALITIKA EU PROJEKATA'!$A$3:$A$499,"=581",'ANALITIKA EU PROJEKATA'!$P$3:$P$499,"=341")</f>
        <v>0</v>
      </c>
      <c r="T16" s="147">
        <f>SUMIFS('Plan rashoda za unos u SAP'!$I$3:$I$480,'Plan rashoda za unos u SAP'!$C$3:$C$480,"=61",'Plan rashoda za unos u SAP'!$M$3:$M$480,"=341")+SUMIFS('ANALITIKA EU PROJEKATA'!$G$3:$G$499,'ANALITIKA EU PROJEKATA'!$A$3:$A$499,"=61",'ANALITIKA EU PROJEKATA'!$P$3:$P$499,"=341")</f>
        <v>0</v>
      </c>
      <c r="U16" s="147">
        <f>SUMIFS('Plan rashoda za unos u SAP'!$I$3:$I$480,'Plan rashoda za unos u SAP'!$C$3:$C$480,"=63",'Plan rashoda za unos u SAP'!$M$3:$M$480,"=341")+SUMIFS('ANALITIKA EU PROJEKATA'!$G$3:$G$499,'ANALITIKA EU PROJEKATA'!$A$3:$A$499,"=63",'ANALITIKA EU PROJEKATA'!$P$3:$P$499,"=341")</f>
        <v>0</v>
      </c>
      <c r="V16" s="147">
        <f>SUMIFS('Plan rashoda za unos u SAP'!$I$3:$I$480,'Plan rashoda za unos u SAP'!$C$3:$C$480,"=71",'Plan rashoda za unos u SAP'!$M$3:$M$480,"=341")+SUMIFS('ANALITIKA EU PROJEKATA'!$G$3:$G$499,'ANALITIKA EU PROJEKATA'!$A$3:$A$499,"=71",'ANALITIKA EU PROJEKATA'!$P$3:$P$499,"=341")</f>
        <v>0</v>
      </c>
      <c r="W16" s="147">
        <f>SUMIFS('Plan rashoda za unos u SAP'!$I$3:$I$480,'Plan rashoda za unos u SAP'!$C$3:$C$480,"=81",'Plan rashoda za unos u SAP'!$M$3:$M$480,"=341")+SUMIFS('ANALITIKA EU PROJEKATA'!$G$3:$G$499,'ANALITIKA EU PROJEKATA'!$A$3:$A$499,"=81",'ANALITIKA EU PROJEKATA'!$P$3:$P$499,"=341")</f>
        <v>0</v>
      </c>
      <c r="X16" s="152"/>
      <c r="Y16" s="152"/>
      <c r="Z16" s="152"/>
      <c r="AA16" s="152"/>
      <c r="AB16" s="152"/>
      <c r="AC16" s="152"/>
      <c r="AD16" s="152"/>
      <c r="AE16" s="152"/>
      <c r="AF16" s="152"/>
      <c r="AG16" s="152"/>
      <c r="AH16" s="152"/>
      <c r="AI16" s="152"/>
      <c r="AJ16" s="152"/>
      <c r="AK16" s="152"/>
      <c r="AL16" s="152"/>
      <c r="AM16" s="152"/>
      <c r="AN16" s="152"/>
      <c r="AO16" s="152"/>
      <c r="AP16" s="152"/>
      <c r="AQ16" s="152"/>
    </row>
    <row r="17" spans="1:43" ht="12" customHeight="1">
      <c r="A17" s="131">
        <v>2021</v>
      </c>
      <c r="B17" s="154">
        <v>342</v>
      </c>
      <c r="C17" s="149" t="s">
        <v>3440</v>
      </c>
      <c r="D17" s="94">
        <f t="shared" si="0"/>
        <v>0</v>
      </c>
      <c r="E17" s="147">
        <f>SUMIFS('Plan rashoda za unos u SAP'!$I$3:$I$480,'Plan rashoda za unos u SAP'!$C$3:$C$480,"=11",'Plan rashoda za unos u SAP'!$M$3:$M$480,"=342")+SUMIFS('ANALITIKA EU PROJEKATA'!$G$3:$G$499,'ANALITIKA EU PROJEKATA'!$A$3:$A$499,"=11",'ANALITIKA EU PROJEKATA'!$P$3:$P$499,"=342")</f>
        <v>0</v>
      </c>
      <c r="F17" s="147">
        <f>SUMIFS('Plan rashoda za unos u SAP'!$I$3:$I$480,'Plan rashoda za unos u SAP'!$C$3:$C$480,"=12",'Plan rashoda za unos u SAP'!$M$3:$M$480,"=342")+SUMIFS('ANALITIKA EU PROJEKATA'!$G$3:$G$499,'ANALITIKA EU PROJEKATA'!$A$3:$A$499,"=12",'ANALITIKA EU PROJEKATA'!$P$3:$P$499,"=342")</f>
        <v>0</v>
      </c>
      <c r="G17" s="147">
        <f>SUMIFS('Plan rashoda za unos u SAP'!$I$3:$I$480,'Plan rashoda za unos u SAP'!$C$3:$C$480,"=31",'Plan rashoda za unos u SAP'!$M$3:$M$480,"=342")+SUMIFS('ANALITIKA EU PROJEKATA'!$G$3:$G$499,'ANALITIKA EU PROJEKATA'!$A$3:$A$499,"=31",'ANALITIKA EU PROJEKATA'!$P$3:$P$499,"=342")</f>
        <v>0</v>
      </c>
      <c r="H17" s="147">
        <f>SUMIFS('Plan rashoda za unos u SAP'!$I$3:$I$480,'Plan rashoda za unos u SAP'!$C$3:$C$480,"=41",'Plan rashoda za unos u SAP'!$M$3:$M$480,"=342")+SUMIFS('ANALITIKA EU PROJEKATA'!$G$3:$G$499,'ANALITIKA EU PROJEKATA'!$A$3:$A$499,"=41",'ANALITIKA EU PROJEKATA'!$P$3:$P$499,"=342")</f>
        <v>0</v>
      </c>
      <c r="I17" s="147">
        <f>SUMIFS('Plan rashoda za unos u SAP'!$I$3:$I$480,'Plan rashoda za unos u SAP'!$C$3:$C$480,"=43",'Plan rashoda za unos u SAP'!$M$3:$M$480,"=342")+SUMIFS('ANALITIKA EU PROJEKATA'!$G$3:$G$499,'ANALITIKA EU PROJEKATA'!$A$3:$A$499,"=43",'ANALITIKA EU PROJEKATA'!$P$3:$P$499,"=342")</f>
        <v>0</v>
      </c>
      <c r="J17" s="147">
        <f>SUMIFS('Plan rashoda za unos u SAP'!$I$3:$I$480,'Plan rashoda za unos u SAP'!$C$3:$C$480,"=51",'Plan rashoda za unos u SAP'!$M$3:$M$480,"=342")+SUMIFS('ANALITIKA EU PROJEKATA'!$G$3:$G$499,'ANALITIKA EU PROJEKATA'!$A$3:$A$499,"=51",'ANALITIKA EU PROJEKATA'!$P$3:$P$499,"=342")</f>
        <v>0</v>
      </c>
      <c r="K17" s="147">
        <f>SUMIFS('Plan rashoda za unos u SAP'!$I$3:$I$480,'Plan rashoda za unos u SAP'!$C$3:$C$480,"=52",'Plan rashoda za unos u SAP'!$M$3:$M$480,"=342")+SUMIFS('ANALITIKA EU PROJEKATA'!$G$3:$G$499,'ANALITIKA EU PROJEKATA'!$A$3:$A$499,"=52",'ANALITIKA EU PROJEKATA'!$P$3:$P$499,"=342")</f>
        <v>0</v>
      </c>
      <c r="L17" s="147">
        <f>SUMIFS('Plan rashoda za unos u SAP'!$I$3:$I$480,'Plan rashoda za unos u SAP'!$C$3:$C$480,"=552",'Plan rashoda za unos u SAP'!$M$3:$M$480,"=342")+SUMIFS('ANALITIKA EU PROJEKATA'!$G$3:$G$499,'ANALITIKA EU PROJEKATA'!$A$3:$A$499,"=552",'ANALITIKA EU PROJEKATA'!$P$3:$P$499,"=342")</f>
        <v>0</v>
      </c>
      <c r="M17" s="147">
        <f>SUMIFS('Plan rashoda za unos u SAP'!$I$3:$I$480,'Plan rashoda za unos u SAP'!$C$3:$C$480,"=559",'Plan rashoda za unos u SAP'!$M$3:$M$480,"=342")+SUMIFS('ANALITIKA EU PROJEKATA'!$G$3:$G$499,'ANALITIKA EU PROJEKATA'!$A$3:$A$499,"=559",'ANALITIKA EU PROJEKATA'!$P$3:$P$499,"=342")</f>
        <v>0</v>
      </c>
      <c r="N17" s="147">
        <f>SUMIFS('Plan rashoda za unos u SAP'!$I$3:$I$480,'Plan rashoda za unos u SAP'!$C$3:$C$480,"=561",'Plan rashoda za unos u SAP'!$M$3:$M$480,"=342")+SUMIFS('ANALITIKA EU PROJEKATA'!$G$3:$G$499,'ANALITIKA EU PROJEKATA'!$A$3:$A$499,"=561",'ANALITIKA EU PROJEKATA'!$P$3:$P$499,"=342")</f>
        <v>0</v>
      </c>
      <c r="O17" s="147">
        <f>SUMIFS('Plan rashoda za unos u SAP'!$I$3:$I$480,'Plan rashoda za unos u SAP'!$C$3:$C$480,"=563",'Plan rashoda za unos u SAP'!$M$3:$M$480,"=342")+SUMIFS('ANALITIKA EU PROJEKATA'!$G$3:$G$499,'ANALITIKA EU PROJEKATA'!$A$3:$A$499,"=563",'ANALITIKA EU PROJEKATA'!$P$3:$P$499,"=342")</f>
        <v>0</v>
      </c>
      <c r="P17" s="147">
        <f>SUMIFS('Plan rashoda za unos u SAP'!$I$3:$I$480,'Plan rashoda za unos u SAP'!$C$3:$C$480,"=573",'Plan rashoda za unos u SAP'!$M$3:$M$480,"=342")+SUMIFS('ANALITIKA EU PROJEKATA'!$G$3:$G$499,'ANALITIKA EU PROJEKATA'!$A$3:$A$499,"=573",'ANALITIKA EU PROJEKATA'!$P$3:$P$499,"=342")</f>
        <v>0</v>
      </c>
      <c r="Q17" s="147">
        <f>SUMIFS('Plan rashoda za unos u SAP'!$I$3:$I$480,'Plan rashoda za unos u SAP'!$C$3:$C$480,"=575",'Plan rashoda za unos u SAP'!$M$3:$M$480,"=342")+SUMIFS('ANALITIKA EU PROJEKATA'!$G$3:$G$499,'ANALITIKA EU PROJEKATA'!$A$3:$A$499,"=575",'ANALITIKA EU PROJEKATA'!$P$3:$P$499,"=342")</f>
        <v>0</v>
      </c>
      <c r="R17" s="147">
        <f>SUMIFS('Plan rashoda za unos u SAP'!$I$3:$I$480,'Plan rashoda za unos u SAP'!$C$3:$C$480,"=576",'Plan rashoda za unos u SAP'!$M$3:$M$480,"=342")+SUMIFS('ANALITIKA EU PROJEKATA'!$G$3:$G$499,'ANALITIKA EU PROJEKATA'!$A$3:$A$499,"=576",'ANALITIKA EU PROJEKATA'!$P$3:$P$499,"=342")</f>
        <v>0</v>
      </c>
      <c r="S17" s="147">
        <f>SUMIFS('Plan rashoda za unos u SAP'!$I$3:$I$480,'Plan rashoda za unos u SAP'!$C$3:$C$480,"=581",'Plan rashoda za unos u SAP'!$M$3:$M$480,"=342")+SUMIFS('ANALITIKA EU PROJEKATA'!$G$3:$G$499,'ANALITIKA EU PROJEKATA'!$A$3:$A$499,"=581",'ANALITIKA EU PROJEKATA'!$P$3:$P$499,"=342")</f>
        <v>0</v>
      </c>
      <c r="T17" s="147">
        <f>SUMIFS('Plan rashoda za unos u SAP'!$I$3:$I$480,'Plan rashoda za unos u SAP'!$C$3:$C$480,"=61",'Plan rashoda za unos u SAP'!$M$3:$M$480,"=342")+SUMIFS('ANALITIKA EU PROJEKATA'!$G$3:$G$499,'ANALITIKA EU PROJEKATA'!$A$3:$A$499,"=61",'ANALITIKA EU PROJEKATA'!$P$3:$P$499,"=342")</f>
        <v>0</v>
      </c>
      <c r="U17" s="147">
        <f>SUMIFS('Plan rashoda za unos u SAP'!$I$3:$I$480,'Plan rashoda za unos u SAP'!$C$3:$C$480,"=63",'Plan rashoda za unos u SAP'!$M$3:$M$480,"=342")+SUMIFS('ANALITIKA EU PROJEKATA'!$G$3:$G$499,'ANALITIKA EU PROJEKATA'!$A$3:$A$499,"=63",'ANALITIKA EU PROJEKATA'!$P$3:$P$499,"=342")</f>
        <v>0</v>
      </c>
      <c r="V17" s="147">
        <f>SUMIFS('Plan rashoda za unos u SAP'!$I$3:$I$480,'Plan rashoda za unos u SAP'!$C$3:$C$480,"=71",'Plan rashoda za unos u SAP'!$M$3:$M$480,"=342")+SUMIFS('ANALITIKA EU PROJEKATA'!$G$3:$G$499,'ANALITIKA EU PROJEKATA'!$A$3:$A$499,"=71",'ANALITIKA EU PROJEKATA'!$P$3:$P$499,"=342")</f>
        <v>0</v>
      </c>
      <c r="W17" s="147">
        <f>SUMIFS('Plan rashoda za unos u SAP'!$I$3:$I$480,'Plan rashoda za unos u SAP'!$C$3:$C$480,"=81",'Plan rashoda za unos u SAP'!$M$3:$M$480,"=342")+SUMIFS('ANALITIKA EU PROJEKATA'!$G$3:$G$499,'ANALITIKA EU PROJEKATA'!$A$3:$A$499,"=81",'ANALITIKA EU PROJEKATA'!$P$3:$P$499,"=342")</f>
        <v>0</v>
      </c>
      <c r="X17" s="152"/>
      <c r="Y17" s="152"/>
      <c r="Z17" s="152"/>
      <c r="AA17" s="152"/>
      <c r="AB17" s="152"/>
      <c r="AC17" s="152"/>
      <c r="AD17" s="152"/>
      <c r="AE17" s="152"/>
      <c r="AF17" s="152"/>
      <c r="AG17" s="152"/>
      <c r="AH17" s="152"/>
      <c r="AI17" s="152"/>
      <c r="AJ17" s="152"/>
      <c r="AK17" s="152"/>
      <c r="AL17" s="152"/>
      <c r="AM17" s="152"/>
      <c r="AN17" s="152"/>
      <c r="AO17" s="152"/>
      <c r="AP17" s="152"/>
      <c r="AQ17" s="152"/>
    </row>
    <row r="18" spans="1:43" ht="12" customHeight="1">
      <c r="A18" s="131">
        <v>2021</v>
      </c>
      <c r="B18" s="154">
        <v>343</v>
      </c>
      <c r="C18" s="149" t="s">
        <v>3441</v>
      </c>
      <c r="D18" s="94">
        <f t="shared" si="0"/>
        <v>45897.555</v>
      </c>
      <c r="E18" s="147">
        <f>SUMIFS('Plan rashoda za unos u SAP'!$I$3:$I$480,'Plan rashoda za unos u SAP'!$C$3:$C$480,"=11",'Plan rashoda za unos u SAP'!$M$3:$M$480,"=343")+SUMIFS('ANALITIKA EU PROJEKATA'!$G$3:$G$499,'ANALITIKA EU PROJEKATA'!$A$3:$A$499,"=11",'ANALITIKA EU PROJEKATA'!$P$3:$P$499,"=343")</f>
        <v>0</v>
      </c>
      <c r="F18" s="147">
        <f>SUMIFS('Plan rashoda za unos u SAP'!$I$3:$I$480,'Plan rashoda za unos u SAP'!$C$3:$C$480,"=12",'Plan rashoda za unos u SAP'!$M$3:$M$480,"=343")+SUMIFS('ANALITIKA EU PROJEKATA'!$G$3:$G$499,'ANALITIKA EU PROJEKATA'!$A$3:$A$499,"=12",'ANALITIKA EU PROJEKATA'!$P$3:$P$499,"=343")</f>
        <v>0</v>
      </c>
      <c r="G18" s="147">
        <f>SUMIFS('Plan rashoda za unos u SAP'!$I$3:$I$480,'Plan rashoda za unos u SAP'!$C$3:$C$480,"=31",'Plan rashoda za unos u SAP'!$M$3:$M$480,"=343")+SUMIFS('ANALITIKA EU PROJEKATA'!$G$3:$G$499,'ANALITIKA EU PROJEKATA'!$A$3:$A$499,"=31",'ANALITIKA EU PROJEKATA'!$P$3:$P$499,"=343")</f>
        <v>8091</v>
      </c>
      <c r="H18" s="147">
        <f>SUMIFS('Plan rashoda za unos u SAP'!$I$3:$I$480,'Plan rashoda za unos u SAP'!$C$3:$C$480,"=41",'Plan rashoda za unos u SAP'!$M$3:$M$480,"=343")+SUMIFS('ANALITIKA EU PROJEKATA'!$G$3:$G$499,'ANALITIKA EU PROJEKATA'!$A$3:$A$499,"=41",'ANALITIKA EU PROJEKATA'!$P$3:$P$499,"=343")</f>
        <v>0</v>
      </c>
      <c r="I18" s="147">
        <f>SUMIFS('Plan rashoda za unos u SAP'!$I$3:$I$480,'Plan rashoda za unos u SAP'!$C$3:$C$480,"=43",'Plan rashoda za unos u SAP'!$M$3:$M$480,"=343")+SUMIFS('ANALITIKA EU PROJEKATA'!$G$3:$G$499,'ANALITIKA EU PROJEKATA'!$A$3:$A$499,"=43",'ANALITIKA EU PROJEKATA'!$P$3:$P$499,"=343")</f>
        <v>37806.555</v>
      </c>
      <c r="J18" s="147">
        <f>SUMIFS('Plan rashoda za unos u SAP'!$I$3:$I$480,'Plan rashoda za unos u SAP'!$C$3:$C$480,"=51",'Plan rashoda za unos u SAP'!$M$3:$M$480,"=343")+SUMIFS('ANALITIKA EU PROJEKATA'!$G$3:$G$499,'ANALITIKA EU PROJEKATA'!$A$3:$A$499,"=51",'ANALITIKA EU PROJEKATA'!$P$3:$P$499,"=343")</f>
        <v>0</v>
      </c>
      <c r="K18" s="147">
        <f>SUMIFS('Plan rashoda za unos u SAP'!$I$3:$I$480,'Plan rashoda za unos u SAP'!$C$3:$C$480,"=52",'Plan rashoda za unos u SAP'!$M$3:$M$480,"=343")+SUMIFS('ANALITIKA EU PROJEKATA'!$G$3:$G$499,'ANALITIKA EU PROJEKATA'!$A$3:$A$499,"=52",'ANALITIKA EU PROJEKATA'!$P$3:$P$499,"=343")</f>
        <v>0</v>
      </c>
      <c r="L18" s="147">
        <f>SUMIFS('Plan rashoda za unos u SAP'!$I$3:$I$480,'Plan rashoda za unos u SAP'!$C$3:$C$480,"=552",'Plan rashoda za unos u SAP'!$M$3:$M$480,"=343")+SUMIFS('ANALITIKA EU PROJEKATA'!$G$3:$G$499,'ANALITIKA EU PROJEKATA'!$A$3:$A$499,"=552",'ANALITIKA EU PROJEKATA'!$P$3:$P$499,"=343")</f>
        <v>0</v>
      </c>
      <c r="M18" s="147">
        <f>SUMIFS('Plan rashoda za unos u SAP'!$I$3:$I$480,'Plan rashoda za unos u SAP'!$C$3:$C$480,"=559",'Plan rashoda za unos u SAP'!$M$3:$M$480,"=343")+SUMIFS('ANALITIKA EU PROJEKATA'!$G$3:$G$499,'ANALITIKA EU PROJEKATA'!$A$3:$A$499,"=559",'ANALITIKA EU PROJEKATA'!$P$3:$P$499,"=343")</f>
        <v>0</v>
      </c>
      <c r="N18" s="147">
        <f>SUMIFS('Plan rashoda za unos u SAP'!$I$3:$I$480,'Plan rashoda za unos u SAP'!$C$3:$C$480,"=561",'Plan rashoda za unos u SAP'!$M$3:$M$480,"=343")+SUMIFS('ANALITIKA EU PROJEKATA'!$G$3:$G$499,'ANALITIKA EU PROJEKATA'!$A$3:$A$499,"=561",'ANALITIKA EU PROJEKATA'!$P$3:$P$499,"=343")</f>
        <v>0</v>
      </c>
      <c r="O18" s="147">
        <f>SUMIFS('Plan rashoda za unos u SAP'!$I$3:$I$480,'Plan rashoda za unos u SAP'!$C$3:$C$480,"=563",'Plan rashoda za unos u SAP'!$M$3:$M$480,"=343")+SUMIFS('ANALITIKA EU PROJEKATA'!$G$3:$G$499,'ANALITIKA EU PROJEKATA'!$A$3:$A$499,"=563",'ANALITIKA EU PROJEKATA'!$P$3:$P$499,"=343")</f>
        <v>0</v>
      </c>
      <c r="P18" s="147">
        <f>SUMIFS('Plan rashoda za unos u SAP'!$I$3:$I$480,'Plan rashoda za unos u SAP'!$C$3:$C$480,"=573",'Plan rashoda za unos u SAP'!$M$3:$M$480,"=343")+SUMIFS('ANALITIKA EU PROJEKATA'!$G$3:$G$499,'ANALITIKA EU PROJEKATA'!$A$3:$A$499,"=573",'ANALITIKA EU PROJEKATA'!$P$3:$P$499,"=343")</f>
        <v>0</v>
      </c>
      <c r="Q18" s="147">
        <f>SUMIFS('Plan rashoda za unos u SAP'!$I$3:$I$480,'Plan rashoda za unos u SAP'!$C$3:$C$480,"=575",'Plan rashoda za unos u SAP'!$M$3:$M$480,"=343")+SUMIFS('ANALITIKA EU PROJEKATA'!$G$3:$G$499,'ANALITIKA EU PROJEKATA'!$A$3:$A$499,"=575",'ANALITIKA EU PROJEKATA'!$P$3:$P$499,"=343")</f>
        <v>0</v>
      </c>
      <c r="R18" s="147">
        <f>SUMIFS('Plan rashoda za unos u SAP'!$I$3:$I$480,'Plan rashoda za unos u SAP'!$C$3:$C$480,"=576",'Plan rashoda za unos u SAP'!$M$3:$M$480,"=343")+SUMIFS('ANALITIKA EU PROJEKATA'!$G$3:$G$499,'ANALITIKA EU PROJEKATA'!$A$3:$A$499,"=576",'ANALITIKA EU PROJEKATA'!$P$3:$P$499,"=343")</f>
        <v>0</v>
      </c>
      <c r="S18" s="147">
        <f>SUMIFS('Plan rashoda za unos u SAP'!$I$3:$I$480,'Plan rashoda za unos u SAP'!$C$3:$C$480,"=581",'Plan rashoda za unos u SAP'!$M$3:$M$480,"=343")+SUMIFS('ANALITIKA EU PROJEKATA'!$G$3:$G$499,'ANALITIKA EU PROJEKATA'!$A$3:$A$499,"=581",'ANALITIKA EU PROJEKATA'!$P$3:$P$499,"=343")</f>
        <v>0</v>
      </c>
      <c r="T18" s="147">
        <f>SUMIFS('Plan rashoda za unos u SAP'!$I$3:$I$480,'Plan rashoda za unos u SAP'!$C$3:$C$480,"=61",'Plan rashoda za unos u SAP'!$M$3:$M$480,"=343")+SUMIFS('ANALITIKA EU PROJEKATA'!$G$3:$G$499,'ANALITIKA EU PROJEKATA'!$A$3:$A$499,"=61",'ANALITIKA EU PROJEKATA'!$P$3:$P$499,"=343")</f>
        <v>0</v>
      </c>
      <c r="U18" s="147">
        <f>SUMIFS('Plan rashoda za unos u SAP'!$I$3:$I$480,'Plan rashoda za unos u SAP'!$C$3:$C$480,"=63",'Plan rashoda za unos u SAP'!$M$3:$M$480,"=343")+SUMIFS('ANALITIKA EU PROJEKATA'!$G$3:$G$499,'ANALITIKA EU PROJEKATA'!$A$3:$A$499,"=63",'ANALITIKA EU PROJEKATA'!$P$3:$P$499,"=343")</f>
        <v>0</v>
      </c>
      <c r="V18" s="147">
        <f>SUMIFS('Plan rashoda za unos u SAP'!$I$3:$I$480,'Plan rashoda za unos u SAP'!$C$3:$C$480,"=71",'Plan rashoda za unos u SAP'!$M$3:$M$480,"=343")+SUMIFS('ANALITIKA EU PROJEKATA'!$G$3:$G$499,'ANALITIKA EU PROJEKATA'!$A$3:$A$499,"=71",'ANALITIKA EU PROJEKATA'!$P$3:$P$499,"=343")</f>
        <v>0</v>
      </c>
      <c r="W18" s="147">
        <f>SUMIFS('Plan rashoda za unos u SAP'!$I$3:$I$480,'Plan rashoda za unos u SAP'!$C$3:$C$480,"=81",'Plan rashoda za unos u SAP'!$M$3:$M$480,"=343")+SUMIFS('ANALITIKA EU PROJEKATA'!$G$3:$G$499,'ANALITIKA EU PROJEKATA'!$A$3:$A$499,"=81",'ANALITIKA EU PROJEKATA'!$P$3:$P$499,"=343")</f>
        <v>0</v>
      </c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129"/>
      <c r="AJ18" s="129"/>
      <c r="AK18" s="129"/>
      <c r="AL18" s="129"/>
      <c r="AM18" s="129"/>
      <c r="AN18" s="129"/>
      <c r="AO18" s="129"/>
      <c r="AP18" s="129"/>
      <c r="AQ18" s="129"/>
    </row>
    <row r="19" spans="1:43" ht="12" customHeight="1">
      <c r="A19" s="131">
        <v>2021</v>
      </c>
      <c r="B19" s="150">
        <v>35</v>
      </c>
      <c r="C19" s="151" t="s">
        <v>3442</v>
      </c>
      <c r="D19" s="108">
        <f t="shared" si="0"/>
        <v>0</v>
      </c>
      <c r="E19" s="142">
        <f t="shared" ref="E19:W19" si="6">SUM(E20:E22)</f>
        <v>0</v>
      </c>
      <c r="F19" s="142">
        <f t="shared" si="6"/>
        <v>0</v>
      </c>
      <c r="G19" s="142">
        <f t="shared" si="6"/>
        <v>0</v>
      </c>
      <c r="H19" s="142">
        <f t="shared" si="6"/>
        <v>0</v>
      </c>
      <c r="I19" s="142">
        <f t="shared" si="6"/>
        <v>0</v>
      </c>
      <c r="J19" s="142">
        <f t="shared" si="6"/>
        <v>0</v>
      </c>
      <c r="K19" s="142">
        <f t="shared" si="6"/>
        <v>0</v>
      </c>
      <c r="L19" s="142">
        <f t="shared" si="6"/>
        <v>0</v>
      </c>
      <c r="M19" s="142">
        <f t="shared" si="6"/>
        <v>0</v>
      </c>
      <c r="N19" s="142">
        <f t="shared" si="6"/>
        <v>0</v>
      </c>
      <c r="O19" s="142">
        <f t="shared" si="6"/>
        <v>0</v>
      </c>
      <c r="P19" s="142">
        <f t="shared" si="6"/>
        <v>0</v>
      </c>
      <c r="Q19" s="142">
        <f t="shared" si="6"/>
        <v>0</v>
      </c>
      <c r="R19" s="142">
        <f t="shared" si="6"/>
        <v>0</v>
      </c>
      <c r="S19" s="142">
        <f t="shared" si="6"/>
        <v>0</v>
      </c>
      <c r="T19" s="142">
        <f t="shared" si="6"/>
        <v>0</v>
      </c>
      <c r="U19" s="142">
        <f t="shared" si="6"/>
        <v>0</v>
      </c>
      <c r="V19" s="142">
        <f t="shared" si="6"/>
        <v>0</v>
      </c>
      <c r="W19" s="142">
        <f t="shared" si="6"/>
        <v>0</v>
      </c>
      <c r="X19" s="152"/>
      <c r="Y19" s="152"/>
      <c r="Z19" s="152"/>
      <c r="AA19" s="152"/>
      <c r="AB19" s="152"/>
      <c r="AC19" s="152"/>
      <c r="AD19" s="152"/>
      <c r="AE19" s="152"/>
      <c r="AF19" s="152"/>
      <c r="AG19" s="152"/>
      <c r="AH19" s="152"/>
      <c r="AI19" s="152"/>
      <c r="AJ19" s="152"/>
      <c r="AK19" s="152"/>
      <c r="AL19" s="152"/>
      <c r="AM19" s="152"/>
      <c r="AN19" s="152"/>
      <c r="AO19" s="152"/>
      <c r="AP19" s="152"/>
      <c r="AQ19" s="152"/>
    </row>
    <row r="20" spans="1:43" ht="12" customHeight="1">
      <c r="A20" s="131">
        <v>2021</v>
      </c>
      <c r="B20" s="145">
        <v>351</v>
      </c>
      <c r="C20" s="145" t="s">
        <v>738</v>
      </c>
      <c r="D20" s="94">
        <f t="shared" si="0"/>
        <v>0</v>
      </c>
      <c r="E20" s="147">
        <f>SUMIFS('Plan rashoda za unos u SAP'!$I$3:$I$480,'Plan rashoda za unos u SAP'!$C$3:$C$480,"=11",'Plan rashoda za unos u SAP'!$M$3:$M$480,"=351")+SUMIFS('ANALITIKA EU PROJEKATA'!$G$3:$G$499,'ANALITIKA EU PROJEKATA'!$A$3:$A$499,"=11",'ANALITIKA EU PROJEKATA'!$P$3:$P$499,"=351")</f>
        <v>0</v>
      </c>
      <c r="F20" s="147">
        <f>SUMIFS('Plan rashoda za unos u SAP'!$I$3:$I$480,'Plan rashoda za unos u SAP'!$C$3:$C$480,"=12",'Plan rashoda za unos u SAP'!$M$3:$M$480,"=351")+SUMIFS('ANALITIKA EU PROJEKATA'!$G$3:$G$499,'ANALITIKA EU PROJEKATA'!$A$3:$A$499,"=12",'ANALITIKA EU PROJEKATA'!$P$3:$P$499,"=351")</f>
        <v>0</v>
      </c>
      <c r="G20" s="147">
        <f>SUMIFS('Plan rashoda za unos u SAP'!$I$3:$I$480,'Plan rashoda za unos u SAP'!$C$3:$C$480,"=31",'Plan rashoda za unos u SAP'!$M$3:$M$480,"=351")+SUMIFS('ANALITIKA EU PROJEKATA'!$G$3:$G$499,'ANALITIKA EU PROJEKATA'!$A$3:$A$499,"=31",'ANALITIKA EU PROJEKATA'!$P$3:$P$499,"=351")</f>
        <v>0</v>
      </c>
      <c r="H20" s="147">
        <f>SUMIFS('Plan rashoda za unos u SAP'!$I$3:$I$480,'Plan rashoda za unos u SAP'!$C$3:$C$480,"=41",'Plan rashoda za unos u SAP'!$M$3:$M$480,"=351")+SUMIFS('ANALITIKA EU PROJEKATA'!$G$3:$G$499,'ANALITIKA EU PROJEKATA'!$A$3:$A$499,"=41",'ANALITIKA EU PROJEKATA'!$P$3:$P$499,"=351")</f>
        <v>0</v>
      </c>
      <c r="I20" s="147">
        <f>SUMIFS('Plan rashoda za unos u SAP'!$I$3:$I$480,'Plan rashoda za unos u SAP'!$C$3:$C$480,"=43",'Plan rashoda za unos u SAP'!$M$3:$M$480,"=351")+SUMIFS('ANALITIKA EU PROJEKATA'!$G$3:$G$499,'ANALITIKA EU PROJEKATA'!$A$3:$A$499,"=43",'ANALITIKA EU PROJEKATA'!$P$3:$P$499,"=351")</f>
        <v>0</v>
      </c>
      <c r="J20" s="147">
        <f>SUMIFS('Plan rashoda za unos u SAP'!$I$3:$I$480,'Plan rashoda za unos u SAP'!$C$3:$C$480,"=51",'Plan rashoda za unos u SAP'!$M$3:$M$480,"=351")+SUMIFS('ANALITIKA EU PROJEKATA'!$G$3:$G$499,'ANALITIKA EU PROJEKATA'!$A$3:$A$499,"=51",'ANALITIKA EU PROJEKATA'!$P$3:$P$499,"=351")</f>
        <v>0</v>
      </c>
      <c r="K20" s="147">
        <f>SUMIFS('Plan rashoda za unos u SAP'!$I$3:$I$480,'Plan rashoda za unos u SAP'!$C$3:$C$480,"=52",'Plan rashoda za unos u SAP'!$M$3:$M$480,"=351")+SUMIFS('ANALITIKA EU PROJEKATA'!$G$3:$G$499,'ANALITIKA EU PROJEKATA'!$A$3:$A$499,"=52",'ANALITIKA EU PROJEKATA'!$P$3:$P$499,"=351")</f>
        <v>0</v>
      </c>
      <c r="L20" s="147">
        <f>SUMIFS('Plan rashoda za unos u SAP'!$I$3:$I$480,'Plan rashoda za unos u SAP'!$C$3:$C$480,"=552",'Plan rashoda za unos u SAP'!$M$3:$M$480,"=351")+SUMIFS('ANALITIKA EU PROJEKATA'!$G$3:$G$499,'ANALITIKA EU PROJEKATA'!$A$3:$A$499,"=552",'ANALITIKA EU PROJEKATA'!$P$3:$P$499,"=351")</f>
        <v>0</v>
      </c>
      <c r="M20" s="147">
        <f>SUMIFS('Plan rashoda za unos u SAP'!$I$3:$I$480,'Plan rashoda za unos u SAP'!$C$3:$C$480,"=559",'Plan rashoda za unos u SAP'!$M$3:$M$480,"=351")+SUMIFS('ANALITIKA EU PROJEKATA'!$G$3:$G$499,'ANALITIKA EU PROJEKATA'!$A$3:$A$499,"=559",'ANALITIKA EU PROJEKATA'!$P$3:$P$499,"=351")</f>
        <v>0</v>
      </c>
      <c r="N20" s="147">
        <f>SUMIFS('Plan rashoda za unos u SAP'!$I$3:$I$480,'Plan rashoda za unos u SAP'!$C$3:$C$480,"=561",'Plan rashoda za unos u SAP'!$M$3:$M$480,"=351")+SUMIFS('ANALITIKA EU PROJEKATA'!$G$3:$G$499,'ANALITIKA EU PROJEKATA'!$A$3:$A$499,"=561",'ANALITIKA EU PROJEKATA'!$P$3:$P$499,"=351")</f>
        <v>0</v>
      </c>
      <c r="O20" s="147">
        <f>SUMIFS('Plan rashoda za unos u SAP'!$I$3:$I$480,'Plan rashoda za unos u SAP'!$C$3:$C$480,"=563",'Plan rashoda za unos u SAP'!$M$3:$M$480,"=351")+SUMIFS('ANALITIKA EU PROJEKATA'!$G$3:$G$499,'ANALITIKA EU PROJEKATA'!$A$3:$A$499,"=563",'ANALITIKA EU PROJEKATA'!$P$3:$P$499,"=351")</f>
        <v>0</v>
      </c>
      <c r="P20" s="147">
        <f>SUMIFS('Plan rashoda za unos u SAP'!$I$3:$I$480,'Plan rashoda za unos u SAP'!$C$3:$C$480,"=573",'Plan rashoda za unos u SAP'!$M$3:$M$480,"=351")+SUMIFS('ANALITIKA EU PROJEKATA'!$G$3:$G$499,'ANALITIKA EU PROJEKATA'!$A$3:$A$499,"=573",'ANALITIKA EU PROJEKATA'!$P$3:$P$499,"=351")</f>
        <v>0</v>
      </c>
      <c r="Q20" s="147">
        <f>SUMIFS('Plan rashoda za unos u SAP'!$I$3:$I$480,'Plan rashoda za unos u SAP'!$C$3:$C$480,"=575",'Plan rashoda za unos u SAP'!$M$3:$M$480,"=351")+SUMIFS('ANALITIKA EU PROJEKATA'!$G$3:$G$499,'ANALITIKA EU PROJEKATA'!$A$3:$A$499,"=575",'ANALITIKA EU PROJEKATA'!$P$3:$P$499,"=351")</f>
        <v>0</v>
      </c>
      <c r="R20" s="147">
        <f>SUMIFS('Plan rashoda za unos u SAP'!$I$3:$I$480,'Plan rashoda za unos u SAP'!$C$3:$C$480,"=576",'Plan rashoda za unos u SAP'!$M$3:$M$480,"=351")+SUMIFS('ANALITIKA EU PROJEKATA'!$G$3:$G$499,'ANALITIKA EU PROJEKATA'!$A$3:$A$499,"=576",'ANALITIKA EU PROJEKATA'!$P$3:$P$499,"=351")</f>
        <v>0</v>
      </c>
      <c r="S20" s="147">
        <f>SUMIFS('Plan rashoda za unos u SAP'!$I$3:$I$480,'Plan rashoda za unos u SAP'!$C$3:$C$480,"=581",'Plan rashoda za unos u SAP'!$M$3:$M$480,"=351")+SUMIFS('ANALITIKA EU PROJEKATA'!$G$3:$G$499,'ANALITIKA EU PROJEKATA'!$A$3:$A$499,"=581",'ANALITIKA EU PROJEKATA'!$P$3:$P$499,"=351")</f>
        <v>0</v>
      </c>
      <c r="T20" s="147">
        <f>SUMIFS('Plan rashoda za unos u SAP'!$I$3:$I$480,'Plan rashoda za unos u SAP'!$C$3:$C$480,"=61",'Plan rashoda za unos u SAP'!$M$3:$M$480,"=351")+SUMIFS('ANALITIKA EU PROJEKATA'!$G$3:$G$499,'ANALITIKA EU PROJEKATA'!$A$3:$A$499,"=61",'ANALITIKA EU PROJEKATA'!$P$3:$P$499,"=351")</f>
        <v>0</v>
      </c>
      <c r="U20" s="147">
        <f>SUMIFS('Plan rashoda za unos u SAP'!$I$3:$I$480,'Plan rashoda za unos u SAP'!$C$3:$C$480,"=63",'Plan rashoda za unos u SAP'!$M$3:$M$480,"=351")+SUMIFS('ANALITIKA EU PROJEKATA'!$G$3:$G$499,'ANALITIKA EU PROJEKATA'!$A$3:$A$499,"=63",'ANALITIKA EU PROJEKATA'!$P$3:$P$499,"=351")</f>
        <v>0</v>
      </c>
      <c r="V20" s="147">
        <f>SUMIFS('Plan rashoda za unos u SAP'!$I$3:$I$480,'Plan rashoda za unos u SAP'!$C$3:$C$480,"=71",'Plan rashoda za unos u SAP'!$M$3:$M$480,"=351")+SUMIFS('ANALITIKA EU PROJEKATA'!$G$3:$G$499,'ANALITIKA EU PROJEKATA'!$A$3:$A$499,"=71",'ANALITIKA EU PROJEKATA'!$P$3:$P$499,"=351")</f>
        <v>0</v>
      </c>
      <c r="W20" s="147">
        <f>SUMIFS('Plan rashoda za unos u SAP'!$I$3:$I$480,'Plan rashoda za unos u SAP'!$C$3:$C$480,"=81",'Plan rashoda za unos u SAP'!$M$3:$M$480,"=351")+SUMIFS('ANALITIKA EU PROJEKATA'!$G$3:$G$499,'ANALITIKA EU PROJEKATA'!$A$3:$A$499,"=81",'ANALITIKA EU PROJEKATA'!$P$3:$P$499,"=351")</f>
        <v>0</v>
      </c>
      <c r="X20" s="129"/>
      <c r="Y20" s="129"/>
      <c r="Z20" s="129"/>
      <c r="AA20" s="129"/>
      <c r="AB20" s="129"/>
      <c r="AC20" s="129"/>
      <c r="AD20" s="129"/>
      <c r="AE20" s="129"/>
      <c r="AF20" s="129"/>
      <c r="AG20" s="129"/>
      <c r="AH20" s="129"/>
      <c r="AI20" s="129"/>
      <c r="AJ20" s="129"/>
      <c r="AK20" s="129"/>
      <c r="AL20" s="129"/>
      <c r="AM20" s="129"/>
      <c r="AN20" s="129"/>
      <c r="AO20" s="129"/>
      <c r="AP20" s="129"/>
      <c r="AQ20" s="129"/>
    </row>
    <row r="21" spans="1:43" ht="12" customHeight="1">
      <c r="A21" s="131">
        <v>2021</v>
      </c>
      <c r="B21" s="148">
        <v>352</v>
      </c>
      <c r="C21" s="149" t="s">
        <v>3443</v>
      </c>
      <c r="D21" s="94">
        <f t="shared" si="0"/>
        <v>0</v>
      </c>
      <c r="E21" s="147">
        <f>SUMIFS('Plan rashoda za unos u SAP'!$I$3:$I$480,'Plan rashoda za unos u SAP'!$C$3:$C$480,"=11",'Plan rashoda za unos u SAP'!$M$3:$M$480,"=352")+SUMIFS('ANALITIKA EU PROJEKATA'!$G$3:$G$499,'ANALITIKA EU PROJEKATA'!$A$3:$A$499,"=11",'ANALITIKA EU PROJEKATA'!$P$3:$P$499,"=352")</f>
        <v>0</v>
      </c>
      <c r="F21" s="147">
        <f>SUMIFS('Plan rashoda za unos u SAP'!$I$3:$I$480,'Plan rashoda za unos u SAP'!$C$3:$C$480,"=12",'Plan rashoda za unos u SAP'!$M$3:$M$480,"=352")+SUMIFS('ANALITIKA EU PROJEKATA'!$G$3:$G$499,'ANALITIKA EU PROJEKATA'!$A$3:$A$499,"=12",'ANALITIKA EU PROJEKATA'!$P$3:$P$499,"=352")</f>
        <v>0</v>
      </c>
      <c r="G21" s="147">
        <f>SUMIFS('Plan rashoda za unos u SAP'!$I$3:$I$480,'Plan rashoda za unos u SAP'!$C$3:$C$480,"=31",'Plan rashoda za unos u SAP'!$M$3:$M$480,"=352")+SUMIFS('ANALITIKA EU PROJEKATA'!$G$3:$G$499,'ANALITIKA EU PROJEKATA'!$A$3:$A$499,"=31",'ANALITIKA EU PROJEKATA'!$P$3:$P$499,"=352")</f>
        <v>0</v>
      </c>
      <c r="H21" s="147">
        <f>SUMIFS('Plan rashoda za unos u SAP'!$I$3:$I$480,'Plan rashoda za unos u SAP'!$C$3:$C$480,"=41",'Plan rashoda za unos u SAP'!$M$3:$M$480,"=352")+SUMIFS('ANALITIKA EU PROJEKATA'!$G$3:$G$499,'ANALITIKA EU PROJEKATA'!$A$3:$A$499,"=41",'ANALITIKA EU PROJEKATA'!$P$3:$P$499,"=352")</f>
        <v>0</v>
      </c>
      <c r="I21" s="147">
        <f>SUMIFS('Plan rashoda za unos u SAP'!$I$3:$I$480,'Plan rashoda za unos u SAP'!$C$3:$C$480,"=43",'Plan rashoda za unos u SAP'!$M$3:$M$480,"=352")+SUMIFS('ANALITIKA EU PROJEKATA'!$G$3:$G$499,'ANALITIKA EU PROJEKATA'!$A$3:$A$499,"=43",'ANALITIKA EU PROJEKATA'!$P$3:$P$499,"=352")</f>
        <v>0</v>
      </c>
      <c r="J21" s="147">
        <f>SUMIFS('Plan rashoda za unos u SAP'!$I$3:$I$480,'Plan rashoda za unos u SAP'!$C$3:$C$480,"=51",'Plan rashoda za unos u SAP'!$M$3:$M$480,"=352")+SUMIFS('ANALITIKA EU PROJEKATA'!$G$3:$G$499,'ANALITIKA EU PROJEKATA'!$A$3:$A$499,"=51",'ANALITIKA EU PROJEKATA'!$P$3:$P$499,"=352")</f>
        <v>0</v>
      </c>
      <c r="K21" s="147">
        <f>SUMIFS('Plan rashoda za unos u SAP'!$I$3:$I$480,'Plan rashoda za unos u SAP'!$C$3:$C$480,"=52",'Plan rashoda za unos u SAP'!$M$3:$M$480,"=352")+SUMIFS('ANALITIKA EU PROJEKATA'!$G$3:$G$499,'ANALITIKA EU PROJEKATA'!$A$3:$A$499,"=52",'ANALITIKA EU PROJEKATA'!$P$3:$P$499,"=352")</f>
        <v>0</v>
      </c>
      <c r="L21" s="147">
        <f>SUMIFS('Plan rashoda za unos u SAP'!$I$3:$I$480,'Plan rashoda za unos u SAP'!$C$3:$C$480,"=552",'Plan rashoda za unos u SAP'!$M$3:$M$480,"=352")+SUMIFS('ANALITIKA EU PROJEKATA'!$G$3:$G$499,'ANALITIKA EU PROJEKATA'!$A$3:$A$499,"=552",'ANALITIKA EU PROJEKATA'!$P$3:$P$499,"=352")</f>
        <v>0</v>
      </c>
      <c r="M21" s="147">
        <f>SUMIFS('Plan rashoda za unos u SAP'!$I$3:$I$480,'Plan rashoda za unos u SAP'!$C$3:$C$480,"=559",'Plan rashoda za unos u SAP'!$M$3:$M$480,"=352")+SUMIFS('ANALITIKA EU PROJEKATA'!$G$3:$G$499,'ANALITIKA EU PROJEKATA'!$A$3:$A$499,"=559",'ANALITIKA EU PROJEKATA'!$P$3:$P$499,"=352")</f>
        <v>0</v>
      </c>
      <c r="N21" s="147">
        <f>SUMIFS('Plan rashoda za unos u SAP'!$I$3:$I$480,'Plan rashoda za unos u SAP'!$C$3:$C$480,"=561",'Plan rashoda za unos u SAP'!$M$3:$M$480,"=352")+SUMIFS('ANALITIKA EU PROJEKATA'!$G$3:$G$499,'ANALITIKA EU PROJEKATA'!$A$3:$A$499,"=561",'ANALITIKA EU PROJEKATA'!$P$3:$P$499,"=352")</f>
        <v>0</v>
      </c>
      <c r="O21" s="147">
        <f>SUMIFS('Plan rashoda za unos u SAP'!$I$3:$I$480,'Plan rashoda za unos u SAP'!$C$3:$C$480,"=563",'Plan rashoda za unos u SAP'!$M$3:$M$480,"=352")+SUMIFS('ANALITIKA EU PROJEKATA'!$G$3:$G$499,'ANALITIKA EU PROJEKATA'!$A$3:$A$499,"=563",'ANALITIKA EU PROJEKATA'!$P$3:$P$499,"=352")</f>
        <v>0</v>
      </c>
      <c r="P21" s="147">
        <f>SUMIFS('Plan rashoda za unos u SAP'!$I$3:$I$480,'Plan rashoda za unos u SAP'!$C$3:$C$480,"=573",'Plan rashoda za unos u SAP'!$M$3:$M$480,"=352")+SUMIFS('ANALITIKA EU PROJEKATA'!$G$3:$G$499,'ANALITIKA EU PROJEKATA'!$A$3:$A$499,"=573",'ANALITIKA EU PROJEKATA'!$P$3:$P$499,"=352")</f>
        <v>0</v>
      </c>
      <c r="Q21" s="147">
        <f>SUMIFS('Plan rashoda za unos u SAP'!$I$3:$I$480,'Plan rashoda za unos u SAP'!$C$3:$C$480,"=575",'Plan rashoda za unos u SAP'!$M$3:$M$480,"=352")+SUMIFS('ANALITIKA EU PROJEKATA'!$G$3:$G$499,'ANALITIKA EU PROJEKATA'!$A$3:$A$499,"=575",'ANALITIKA EU PROJEKATA'!$P$3:$P$499,"=352")</f>
        <v>0</v>
      </c>
      <c r="R21" s="147">
        <f>SUMIFS('Plan rashoda za unos u SAP'!$I$3:$I$480,'Plan rashoda za unos u SAP'!$C$3:$C$480,"=576",'Plan rashoda za unos u SAP'!$M$3:$M$480,"=352")+SUMIFS('ANALITIKA EU PROJEKATA'!$G$3:$G$499,'ANALITIKA EU PROJEKATA'!$A$3:$A$499,"=576",'ANALITIKA EU PROJEKATA'!$P$3:$P$499,"=352")</f>
        <v>0</v>
      </c>
      <c r="S21" s="147">
        <f>SUMIFS('Plan rashoda za unos u SAP'!$I$3:$I$480,'Plan rashoda za unos u SAP'!$C$3:$C$480,"=581",'Plan rashoda za unos u SAP'!$M$3:$M$480,"=352")+SUMIFS('ANALITIKA EU PROJEKATA'!$G$3:$G$499,'ANALITIKA EU PROJEKATA'!$A$3:$A$499,"=581",'ANALITIKA EU PROJEKATA'!$P$3:$P$499,"=352")</f>
        <v>0</v>
      </c>
      <c r="T21" s="147">
        <f>SUMIFS('Plan rashoda za unos u SAP'!$I$3:$I$480,'Plan rashoda za unos u SAP'!$C$3:$C$480,"=61",'Plan rashoda za unos u SAP'!$M$3:$M$480,"=352")+SUMIFS('ANALITIKA EU PROJEKATA'!$G$3:$G$499,'ANALITIKA EU PROJEKATA'!$A$3:$A$499,"=61",'ANALITIKA EU PROJEKATA'!$P$3:$P$499,"=352")</f>
        <v>0</v>
      </c>
      <c r="U21" s="147">
        <f>SUMIFS('Plan rashoda za unos u SAP'!$I$3:$I$480,'Plan rashoda za unos u SAP'!$C$3:$C$480,"=63",'Plan rashoda za unos u SAP'!$M$3:$M$480,"=352")+SUMIFS('ANALITIKA EU PROJEKATA'!$G$3:$G$499,'ANALITIKA EU PROJEKATA'!$A$3:$A$499,"=63",'ANALITIKA EU PROJEKATA'!$P$3:$P$499,"=352")</f>
        <v>0</v>
      </c>
      <c r="V21" s="147">
        <f>SUMIFS('Plan rashoda za unos u SAP'!$I$3:$I$480,'Plan rashoda za unos u SAP'!$C$3:$C$480,"=71",'Plan rashoda za unos u SAP'!$M$3:$M$480,"=352")+SUMIFS('ANALITIKA EU PROJEKATA'!$G$3:$G$499,'ANALITIKA EU PROJEKATA'!$A$3:$A$499,"=71",'ANALITIKA EU PROJEKATA'!$P$3:$P$499,"=352")</f>
        <v>0</v>
      </c>
      <c r="W21" s="147">
        <f>SUMIFS('Plan rashoda za unos u SAP'!$I$3:$I$480,'Plan rashoda za unos u SAP'!$C$3:$C$480,"=81",'Plan rashoda za unos u SAP'!$M$3:$M$480,"=352")+SUMIFS('ANALITIKA EU PROJEKATA'!$G$3:$G$499,'ANALITIKA EU PROJEKATA'!$A$3:$A$499,"=81",'ANALITIKA EU PROJEKATA'!$P$3:$P$499,"=352")</f>
        <v>0</v>
      </c>
      <c r="X21" s="129"/>
      <c r="Y21" s="129"/>
      <c r="Z21" s="129"/>
      <c r="AA21" s="129"/>
      <c r="AB21" s="129"/>
      <c r="AC21" s="129"/>
      <c r="AD21" s="129"/>
      <c r="AE21" s="129"/>
      <c r="AF21" s="129"/>
      <c r="AG21" s="129"/>
      <c r="AH21" s="129"/>
      <c r="AI21" s="129"/>
      <c r="AJ21" s="129"/>
      <c r="AK21" s="129"/>
      <c r="AL21" s="129"/>
      <c r="AM21" s="129"/>
      <c r="AN21" s="129"/>
      <c r="AO21" s="129"/>
      <c r="AP21" s="129"/>
      <c r="AQ21" s="129"/>
    </row>
    <row r="22" spans="1:43" ht="12" customHeight="1">
      <c r="A22" s="131">
        <v>2021</v>
      </c>
      <c r="B22" s="148">
        <v>353</v>
      </c>
      <c r="C22" s="149" t="s">
        <v>3444</v>
      </c>
      <c r="D22" s="94">
        <f t="shared" si="0"/>
        <v>0</v>
      </c>
      <c r="E22" s="147">
        <f>SUMIFS('Plan rashoda za unos u SAP'!$I$3:$I$480,'Plan rashoda za unos u SAP'!$C$3:$C$480,"=11",'Plan rashoda za unos u SAP'!$M$3:$M$480,"=353")+SUMIFS('ANALITIKA EU PROJEKATA'!$G$3:$G$499,'ANALITIKA EU PROJEKATA'!$A$3:$A$499,"=11",'ANALITIKA EU PROJEKATA'!$P$3:$P$499,"=353")</f>
        <v>0</v>
      </c>
      <c r="F22" s="147">
        <f>SUMIFS('Plan rashoda za unos u SAP'!$I$3:$I$480,'Plan rashoda za unos u SAP'!$C$3:$C$480,"=12",'Plan rashoda za unos u SAP'!$M$3:$M$480,"=353")+SUMIFS('ANALITIKA EU PROJEKATA'!$G$3:$G$499,'ANALITIKA EU PROJEKATA'!$A$3:$A$499,"=12",'ANALITIKA EU PROJEKATA'!$P$3:$P$499,"=353")</f>
        <v>0</v>
      </c>
      <c r="G22" s="147">
        <f>SUMIFS('Plan rashoda za unos u SAP'!$I$3:$I$480,'Plan rashoda za unos u SAP'!$C$3:$C$480,"=31",'Plan rashoda za unos u SAP'!$M$3:$M$480,"=353")+SUMIFS('ANALITIKA EU PROJEKATA'!$G$3:$G$499,'ANALITIKA EU PROJEKATA'!$A$3:$A$499,"=31",'ANALITIKA EU PROJEKATA'!$P$3:$P$499,"=353")</f>
        <v>0</v>
      </c>
      <c r="H22" s="147">
        <f>SUMIFS('Plan rashoda za unos u SAP'!$I$3:$I$480,'Plan rashoda za unos u SAP'!$C$3:$C$480,"=41",'Plan rashoda za unos u SAP'!$M$3:$M$480,"=353")+SUMIFS('ANALITIKA EU PROJEKATA'!$G$3:$G$499,'ANALITIKA EU PROJEKATA'!$A$3:$A$499,"=41",'ANALITIKA EU PROJEKATA'!$P$3:$P$499,"=353")</f>
        <v>0</v>
      </c>
      <c r="I22" s="147">
        <f>SUMIFS('Plan rashoda za unos u SAP'!$I$3:$I$480,'Plan rashoda za unos u SAP'!$C$3:$C$480,"=43",'Plan rashoda za unos u SAP'!$M$3:$M$480,"=353")+SUMIFS('ANALITIKA EU PROJEKATA'!$G$3:$G$499,'ANALITIKA EU PROJEKATA'!$A$3:$A$499,"=43",'ANALITIKA EU PROJEKATA'!$P$3:$P$499,"=353")</f>
        <v>0</v>
      </c>
      <c r="J22" s="147">
        <f>SUMIFS('Plan rashoda za unos u SAP'!$I$3:$I$480,'Plan rashoda za unos u SAP'!$C$3:$C$480,"=51",'Plan rashoda za unos u SAP'!$M$3:$M$480,"=353")+SUMIFS('ANALITIKA EU PROJEKATA'!$G$3:$G$499,'ANALITIKA EU PROJEKATA'!$A$3:$A$499,"=51",'ANALITIKA EU PROJEKATA'!$P$3:$P$499,"=353")</f>
        <v>0</v>
      </c>
      <c r="K22" s="147">
        <f>SUMIFS('Plan rashoda za unos u SAP'!$I$3:$I$480,'Plan rashoda za unos u SAP'!$C$3:$C$480,"=52",'Plan rashoda za unos u SAP'!$M$3:$M$480,"=353")+SUMIFS('ANALITIKA EU PROJEKATA'!$G$3:$G$499,'ANALITIKA EU PROJEKATA'!$A$3:$A$499,"=52",'ANALITIKA EU PROJEKATA'!$P$3:$P$499,"=353")</f>
        <v>0</v>
      </c>
      <c r="L22" s="147">
        <f>SUMIFS('Plan rashoda za unos u SAP'!$I$3:$I$480,'Plan rashoda za unos u SAP'!$C$3:$C$480,"=552",'Plan rashoda za unos u SAP'!$M$3:$M$480,"=353")+SUMIFS('ANALITIKA EU PROJEKATA'!$G$3:$G$499,'ANALITIKA EU PROJEKATA'!$A$3:$A$499,"=552",'ANALITIKA EU PROJEKATA'!$P$3:$P$499,"=353")</f>
        <v>0</v>
      </c>
      <c r="M22" s="147">
        <f>SUMIFS('Plan rashoda za unos u SAP'!$I$3:$I$480,'Plan rashoda za unos u SAP'!$C$3:$C$480,"=559",'Plan rashoda za unos u SAP'!$M$3:$M$480,"=353")+SUMIFS('ANALITIKA EU PROJEKATA'!$G$3:$G$499,'ANALITIKA EU PROJEKATA'!$A$3:$A$499,"=559",'ANALITIKA EU PROJEKATA'!$P$3:$P$499,"=353")</f>
        <v>0</v>
      </c>
      <c r="N22" s="147">
        <f>SUMIFS('Plan rashoda za unos u SAP'!$I$3:$I$480,'Plan rashoda za unos u SAP'!$C$3:$C$480,"=561",'Plan rashoda za unos u SAP'!$M$3:$M$480,"=353")+SUMIFS('ANALITIKA EU PROJEKATA'!$G$3:$G$499,'ANALITIKA EU PROJEKATA'!$A$3:$A$499,"=561",'ANALITIKA EU PROJEKATA'!$P$3:$P$499,"=353")</f>
        <v>0</v>
      </c>
      <c r="O22" s="147">
        <f>SUMIFS('Plan rashoda za unos u SAP'!$I$3:$I$480,'Plan rashoda za unos u SAP'!$C$3:$C$480,"=563",'Plan rashoda za unos u SAP'!$M$3:$M$480,"=353")+SUMIFS('ANALITIKA EU PROJEKATA'!$G$3:$G$499,'ANALITIKA EU PROJEKATA'!$A$3:$A$499,"=563",'ANALITIKA EU PROJEKATA'!$P$3:$P$499,"=353")</f>
        <v>0</v>
      </c>
      <c r="P22" s="147">
        <f>SUMIFS('Plan rashoda za unos u SAP'!$I$3:$I$480,'Plan rashoda za unos u SAP'!$C$3:$C$480,"=573",'Plan rashoda za unos u SAP'!$M$3:$M$480,"=353")+SUMIFS('ANALITIKA EU PROJEKATA'!$G$3:$G$499,'ANALITIKA EU PROJEKATA'!$A$3:$A$499,"=573",'ANALITIKA EU PROJEKATA'!$P$3:$P$499,"=353")</f>
        <v>0</v>
      </c>
      <c r="Q22" s="147">
        <f>SUMIFS('Plan rashoda za unos u SAP'!$I$3:$I$480,'Plan rashoda za unos u SAP'!$C$3:$C$480,"=575",'Plan rashoda za unos u SAP'!$M$3:$M$480,"=353")+SUMIFS('ANALITIKA EU PROJEKATA'!$G$3:$G$499,'ANALITIKA EU PROJEKATA'!$A$3:$A$499,"=575",'ANALITIKA EU PROJEKATA'!$P$3:$P$499,"=353")</f>
        <v>0</v>
      </c>
      <c r="R22" s="147">
        <f>SUMIFS('Plan rashoda za unos u SAP'!$I$3:$I$480,'Plan rashoda za unos u SAP'!$C$3:$C$480,"=576",'Plan rashoda za unos u SAP'!$M$3:$M$480,"=353")+SUMIFS('ANALITIKA EU PROJEKATA'!$G$3:$G$499,'ANALITIKA EU PROJEKATA'!$A$3:$A$499,"=576",'ANALITIKA EU PROJEKATA'!$P$3:$P$499,"=353")</f>
        <v>0</v>
      </c>
      <c r="S22" s="147">
        <f>SUMIFS('Plan rashoda za unos u SAP'!$I$3:$I$480,'Plan rashoda za unos u SAP'!$C$3:$C$480,"=581",'Plan rashoda za unos u SAP'!$M$3:$M$480,"=353")+SUMIFS('ANALITIKA EU PROJEKATA'!$G$3:$G$499,'ANALITIKA EU PROJEKATA'!$A$3:$A$499,"=581",'ANALITIKA EU PROJEKATA'!$P$3:$P$499,"=353")</f>
        <v>0</v>
      </c>
      <c r="T22" s="147">
        <f>SUMIFS('Plan rashoda za unos u SAP'!$I$3:$I$480,'Plan rashoda za unos u SAP'!$C$3:$C$480,"=61",'Plan rashoda za unos u SAP'!$M$3:$M$480,"=353")+SUMIFS('ANALITIKA EU PROJEKATA'!$G$3:$G$499,'ANALITIKA EU PROJEKATA'!$A$3:$A$499,"=61",'ANALITIKA EU PROJEKATA'!$P$3:$P$499,"=353")</f>
        <v>0</v>
      </c>
      <c r="U22" s="147">
        <f>SUMIFS('Plan rashoda za unos u SAP'!$I$3:$I$480,'Plan rashoda za unos u SAP'!$C$3:$C$480,"=63",'Plan rashoda za unos u SAP'!$M$3:$M$480,"=353")+SUMIFS('ANALITIKA EU PROJEKATA'!$G$3:$G$499,'ANALITIKA EU PROJEKATA'!$A$3:$A$499,"=63",'ANALITIKA EU PROJEKATA'!$P$3:$P$499,"=353")</f>
        <v>0</v>
      </c>
      <c r="V22" s="147">
        <f>SUMIFS('Plan rashoda za unos u SAP'!$I$3:$I$480,'Plan rashoda za unos u SAP'!$C$3:$C$480,"=71",'Plan rashoda za unos u SAP'!$M$3:$M$480,"=353")+SUMIFS('ANALITIKA EU PROJEKATA'!$G$3:$G$499,'ANALITIKA EU PROJEKATA'!$A$3:$A$499,"=71",'ANALITIKA EU PROJEKATA'!$P$3:$P$499,"=353")</f>
        <v>0</v>
      </c>
      <c r="W22" s="147">
        <f>SUMIFS('Plan rashoda za unos u SAP'!$I$3:$I$480,'Plan rashoda za unos u SAP'!$C$3:$C$480,"=81",'Plan rashoda za unos u SAP'!$M$3:$M$480,"=353")+SUMIFS('ANALITIKA EU PROJEKATA'!$G$3:$G$499,'ANALITIKA EU PROJEKATA'!$A$3:$A$499,"=81",'ANALITIKA EU PROJEKATA'!$P$3:$P$499,"=353")</f>
        <v>0</v>
      </c>
      <c r="X22" s="129"/>
      <c r="Y22" s="129"/>
      <c r="Z22" s="129"/>
      <c r="AA22" s="129"/>
      <c r="AB22" s="129"/>
      <c r="AC22" s="129"/>
      <c r="AD22" s="129"/>
      <c r="AE22" s="129"/>
      <c r="AF22" s="129"/>
      <c r="AG22" s="129"/>
      <c r="AH22" s="129"/>
      <c r="AI22" s="129"/>
      <c r="AJ22" s="129"/>
      <c r="AK22" s="129"/>
      <c r="AL22" s="129"/>
      <c r="AM22" s="129"/>
      <c r="AN22" s="129"/>
      <c r="AO22" s="129"/>
      <c r="AP22" s="129"/>
      <c r="AQ22" s="129"/>
    </row>
    <row r="23" spans="1:43" ht="12" customHeight="1">
      <c r="A23" s="131">
        <v>2021</v>
      </c>
      <c r="B23" s="150">
        <v>36</v>
      </c>
      <c r="C23" s="155" t="s">
        <v>3445</v>
      </c>
      <c r="D23" s="108">
        <f t="shared" si="0"/>
        <v>0</v>
      </c>
      <c r="E23" s="142">
        <f t="shared" ref="E23:W23" si="7">SUM(E24:E29)</f>
        <v>0</v>
      </c>
      <c r="F23" s="142">
        <f t="shared" si="7"/>
        <v>0</v>
      </c>
      <c r="G23" s="142">
        <f t="shared" si="7"/>
        <v>0</v>
      </c>
      <c r="H23" s="142">
        <f t="shared" si="7"/>
        <v>0</v>
      </c>
      <c r="I23" s="142">
        <f t="shared" si="7"/>
        <v>0</v>
      </c>
      <c r="J23" s="142">
        <f t="shared" si="7"/>
        <v>0</v>
      </c>
      <c r="K23" s="142">
        <f t="shared" si="7"/>
        <v>0</v>
      </c>
      <c r="L23" s="142">
        <f t="shared" si="7"/>
        <v>0</v>
      </c>
      <c r="M23" s="142">
        <f t="shared" si="7"/>
        <v>0</v>
      </c>
      <c r="N23" s="142">
        <f t="shared" si="7"/>
        <v>0</v>
      </c>
      <c r="O23" s="142">
        <f t="shared" si="7"/>
        <v>0</v>
      </c>
      <c r="P23" s="142">
        <f t="shared" si="7"/>
        <v>0</v>
      </c>
      <c r="Q23" s="142">
        <f t="shared" si="7"/>
        <v>0</v>
      </c>
      <c r="R23" s="142">
        <f t="shared" si="7"/>
        <v>0</v>
      </c>
      <c r="S23" s="142">
        <f t="shared" si="7"/>
        <v>0</v>
      </c>
      <c r="T23" s="142">
        <f t="shared" si="7"/>
        <v>0</v>
      </c>
      <c r="U23" s="142">
        <f t="shared" si="7"/>
        <v>0</v>
      </c>
      <c r="V23" s="142">
        <f t="shared" si="7"/>
        <v>0</v>
      </c>
      <c r="W23" s="142">
        <f t="shared" si="7"/>
        <v>0</v>
      </c>
      <c r="X23" s="152"/>
      <c r="Y23" s="152"/>
      <c r="Z23" s="152"/>
      <c r="AA23" s="152"/>
      <c r="AB23" s="152"/>
      <c r="AC23" s="152"/>
      <c r="AD23" s="152"/>
      <c r="AE23" s="152"/>
      <c r="AF23" s="152"/>
      <c r="AG23" s="152"/>
      <c r="AH23" s="152"/>
      <c r="AI23" s="152"/>
      <c r="AJ23" s="152"/>
      <c r="AK23" s="152"/>
      <c r="AL23" s="152"/>
      <c r="AM23" s="152"/>
      <c r="AN23" s="152"/>
      <c r="AO23" s="152"/>
      <c r="AP23" s="152"/>
      <c r="AQ23" s="152"/>
    </row>
    <row r="24" spans="1:43" ht="12" customHeight="1">
      <c r="A24" s="131">
        <v>2021</v>
      </c>
      <c r="B24" s="148">
        <v>361</v>
      </c>
      <c r="C24" s="148" t="s">
        <v>3446</v>
      </c>
      <c r="D24" s="94">
        <f t="shared" si="0"/>
        <v>0</v>
      </c>
      <c r="E24" s="147">
        <f>SUMIFS('Plan rashoda za unos u SAP'!$I$3:$I$480,'Plan rashoda za unos u SAP'!$C$3:$C$480,"=11",'Plan rashoda za unos u SAP'!$M$3:$M$480,"=361")+SUMIFS('ANALITIKA EU PROJEKATA'!$G$3:$G$499,'ANALITIKA EU PROJEKATA'!$A$3:$A$499,"=11",'ANALITIKA EU PROJEKATA'!$P$3:$P$499,"=361")</f>
        <v>0</v>
      </c>
      <c r="F24" s="147">
        <f>SUMIFS('Plan rashoda za unos u SAP'!$I$3:$I$480,'Plan rashoda za unos u SAP'!$C$3:$C$480,"=12",'Plan rashoda za unos u SAP'!$M$3:$M$480,"=361")+SUMIFS('ANALITIKA EU PROJEKATA'!$G$3:$G$499,'ANALITIKA EU PROJEKATA'!$A$3:$A$499,"=12",'ANALITIKA EU PROJEKATA'!$P$3:$P$499,"=361")</f>
        <v>0</v>
      </c>
      <c r="G24" s="147">
        <f>SUMIFS('Plan rashoda za unos u SAP'!$I$3:$I$480,'Plan rashoda za unos u SAP'!$C$3:$C$480,"=31",'Plan rashoda za unos u SAP'!$M$3:$M$480,"=361")+SUMIFS('ANALITIKA EU PROJEKATA'!$G$3:$G$499,'ANALITIKA EU PROJEKATA'!$A$3:$A$499,"=31",'ANALITIKA EU PROJEKATA'!$P$3:$P$499,"=361")</f>
        <v>0</v>
      </c>
      <c r="H24" s="147">
        <f>SUMIFS('Plan rashoda za unos u SAP'!$I$3:$I$480,'Plan rashoda za unos u SAP'!$C$3:$C$480,"=41",'Plan rashoda za unos u SAP'!$M$3:$M$480,"=361")+SUMIFS('ANALITIKA EU PROJEKATA'!$G$3:$G$499,'ANALITIKA EU PROJEKATA'!$A$3:$A$499,"=41",'ANALITIKA EU PROJEKATA'!$P$3:$P$499,"=361")</f>
        <v>0</v>
      </c>
      <c r="I24" s="147">
        <f>SUMIFS('Plan rashoda za unos u SAP'!$I$3:$I$480,'Plan rashoda za unos u SAP'!$C$3:$C$480,"=43",'Plan rashoda za unos u SAP'!$M$3:$M$480,"=361")+SUMIFS('ANALITIKA EU PROJEKATA'!$G$3:$G$499,'ANALITIKA EU PROJEKATA'!$A$3:$A$499,"=43",'ANALITIKA EU PROJEKATA'!$P$3:$P$499,"=361")</f>
        <v>0</v>
      </c>
      <c r="J24" s="147">
        <f>SUMIFS('Plan rashoda za unos u SAP'!$I$3:$I$480,'Plan rashoda za unos u SAP'!$C$3:$C$480,"=51",'Plan rashoda za unos u SAP'!$M$3:$M$480,"=361")+SUMIFS('ANALITIKA EU PROJEKATA'!$G$3:$G$499,'ANALITIKA EU PROJEKATA'!$A$3:$A$499,"=51",'ANALITIKA EU PROJEKATA'!$P$3:$P$499,"=361")</f>
        <v>0</v>
      </c>
      <c r="K24" s="147">
        <f>SUMIFS('Plan rashoda za unos u SAP'!$I$3:$I$480,'Plan rashoda za unos u SAP'!$C$3:$C$480,"=52",'Plan rashoda za unos u SAP'!$M$3:$M$480,"=361")+SUMIFS('ANALITIKA EU PROJEKATA'!$G$3:$G$499,'ANALITIKA EU PROJEKATA'!$A$3:$A$499,"=52",'ANALITIKA EU PROJEKATA'!$P$3:$P$499,"=361")</f>
        <v>0</v>
      </c>
      <c r="L24" s="147">
        <f>SUMIFS('Plan rashoda za unos u SAP'!$I$3:$I$480,'Plan rashoda za unos u SAP'!$C$3:$C$480,"=552",'Plan rashoda za unos u SAP'!$M$3:$M$480,"=361")+SUMIFS('ANALITIKA EU PROJEKATA'!$G$3:$G$499,'ANALITIKA EU PROJEKATA'!$A$3:$A$499,"=552",'ANALITIKA EU PROJEKATA'!$P$3:$P$499,"=361")</f>
        <v>0</v>
      </c>
      <c r="M24" s="147">
        <f>SUMIFS('Plan rashoda za unos u SAP'!$I$3:$I$480,'Plan rashoda za unos u SAP'!$C$3:$C$480,"=559",'Plan rashoda za unos u SAP'!$M$3:$M$480,"=361")+SUMIFS('ANALITIKA EU PROJEKATA'!$G$3:$G$499,'ANALITIKA EU PROJEKATA'!$A$3:$A$499,"=559",'ANALITIKA EU PROJEKATA'!$P$3:$P$499,"=361")</f>
        <v>0</v>
      </c>
      <c r="N24" s="147">
        <f>SUMIFS('Plan rashoda za unos u SAP'!$I$3:$I$480,'Plan rashoda za unos u SAP'!$C$3:$C$480,"=561",'Plan rashoda za unos u SAP'!$M$3:$M$480,"=361")+SUMIFS('ANALITIKA EU PROJEKATA'!$G$3:$G$499,'ANALITIKA EU PROJEKATA'!$A$3:$A$499,"=561",'ANALITIKA EU PROJEKATA'!$P$3:$P$499,"=361")</f>
        <v>0</v>
      </c>
      <c r="O24" s="147">
        <f>SUMIFS('Plan rashoda za unos u SAP'!$I$3:$I$480,'Plan rashoda za unos u SAP'!$C$3:$C$480,"=563",'Plan rashoda za unos u SAP'!$M$3:$M$480,"=361")+SUMIFS('ANALITIKA EU PROJEKATA'!$G$3:$G$499,'ANALITIKA EU PROJEKATA'!$A$3:$A$499,"=563",'ANALITIKA EU PROJEKATA'!$P$3:$P$499,"=361")</f>
        <v>0</v>
      </c>
      <c r="P24" s="147">
        <f>SUMIFS('Plan rashoda za unos u SAP'!$I$3:$I$480,'Plan rashoda za unos u SAP'!$C$3:$C$480,"=573",'Plan rashoda za unos u SAP'!$M$3:$M$480,"=361")+SUMIFS('ANALITIKA EU PROJEKATA'!$G$3:$G$499,'ANALITIKA EU PROJEKATA'!$A$3:$A$499,"=573",'ANALITIKA EU PROJEKATA'!$P$3:$P$499,"=361")</f>
        <v>0</v>
      </c>
      <c r="Q24" s="147">
        <f>SUMIFS('Plan rashoda za unos u SAP'!$I$3:$I$480,'Plan rashoda za unos u SAP'!$C$3:$C$480,"=575",'Plan rashoda za unos u SAP'!$M$3:$M$480,"=361")+SUMIFS('ANALITIKA EU PROJEKATA'!$G$3:$G$499,'ANALITIKA EU PROJEKATA'!$A$3:$A$499,"=575",'ANALITIKA EU PROJEKATA'!$P$3:$P$499,"=361")</f>
        <v>0</v>
      </c>
      <c r="R24" s="147">
        <f>SUMIFS('Plan rashoda za unos u SAP'!$I$3:$I$480,'Plan rashoda za unos u SAP'!$C$3:$C$480,"=576",'Plan rashoda za unos u SAP'!$M$3:$M$480,"=361")+SUMIFS('ANALITIKA EU PROJEKATA'!$G$3:$G$499,'ANALITIKA EU PROJEKATA'!$A$3:$A$499,"=576",'ANALITIKA EU PROJEKATA'!$P$3:$P$499,"=361")</f>
        <v>0</v>
      </c>
      <c r="S24" s="147">
        <f>SUMIFS('Plan rashoda za unos u SAP'!$I$3:$I$480,'Plan rashoda za unos u SAP'!$C$3:$C$480,"=581",'Plan rashoda za unos u SAP'!$M$3:$M$480,"=361")+SUMIFS('ANALITIKA EU PROJEKATA'!$G$3:$G$499,'ANALITIKA EU PROJEKATA'!$A$3:$A$499,"=581",'ANALITIKA EU PROJEKATA'!$P$3:$P$499,"=361")</f>
        <v>0</v>
      </c>
      <c r="T24" s="147">
        <f>SUMIFS('Plan rashoda za unos u SAP'!$I$3:$I$480,'Plan rashoda za unos u SAP'!$C$3:$C$480,"=61",'Plan rashoda za unos u SAP'!$M$3:$M$480,"=361")+SUMIFS('ANALITIKA EU PROJEKATA'!$G$3:$G$499,'ANALITIKA EU PROJEKATA'!$A$3:$A$499,"=61",'ANALITIKA EU PROJEKATA'!$P$3:$P$499,"=361")</f>
        <v>0</v>
      </c>
      <c r="U24" s="147">
        <f>SUMIFS('Plan rashoda za unos u SAP'!$I$3:$I$480,'Plan rashoda za unos u SAP'!$C$3:$C$480,"=63",'Plan rashoda za unos u SAP'!$M$3:$M$480,"=361")+SUMIFS('ANALITIKA EU PROJEKATA'!$G$3:$G$499,'ANALITIKA EU PROJEKATA'!$A$3:$A$499,"=63",'ANALITIKA EU PROJEKATA'!$P$3:$P$499,"=361")</f>
        <v>0</v>
      </c>
      <c r="V24" s="147">
        <f>SUMIFS('Plan rashoda za unos u SAP'!$I$3:$I$480,'Plan rashoda za unos u SAP'!$C$3:$C$480,"=71",'Plan rashoda za unos u SAP'!$M$3:$M$480,"=361")+SUMIFS('ANALITIKA EU PROJEKATA'!$G$3:$G$499,'ANALITIKA EU PROJEKATA'!$A$3:$A$499,"=71",'ANALITIKA EU PROJEKATA'!$P$3:$P$499,"=361")</f>
        <v>0</v>
      </c>
      <c r="W24" s="147">
        <f>SUMIFS('Plan rashoda za unos u SAP'!$I$3:$I$480,'Plan rashoda za unos u SAP'!$C$3:$C$480,"=81",'Plan rashoda za unos u SAP'!$M$3:$M$480,"=361")+SUMIFS('ANALITIKA EU PROJEKATA'!$G$3:$G$499,'ANALITIKA EU PROJEKATA'!$A$3:$A$499,"=81",'ANALITIKA EU PROJEKATA'!$P$3:$P$499,"=361")</f>
        <v>0</v>
      </c>
      <c r="X24" s="129"/>
      <c r="Y24" s="129"/>
      <c r="Z24" s="129"/>
      <c r="AA24" s="129"/>
      <c r="AB24" s="129"/>
      <c r="AC24" s="129"/>
      <c r="AD24" s="129"/>
      <c r="AE24" s="129"/>
      <c r="AF24" s="129"/>
      <c r="AG24" s="129"/>
      <c r="AH24" s="129"/>
      <c r="AI24" s="129"/>
      <c r="AJ24" s="129"/>
      <c r="AK24" s="129"/>
      <c r="AL24" s="129"/>
      <c r="AM24" s="129"/>
      <c r="AN24" s="129"/>
      <c r="AO24" s="129"/>
      <c r="AP24" s="129"/>
      <c r="AQ24" s="129"/>
    </row>
    <row r="25" spans="1:43" ht="12" customHeight="1">
      <c r="A25" s="131">
        <v>2021</v>
      </c>
      <c r="B25" s="148">
        <v>362</v>
      </c>
      <c r="C25" s="149" t="s">
        <v>3447</v>
      </c>
      <c r="D25" s="94">
        <f t="shared" si="0"/>
        <v>0</v>
      </c>
      <c r="E25" s="147">
        <f>SUMIFS('Plan rashoda za unos u SAP'!$I$3:$I$480,'Plan rashoda za unos u SAP'!$C$3:$C$480,"=11",'Plan rashoda za unos u SAP'!$M$3:$M$480,"=362")+SUMIFS('ANALITIKA EU PROJEKATA'!$G$3:$G$499,'ANALITIKA EU PROJEKATA'!$A$3:$A$499,"=11",'ANALITIKA EU PROJEKATA'!$P$3:$P$499,"=362")</f>
        <v>0</v>
      </c>
      <c r="F25" s="147">
        <f>SUMIFS('Plan rashoda za unos u SAP'!$I$3:$I$480,'Plan rashoda za unos u SAP'!$C$3:$C$480,"=12",'Plan rashoda za unos u SAP'!$M$3:$M$480,"=362")+SUMIFS('ANALITIKA EU PROJEKATA'!$G$3:$G$499,'ANALITIKA EU PROJEKATA'!$A$3:$A$499,"=12",'ANALITIKA EU PROJEKATA'!$P$3:$P$499,"=362")</f>
        <v>0</v>
      </c>
      <c r="G25" s="147">
        <f>SUMIFS('Plan rashoda za unos u SAP'!$I$3:$I$480,'Plan rashoda za unos u SAP'!$C$3:$C$480,"=31",'Plan rashoda za unos u SAP'!$M$3:$M$480,"=362")+SUMIFS('ANALITIKA EU PROJEKATA'!$G$3:$G$499,'ANALITIKA EU PROJEKATA'!$A$3:$A$499,"=31",'ANALITIKA EU PROJEKATA'!$P$3:$P$499,"=362")</f>
        <v>0</v>
      </c>
      <c r="H25" s="147">
        <f>SUMIFS('Plan rashoda za unos u SAP'!$I$3:$I$480,'Plan rashoda za unos u SAP'!$C$3:$C$480,"=41",'Plan rashoda za unos u SAP'!$M$3:$M$480,"=362")+SUMIFS('ANALITIKA EU PROJEKATA'!$G$3:$G$499,'ANALITIKA EU PROJEKATA'!$A$3:$A$499,"=41",'ANALITIKA EU PROJEKATA'!$P$3:$P$499,"=362")</f>
        <v>0</v>
      </c>
      <c r="I25" s="147">
        <f>SUMIFS('Plan rashoda za unos u SAP'!$I$3:$I$480,'Plan rashoda za unos u SAP'!$C$3:$C$480,"=43",'Plan rashoda za unos u SAP'!$M$3:$M$480,"=362")+SUMIFS('ANALITIKA EU PROJEKATA'!$G$3:$G$499,'ANALITIKA EU PROJEKATA'!$A$3:$A$499,"=43",'ANALITIKA EU PROJEKATA'!$P$3:$P$499,"=362")</f>
        <v>0</v>
      </c>
      <c r="J25" s="147">
        <f>SUMIFS('Plan rashoda za unos u SAP'!$I$3:$I$480,'Plan rashoda za unos u SAP'!$C$3:$C$480,"=51",'Plan rashoda za unos u SAP'!$M$3:$M$480,"=362")+SUMIFS('ANALITIKA EU PROJEKATA'!$G$3:$G$499,'ANALITIKA EU PROJEKATA'!$A$3:$A$499,"=51",'ANALITIKA EU PROJEKATA'!$P$3:$P$499,"=362")</f>
        <v>0</v>
      </c>
      <c r="K25" s="147">
        <f>SUMIFS('Plan rashoda za unos u SAP'!$I$3:$I$480,'Plan rashoda za unos u SAP'!$C$3:$C$480,"=52",'Plan rashoda za unos u SAP'!$M$3:$M$480,"=362")+SUMIFS('ANALITIKA EU PROJEKATA'!$G$3:$G$499,'ANALITIKA EU PROJEKATA'!$A$3:$A$499,"=52",'ANALITIKA EU PROJEKATA'!$P$3:$P$499,"=362")</f>
        <v>0</v>
      </c>
      <c r="L25" s="147">
        <f>SUMIFS('Plan rashoda za unos u SAP'!$I$3:$I$480,'Plan rashoda za unos u SAP'!$C$3:$C$480,"=552",'Plan rashoda za unos u SAP'!$M$3:$M$480,"=362")+SUMIFS('ANALITIKA EU PROJEKATA'!$G$3:$G$499,'ANALITIKA EU PROJEKATA'!$A$3:$A$499,"=552",'ANALITIKA EU PROJEKATA'!$P$3:$P$499,"=362")</f>
        <v>0</v>
      </c>
      <c r="M25" s="147">
        <f>SUMIFS('Plan rashoda za unos u SAP'!$I$3:$I$480,'Plan rashoda za unos u SAP'!$C$3:$C$480,"=559",'Plan rashoda za unos u SAP'!$M$3:$M$480,"=362")+SUMIFS('ANALITIKA EU PROJEKATA'!$G$3:$G$499,'ANALITIKA EU PROJEKATA'!$A$3:$A$499,"=559",'ANALITIKA EU PROJEKATA'!$P$3:$P$499,"=362")</f>
        <v>0</v>
      </c>
      <c r="N25" s="147">
        <f>SUMIFS('Plan rashoda za unos u SAP'!$I$3:$I$480,'Plan rashoda za unos u SAP'!$C$3:$C$480,"=561",'Plan rashoda za unos u SAP'!$M$3:$M$480,"=362")+SUMIFS('ANALITIKA EU PROJEKATA'!$G$3:$G$499,'ANALITIKA EU PROJEKATA'!$A$3:$A$499,"=561",'ANALITIKA EU PROJEKATA'!$P$3:$P$499,"=362")</f>
        <v>0</v>
      </c>
      <c r="O25" s="147">
        <f>SUMIFS('Plan rashoda za unos u SAP'!$I$3:$I$480,'Plan rashoda za unos u SAP'!$C$3:$C$480,"=563",'Plan rashoda za unos u SAP'!$M$3:$M$480,"=362")+SUMIFS('ANALITIKA EU PROJEKATA'!$G$3:$G$499,'ANALITIKA EU PROJEKATA'!$A$3:$A$499,"=563",'ANALITIKA EU PROJEKATA'!$P$3:$P$499,"=362")</f>
        <v>0</v>
      </c>
      <c r="P25" s="147">
        <f>SUMIFS('Plan rashoda za unos u SAP'!$I$3:$I$480,'Plan rashoda za unos u SAP'!$C$3:$C$480,"=573",'Plan rashoda za unos u SAP'!$M$3:$M$480,"=362")+SUMIFS('ANALITIKA EU PROJEKATA'!$G$3:$G$499,'ANALITIKA EU PROJEKATA'!$A$3:$A$499,"=573",'ANALITIKA EU PROJEKATA'!$P$3:$P$499,"=362")</f>
        <v>0</v>
      </c>
      <c r="Q25" s="147">
        <f>SUMIFS('Plan rashoda za unos u SAP'!$I$3:$I$480,'Plan rashoda za unos u SAP'!$C$3:$C$480,"=575",'Plan rashoda za unos u SAP'!$M$3:$M$480,"=362")+SUMIFS('ANALITIKA EU PROJEKATA'!$G$3:$G$499,'ANALITIKA EU PROJEKATA'!$A$3:$A$499,"=575",'ANALITIKA EU PROJEKATA'!$P$3:$P$499,"=362")</f>
        <v>0</v>
      </c>
      <c r="R25" s="147">
        <f>SUMIFS('Plan rashoda za unos u SAP'!$I$3:$I$480,'Plan rashoda za unos u SAP'!$C$3:$C$480,"=576",'Plan rashoda za unos u SAP'!$M$3:$M$480,"=362")+SUMIFS('ANALITIKA EU PROJEKATA'!$G$3:$G$499,'ANALITIKA EU PROJEKATA'!$A$3:$A$499,"=576",'ANALITIKA EU PROJEKATA'!$P$3:$P$499,"=362")</f>
        <v>0</v>
      </c>
      <c r="S25" s="147">
        <f>SUMIFS('Plan rashoda za unos u SAP'!$I$3:$I$480,'Plan rashoda za unos u SAP'!$C$3:$C$480,"=581",'Plan rashoda za unos u SAP'!$M$3:$M$480,"=362")+SUMIFS('ANALITIKA EU PROJEKATA'!$G$3:$G$499,'ANALITIKA EU PROJEKATA'!$A$3:$A$499,"=581",'ANALITIKA EU PROJEKATA'!$P$3:$P$499,"=362")</f>
        <v>0</v>
      </c>
      <c r="T25" s="147">
        <f>SUMIFS('Plan rashoda za unos u SAP'!$I$3:$I$480,'Plan rashoda za unos u SAP'!$C$3:$C$480,"=61",'Plan rashoda za unos u SAP'!$M$3:$M$480,"=362")+SUMIFS('ANALITIKA EU PROJEKATA'!$G$3:$G$499,'ANALITIKA EU PROJEKATA'!$A$3:$A$499,"=61",'ANALITIKA EU PROJEKATA'!$P$3:$P$499,"=362")</f>
        <v>0</v>
      </c>
      <c r="U25" s="147">
        <f>SUMIFS('Plan rashoda za unos u SAP'!$I$3:$I$480,'Plan rashoda za unos u SAP'!$C$3:$C$480,"=63",'Plan rashoda za unos u SAP'!$M$3:$M$480,"=362")+SUMIFS('ANALITIKA EU PROJEKATA'!$G$3:$G$499,'ANALITIKA EU PROJEKATA'!$A$3:$A$499,"=63",'ANALITIKA EU PROJEKATA'!$P$3:$P$499,"=362")</f>
        <v>0</v>
      </c>
      <c r="V25" s="147">
        <f>SUMIFS('Plan rashoda za unos u SAP'!$I$3:$I$480,'Plan rashoda za unos u SAP'!$C$3:$C$480,"=71",'Plan rashoda za unos u SAP'!$M$3:$M$480,"=362")+SUMIFS('ANALITIKA EU PROJEKATA'!$G$3:$G$499,'ANALITIKA EU PROJEKATA'!$A$3:$A$499,"=71",'ANALITIKA EU PROJEKATA'!$P$3:$P$499,"=362")</f>
        <v>0</v>
      </c>
      <c r="W25" s="147">
        <f>SUMIFS('Plan rashoda za unos u SAP'!$I$3:$I$480,'Plan rashoda za unos u SAP'!$C$3:$C$480,"=81",'Plan rashoda za unos u SAP'!$M$3:$M$480,"=362")+SUMIFS('ANALITIKA EU PROJEKATA'!$G$3:$G$499,'ANALITIKA EU PROJEKATA'!$A$3:$A$499,"=81",'ANALITIKA EU PROJEKATA'!$P$3:$P$499,"=362")</f>
        <v>0</v>
      </c>
      <c r="X25" s="129"/>
      <c r="Y25" s="129"/>
      <c r="Z25" s="129"/>
      <c r="AA25" s="129"/>
      <c r="AB25" s="129"/>
      <c r="AC25" s="129"/>
      <c r="AD25" s="129"/>
      <c r="AE25" s="129"/>
      <c r="AF25" s="129"/>
      <c r="AG25" s="129"/>
      <c r="AH25" s="129"/>
      <c r="AI25" s="129"/>
      <c r="AJ25" s="129"/>
      <c r="AK25" s="129"/>
      <c r="AL25" s="129"/>
      <c r="AM25" s="129"/>
      <c r="AN25" s="129"/>
      <c r="AO25" s="129"/>
      <c r="AP25" s="129"/>
      <c r="AQ25" s="129"/>
    </row>
    <row r="26" spans="1:43" ht="12" customHeight="1">
      <c r="A26" s="131">
        <v>2021</v>
      </c>
      <c r="B26" s="148">
        <v>363</v>
      </c>
      <c r="C26" s="149" t="s">
        <v>3448</v>
      </c>
      <c r="D26" s="94">
        <f t="shared" si="0"/>
        <v>0</v>
      </c>
      <c r="E26" s="147">
        <f>SUMIFS('Plan rashoda za unos u SAP'!$I$3:$I$480,'Plan rashoda za unos u SAP'!$C$3:$C$480,"=11",'Plan rashoda za unos u SAP'!$M$3:$M$480,"=363")+SUMIFS('ANALITIKA EU PROJEKATA'!$G$3:$G$499,'ANALITIKA EU PROJEKATA'!$A$3:$A$499,"=11",'ANALITIKA EU PROJEKATA'!$P$3:$P$499,"=363")</f>
        <v>0</v>
      </c>
      <c r="F26" s="147">
        <f>SUMIFS('Plan rashoda za unos u SAP'!$I$3:$I$480,'Plan rashoda za unos u SAP'!$C$3:$C$480,"=12",'Plan rashoda za unos u SAP'!$M$3:$M$480,"=363")+SUMIFS('ANALITIKA EU PROJEKATA'!$G$3:$G$499,'ANALITIKA EU PROJEKATA'!$A$3:$A$499,"=12",'ANALITIKA EU PROJEKATA'!$P$3:$P$499,"=363")</f>
        <v>0</v>
      </c>
      <c r="G26" s="147">
        <f>SUMIFS('Plan rashoda za unos u SAP'!$I$3:$I$480,'Plan rashoda za unos u SAP'!$C$3:$C$480,"=31",'Plan rashoda za unos u SAP'!$M$3:$M$480,"=363")+SUMIFS('ANALITIKA EU PROJEKATA'!$G$3:$G$499,'ANALITIKA EU PROJEKATA'!$A$3:$A$499,"=31",'ANALITIKA EU PROJEKATA'!$P$3:$P$499,"=363")</f>
        <v>0</v>
      </c>
      <c r="H26" s="147">
        <f>SUMIFS('Plan rashoda za unos u SAP'!$I$3:$I$480,'Plan rashoda za unos u SAP'!$C$3:$C$480,"=41",'Plan rashoda za unos u SAP'!$M$3:$M$480,"=363")+SUMIFS('ANALITIKA EU PROJEKATA'!$G$3:$G$499,'ANALITIKA EU PROJEKATA'!$A$3:$A$499,"=41",'ANALITIKA EU PROJEKATA'!$P$3:$P$499,"=363")</f>
        <v>0</v>
      </c>
      <c r="I26" s="147">
        <f>SUMIFS('Plan rashoda za unos u SAP'!$I$3:$I$480,'Plan rashoda za unos u SAP'!$C$3:$C$480,"=43",'Plan rashoda za unos u SAP'!$M$3:$M$480,"=363")+SUMIFS('ANALITIKA EU PROJEKATA'!$G$3:$G$499,'ANALITIKA EU PROJEKATA'!$A$3:$A$499,"=43",'ANALITIKA EU PROJEKATA'!$P$3:$P$499,"=363")</f>
        <v>0</v>
      </c>
      <c r="J26" s="147">
        <f>SUMIFS('Plan rashoda za unos u SAP'!$I$3:$I$480,'Plan rashoda za unos u SAP'!$C$3:$C$480,"=51",'Plan rashoda za unos u SAP'!$M$3:$M$480,"=363")+SUMIFS('ANALITIKA EU PROJEKATA'!$G$3:$G$499,'ANALITIKA EU PROJEKATA'!$A$3:$A$499,"=51",'ANALITIKA EU PROJEKATA'!$P$3:$P$499,"=363")</f>
        <v>0</v>
      </c>
      <c r="K26" s="147">
        <f>SUMIFS('Plan rashoda za unos u SAP'!$I$3:$I$480,'Plan rashoda za unos u SAP'!$C$3:$C$480,"=52",'Plan rashoda za unos u SAP'!$M$3:$M$480,"=363")+SUMIFS('ANALITIKA EU PROJEKATA'!$G$3:$G$499,'ANALITIKA EU PROJEKATA'!$A$3:$A$499,"=52",'ANALITIKA EU PROJEKATA'!$P$3:$P$499,"=363")</f>
        <v>0</v>
      </c>
      <c r="L26" s="147">
        <f>SUMIFS('Plan rashoda za unos u SAP'!$I$3:$I$480,'Plan rashoda za unos u SAP'!$C$3:$C$480,"=552",'Plan rashoda za unos u SAP'!$M$3:$M$480,"=363")+SUMIFS('ANALITIKA EU PROJEKATA'!$G$3:$G$499,'ANALITIKA EU PROJEKATA'!$A$3:$A$499,"=552",'ANALITIKA EU PROJEKATA'!$P$3:$P$499,"=363")</f>
        <v>0</v>
      </c>
      <c r="M26" s="147">
        <f>SUMIFS('Plan rashoda za unos u SAP'!$I$3:$I$480,'Plan rashoda za unos u SAP'!$C$3:$C$480,"=559",'Plan rashoda za unos u SAP'!$M$3:$M$480,"=363")+SUMIFS('ANALITIKA EU PROJEKATA'!$G$3:$G$499,'ANALITIKA EU PROJEKATA'!$A$3:$A$499,"=559",'ANALITIKA EU PROJEKATA'!$P$3:$P$499,"=363")</f>
        <v>0</v>
      </c>
      <c r="N26" s="147">
        <f>SUMIFS('Plan rashoda za unos u SAP'!$I$3:$I$480,'Plan rashoda za unos u SAP'!$C$3:$C$480,"=561",'Plan rashoda za unos u SAP'!$M$3:$M$480,"=363")+SUMIFS('ANALITIKA EU PROJEKATA'!$G$3:$G$499,'ANALITIKA EU PROJEKATA'!$A$3:$A$499,"=561",'ANALITIKA EU PROJEKATA'!$P$3:$P$499,"=363")</f>
        <v>0</v>
      </c>
      <c r="O26" s="147">
        <f>SUMIFS('Plan rashoda za unos u SAP'!$I$3:$I$480,'Plan rashoda za unos u SAP'!$C$3:$C$480,"=563",'Plan rashoda za unos u SAP'!$M$3:$M$480,"=363")+SUMIFS('ANALITIKA EU PROJEKATA'!$G$3:$G$499,'ANALITIKA EU PROJEKATA'!$A$3:$A$499,"=563",'ANALITIKA EU PROJEKATA'!$P$3:$P$499,"=363")</f>
        <v>0</v>
      </c>
      <c r="P26" s="147">
        <f>SUMIFS('Plan rashoda za unos u SAP'!$I$3:$I$480,'Plan rashoda za unos u SAP'!$C$3:$C$480,"=573",'Plan rashoda za unos u SAP'!$M$3:$M$480,"=363")+SUMIFS('ANALITIKA EU PROJEKATA'!$G$3:$G$499,'ANALITIKA EU PROJEKATA'!$A$3:$A$499,"=573",'ANALITIKA EU PROJEKATA'!$P$3:$P$499,"=363")</f>
        <v>0</v>
      </c>
      <c r="Q26" s="147">
        <f>SUMIFS('Plan rashoda za unos u SAP'!$I$3:$I$480,'Plan rashoda za unos u SAP'!$C$3:$C$480,"=575",'Plan rashoda za unos u SAP'!$M$3:$M$480,"=363")+SUMIFS('ANALITIKA EU PROJEKATA'!$G$3:$G$499,'ANALITIKA EU PROJEKATA'!$A$3:$A$499,"=575",'ANALITIKA EU PROJEKATA'!$P$3:$P$499,"=363")</f>
        <v>0</v>
      </c>
      <c r="R26" s="147">
        <f>SUMIFS('Plan rashoda za unos u SAP'!$I$3:$I$480,'Plan rashoda za unos u SAP'!$C$3:$C$480,"=576",'Plan rashoda za unos u SAP'!$M$3:$M$480,"=363")+SUMIFS('ANALITIKA EU PROJEKATA'!$G$3:$G$499,'ANALITIKA EU PROJEKATA'!$A$3:$A$499,"=576",'ANALITIKA EU PROJEKATA'!$P$3:$P$499,"=363")</f>
        <v>0</v>
      </c>
      <c r="S26" s="147">
        <f>SUMIFS('Plan rashoda za unos u SAP'!$I$3:$I$480,'Plan rashoda za unos u SAP'!$C$3:$C$480,"=581",'Plan rashoda za unos u SAP'!$M$3:$M$480,"=363")+SUMIFS('ANALITIKA EU PROJEKATA'!$G$3:$G$499,'ANALITIKA EU PROJEKATA'!$A$3:$A$499,"=581",'ANALITIKA EU PROJEKATA'!$P$3:$P$499,"=363")</f>
        <v>0</v>
      </c>
      <c r="T26" s="147">
        <f>SUMIFS('Plan rashoda za unos u SAP'!$I$3:$I$480,'Plan rashoda za unos u SAP'!$C$3:$C$480,"=61",'Plan rashoda za unos u SAP'!$M$3:$M$480,"=363")+SUMIFS('ANALITIKA EU PROJEKATA'!$G$3:$G$499,'ANALITIKA EU PROJEKATA'!$A$3:$A$499,"=61",'ANALITIKA EU PROJEKATA'!$P$3:$P$499,"=363")</f>
        <v>0</v>
      </c>
      <c r="U26" s="147">
        <f>SUMIFS('Plan rashoda za unos u SAP'!$I$3:$I$480,'Plan rashoda za unos u SAP'!$C$3:$C$480,"=63",'Plan rashoda za unos u SAP'!$M$3:$M$480,"=363")+SUMIFS('ANALITIKA EU PROJEKATA'!$G$3:$G$499,'ANALITIKA EU PROJEKATA'!$A$3:$A$499,"=63",'ANALITIKA EU PROJEKATA'!$P$3:$P$499,"=363")</f>
        <v>0</v>
      </c>
      <c r="V26" s="147">
        <f>SUMIFS('Plan rashoda za unos u SAP'!$I$3:$I$480,'Plan rashoda za unos u SAP'!$C$3:$C$480,"=71",'Plan rashoda za unos u SAP'!$M$3:$M$480,"=363")+SUMIFS('ANALITIKA EU PROJEKATA'!$G$3:$G$499,'ANALITIKA EU PROJEKATA'!$A$3:$A$499,"=71",'ANALITIKA EU PROJEKATA'!$P$3:$P$499,"=363")</f>
        <v>0</v>
      </c>
      <c r="W26" s="147">
        <f>SUMIFS('Plan rashoda za unos u SAP'!$I$3:$I$480,'Plan rashoda za unos u SAP'!$C$3:$C$480,"=81",'Plan rashoda za unos u SAP'!$M$3:$M$480,"=363")+SUMIFS('ANALITIKA EU PROJEKATA'!$G$3:$G$499,'ANALITIKA EU PROJEKATA'!$A$3:$A$499,"=81",'ANALITIKA EU PROJEKATA'!$P$3:$P$499,"=363")</f>
        <v>0</v>
      </c>
      <c r="X26" s="129"/>
      <c r="Y26" s="129"/>
      <c r="Z26" s="129"/>
      <c r="AA26" s="129"/>
      <c r="AB26" s="129"/>
      <c r="AC26" s="129"/>
      <c r="AD26" s="129"/>
      <c r="AE26" s="129"/>
      <c r="AF26" s="129"/>
      <c r="AG26" s="129"/>
      <c r="AH26" s="129"/>
      <c r="AI26" s="129"/>
      <c r="AJ26" s="129"/>
      <c r="AK26" s="129"/>
      <c r="AL26" s="129"/>
      <c r="AM26" s="129"/>
      <c r="AN26" s="129"/>
      <c r="AO26" s="129"/>
      <c r="AP26" s="129"/>
      <c r="AQ26" s="129"/>
    </row>
    <row r="27" spans="1:43" ht="12" customHeight="1">
      <c r="A27" s="131">
        <v>2021</v>
      </c>
      <c r="B27" s="148">
        <v>366</v>
      </c>
      <c r="C27" s="149" t="s">
        <v>3449</v>
      </c>
      <c r="D27" s="94">
        <f t="shared" si="0"/>
        <v>0</v>
      </c>
      <c r="E27" s="147">
        <f>SUMIFS('Plan rashoda za unos u SAP'!$I$3:$I$480,'Plan rashoda za unos u SAP'!$C$3:$C$480,"=11",'Plan rashoda za unos u SAP'!$M$3:$M$480,"=366")+SUMIFS('ANALITIKA EU PROJEKATA'!$G$3:$G$499,'ANALITIKA EU PROJEKATA'!$A$3:$A$499,"=11",'ANALITIKA EU PROJEKATA'!$P$3:$P$499,"=366")</f>
        <v>0</v>
      </c>
      <c r="F27" s="147">
        <f>SUMIFS('Plan rashoda za unos u SAP'!$I$3:$I$480,'Plan rashoda za unos u SAP'!$C$3:$C$480,"=12",'Plan rashoda za unos u SAP'!$M$3:$M$480,"=366")+SUMIFS('ANALITIKA EU PROJEKATA'!$G$3:$G$499,'ANALITIKA EU PROJEKATA'!$A$3:$A$499,"=12",'ANALITIKA EU PROJEKATA'!$P$3:$P$499,"=366")</f>
        <v>0</v>
      </c>
      <c r="G27" s="147">
        <f>SUMIFS('Plan rashoda za unos u SAP'!$I$3:$I$480,'Plan rashoda za unos u SAP'!$C$3:$C$480,"=31",'Plan rashoda za unos u SAP'!$M$3:$M$480,"=366")+SUMIFS('ANALITIKA EU PROJEKATA'!$G$3:$G$499,'ANALITIKA EU PROJEKATA'!$A$3:$A$499,"=31",'ANALITIKA EU PROJEKATA'!$P$3:$P$499,"=366")</f>
        <v>0</v>
      </c>
      <c r="H27" s="147">
        <f>SUMIFS('Plan rashoda za unos u SAP'!$I$3:$I$480,'Plan rashoda za unos u SAP'!$C$3:$C$480,"=41",'Plan rashoda za unos u SAP'!$M$3:$M$480,"=366")+SUMIFS('ANALITIKA EU PROJEKATA'!$G$3:$G$499,'ANALITIKA EU PROJEKATA'!$A$3:$A$499,"=41",'ANALITIKA EU PROJEKATA'!$P$3:$P$499,"=366")</f>
        <v>0</v>
      </c>
      <c r="I27" s="147">
        <f>SUMIFS('Plan rashoda za unos u SAP'!$I$3:$I$480,'Plan rashoda za unos u SAP'!$C$3:$C$480,"=43",'Plan rashoda za unos u SAP'!$M$3:$M$480,"=366")+SUMIFS('ANALITIKA EU PROJEKATA'!$G$3:$G$499,'ANALITIKA EU PROJEKATA'!$A$3:$A$499,"=43",'ANALITIKA EU PROJEKATA'!$P$3:$P$499,"=366")</f>
        <v>0</v>
      </c>
      <c r="J27" s="147">
        <f>SUMIFS('Plan rashoda za unos u SAP'!$I$3:$I$480,'Plan rashoda za unos u SAP'!$C$3:$C$480,"=51",'Plan rashoda za unos u SAP'!$M$3:$M$480,"=366")+SUMIFS('ANALITIKA EU PROJEKATA'!$G$3:$G$499,'ANALITIKA EU PROJEKATA'!$A$3:$A$499,"=51",'ANALITIKA EU PROJEKATA'!$P$3:$P$499,"=366")</f>
        <v>0</v>
      </c>
      <c r="K27" s="147">
        <f>SUMIFS('Plan rashoda za unos u SAP'!$I$3:$I$480,'Plan rashoda za unos u SAP'!$C$3:$C$480,"=52",'Plan rashoda za unos u SAP'!$M$3:$M$480,"=366")+SUMIFS('ANALITIKA EU PROJEKATA'!$G$3:$G$499,'ANALITIKA EU PROJEKATA'!$A$3:$A$499,"=52",'ANALITIKA EU PROJEKATA'!$P$3:$P$499,"=366")</f>
        <v>0</v>
      </c>
      <c r="L27" s="147">
        <f>SUMIFS('Plan rashoda za unos u SAP'!$I$3:$I$480,'Plan rashoda za unos u SAP'!$C$3:$C$480,"=552",'Plan rashoda za unos u SAP'!$M$3:$M$480,"=366")+SUMIFS('ANALITIKA EU PROJEKATA'!$G$3:$G$499,'ANALITIKA EU PROJEKATA'!$A$3:$A$499,"=552",'ANALITIKA EU PROJEKATA'!$P$3:$P$499,"=366")</f>
        <v>0</v>
      </c>
      <c r="M27" s="147">
        <f>SUMIFS('Plan rashoda za unos u SAP'!$I$3:$I$480,'Plan rashoda za unos u SAP'!$C$3:$C$480,"=559",'Plan rashoda za unos u SAP'!$M$3:$M$480,"=366")+SUMIFS('ANALITIKA EU PROJEKATA'!$G$3:$G$499,'ANALITIKA EU PROJEKATA'!$A$3:$A$499,"=559",'ANALITIKA EU PROJEKATA'!$P$3:$P$499,"=366")</f>
        <v>0</v>
      </c>
      <c r="N27" s="147">
        <f>SUMIFS('Plan rashoda za unos u SAP'!$I$3:$I$480,'Plan rashoda za unos u SAP'!$C$3:$C$480,"=561",'Plan rashoda za unos u SAP'!$M$3:$M$480,"=366")+SUMIFS('ANALITIKA EU PROJEKATA'!$G$3:$G$499,'ANALITIKA EU PROJEKATA'!$A$3:$A$499,"=561",'ANALITIKA EU PROJEKATA'!$P$3:$P$499,"=366")</f>
        <v>0</v>
      </c>
      <c r="O27" s="147">
        <f>SUMIFS('Plan rashoda za unos u SAP'!$I$3:$I$480,'Plan rashoda za unos u SAP'!$C$3:$C$480,"=563",'Plan rashoda za unos u SAP'!$M$3:$M$480,"=366")+SUMIFS('ANALITIKA EU PROJEKATA'!$G$3:$G$499,'ANALITIKA EU PROJEKATA'!$A$3:$A$499,"=563",'ANALITIKA EU PROJEKATA'!$P$3:$P$499,"=366")</f>
        <v>0</v>
      </c>
      <c r="P27" s="147">
        <f>SUMIFS('Plan rashoda za unos u SAP'!$I$3:$I$480,'Plan rashoda za unos u SAP'!$C$3:$C$480,"=573",'Plan rashoda za unos u SAP'!$M$3:$M$480,"=366")+SUMIFS('ANALITIKA EU PROJEKATA'!$G$3:$G$499,'ANALITIKA EU PROJEKATA'!$A$3:$A$499,"=573",'ANALITIKA EU PROJEKATA'!$P$3:$P$499,"=366")</f>
        <v>0</v>
      </c>
      <c r="Q27" s="147">
        <f>SUMIFS('Plan rashoda za unos u SAP'!$I$3:$I$480,'Plan rashoda za unos u SAP'!$C$3:$C$480,"=575",'Plan rashoda za unos u SAP'!$M$3:$M$480,"=366")+SUMIFS('ANALITIKA EU PROJEKATA'!$G$3:$G$499,'ANALITIKA EU PROJEKATA'!$A$3:$A$499,"=575",'ANALITIKA EU PROJEKATA'!$P$3:$P$499,"=366")</f>
        <v>0</v>
      </c>
      <c r="R27" s="147">
        <f>SUMIFS('Plan rashoda za unos u SAP'!$I$3:$I$480,'Plan rashoda za unos u SAP'!$C$3:$C$480,"=576",'Plan rashoda za unos u SAP'!$M$3:$M$480,"=366")+SUMIFS('ANALITIKA EU PROJEKATA'!$G$3:$G$499,'ANALITIKA EU PROJEKATA'!$A$3:$A$499,"=576",'ANALITIKA EU PROJEKATA'!$P$3:$P$499,"=366")</f>
        <v>0</v>
      </c>
      <c r="S27" s="147">
        <f>SUMIFS('Plan rashoda za unos u SAP'!$I$3:$I$480,'Plan rashoda za unos u SAP'!$C$3:$C$480,"=581",'Plan rashoda za unos u SAP'!$M$3:$M$480,"=366")+SUMIFS('ANALITIKA EU PROJEKATA'!$G$3:$G$499,'ANALITIKA EU PROJEKATA'!$A$3:$A$499,"=581",'ANALITIKA EU PROJEKATA'!$P$3:$P$499,"=366")</f>
        <v>0</v>
      </c>
      <c r="T27" s="147">
        <f>SUMIFS('Plan rashoda za unos u SAP'!$I$3:$I$480,'Plan rashoda za unos u SAP'!$C$3:$C$480,"=61",'Plan rashoda za unos u SAP'!$M$3:$M$480,"=366")+SUMIFS('ANALITIKA EU PROJEKATA'!$G$3:$G$499,'ANALITIKA EU PROJEKATA'!$A$3:$A$499,"=61",'ANALITIKA EU PROJEKATA'!$P$3:$P$499,"=366")</f>
        <v>0</v>
      </c>
      <c r="U27" s="147">
        <f>SUMIFS('Plan rashoda za unos u SAP'!$I$3:$I$480,'Plan rashoda za unos u SAP'!$C$3:$C$480,"=63",'Plan rashoda za unos u SAP'!$M$3:$M$480,"=366")+SUMIFS('ANALITIKA EU PROJEKATA'!$G$3:$G$499,'ANALITIKA EU PROJEKATA'!$A$3:$A$499,"=63",'ANALITIKA EU PROJEKATA'!$P$3:$P$499,"=366")</f>
        <v>0</v>
      </c>
      <c r="V27" s="147">
        <f>SUMIFS('Plan rashoda za unos u SAP'!$I$3:$I$480,'Plan rashoda za unos u SAP'!$C$3:$C$480,"=71",'Plan rashoda za unos u SAP'!$M$3:$M$480,"=366")+SUMIFS('ANALITIKA EU PROJEKATA'!$G$3:$G$499,'ANALITIKA EU PROJEKATA'!$A$3:$A$499,"=71",'ANALITIKA EU PROJEKATA'!$P$3:$P$499,"=366")</f>
        <v>0</v>
      </c>
      <c r="W27" s="147">
        <f>SUMIFS('Plan rashoda za unos u SAP'!$I$3:$I$480,'Plan rashoda za unos u SAP'!$C$3:$C$480,"=81",'Plan rashoda za unos u SAP'!$M$3:$M$480,"=366")+SUMIFS('ANALITIKA EU PROJEKATA'!$G$3:$G$499,'ANALITIKA EU PROJEKATA'!$A$3:$A$499,"=81",'ANALITIKA EU PROJEKATA'!$P$3:$P$499,"=366")</f>
        <v>0</v>
      </c>
      <c r="X27" s="129"/>
      <c r="Y27" s="129"/>
      <c r="Z27" s="129"/>
      <c r="AA27" s="129"/>
      <c r="AB27" s="129"/>
      <c r="AC27" s="129"/>
      <c r="AD27" s="129"/>
      <c r="AE27" s="129"/>
      <c r="AF27" s="129"/>
      <c r="AG27" s="129"/>
      <c r="AH27" s="129"/>
      <c r="AI27" s="129"/>
      <c r="AJ27" s="129"/>
      <c r="AK27" s="129"/>
      <c r="AL27" s="129"/>
      <c r="AM27" s="129"/>
      <c r="AN27" s="129"/>
      <c r="AO27" s="129"/>
      <c r="AP27" s="129"/>
      <c r="AQ27" s="129"/>
    </row>
    <row r="28" spans="1:43" ht="12" customHeight="1">
      <c r="A28" s="131">
        <v>2021</v>
      </c>
      <c r="B28" s="148">
        <v>368</v>
      </c>
      <c r="C28" s="149" t="s">
        <v>3377</v>
      </c>
      <c r="D28" s="94">
        <f t="shared" si="0"/>
        <v>0</v>
      </c>
      <c r="E28" s="147">
        <f>SUMIFS('Plan rashoda za unos u SAP'!$I$3:$I$480,'Plan rashoda za unos u SAP'!$C$3:$C$480,"=11",'Plan rashoda za unos u SAP'!$M$3:$M$480,"=368")+SUMIFS('ANALITIKA EU PROJEKATA'!$G$3:$G$499,'ANALITIKA EU PROJEKATA'!$A$3:$A$499,"=11",'ANALITIKA EU PROJEKATA'!$P$3:$P$499,"=368")</f>
        <v>0</v>
      </c>
      <c r="F28" s="147">
        <f>SUMIFS('Plan rashoda za unos u SAP'!$I$3:$I$480,'Plan rashoda za unos u SAP'!$C$3:$C$480,"=12",'Plan rashoda za unos u SAP'!$M$3:$M$480,"=368")+SUMIFS('ANALITIKA EU PROJEKATA'!$G$3:$G$499,'ANALITIKA EU PROJEKATA'!$A$3:$A$499,"=12",'ANALITIKA EU PROJEKATA'!$P$3:$P$499,"=368")</f>
        <v>0</v>
      </c>
      <c r="G28" s="147">
        <f>SUMIFS('Plan rashoda za unos u SAP'!$I$3:$I$480,'Plan rashoda za unos u SAP'!$C$3:$C$480,"=31",'Plan rashoda za unos u SAP'!$M$3:$M$480,"=368")+SUMIFS('ANALITIKA EU PROJEKATA'!$G$3:$G$499,'ANALITIKA EU PROJEKATA'!$A$3:$A$499,"=31",'ANALITIKA EU PROJEKATA'!$P$3:$P$499,"=368")</f>
        <v>0</v>
      </c>
      <c r="H28" s="147">
        <f>SUMIFS('Plan rashoda za unos u SAP'!$I$3:$I$480,'Plan rashoda za unos u SAP'!$C$3:$C$480,"=41",'Plan rashoda za unos u SAP'!$M$3:$M$480,"=368")+SUMIFS('ANALITIKA EU PROJEKATA'!$G$3:$G$499,'ANALITIKA EU PROJEKATA'!$A$3:$A$499,"=41",'ANALITIKA EU PROJEKATA'!$P$3:$P$499,"=368")</f>
        <v>0</v>
      </c>
      <c r="I28" s="147">
        <f>SUMIFS('Plan rashoda za unos u SAP'!$I$3:$I$480,'Plan rashoda za unos u SAP'!$C$3:$C$480,"=43",'Plan rashoda za unos u SAP'!$M$3:$M$480,"=368")+SUMIFS('ANALITIKA EU PROJEKATA'!$G$3:$G$499,'ANALITIKA EU PROJEKATA'!$A$3:$A$499,"=43",'ANALITIKA EU PROJEKATA'!$P$3:$P$499,"=368")</f>
        <v>0</v>
      </c>
      <c r="J28" s="147">
        <f>SUMIFS('Plan rashoda za unos u SAP'!$I$3:$I$480,'Plan rashoda za unos u SAP'!$C$3:$C$480,"=51",'Plan rashoda za unos u SAP'!$M$3:$M$480,"=368")+SUMIFS('ANALITIKA EU PROJEKATA'!$G$3:$G$499,'ANALITIKA EU PROJEKATA'!$A$3:$A$499,"=51",'ANALITIKA EU PROJEKATA'!$P$3:$P$499,"=368")</f>
        <v>0</v>
      </c>
      <c r="K28" s="147">
        <f>SUMIFS('Plan rashoda za unos u SAP'!$I$3:$I$480,'Plan rashoda za unos u SAP'!$C$3:$C$480,"=52",'Plan rashoda za unos u SAP'!$M$3:$M$480,"=368")+SUMIFS('ANALITIKA EU PROJEKATA'!$G$3:$G$499,'ANALITIKA EU PROJEKATA'!$A$3:$A$499,"=52",'ANALITIKA EU PROJEKATA'!$P$3:$P$499,"=368")</f>
        <v>0</v>
      </c>
      <c r="L28" s="147">
        <f>SUMIFS('Plan rashoda za unos u SAP'!$I$3:$I$480,'Plan rashoda za unos u SAP'!$C$3:$C$480,"=552",'Plan rashoda za unos u SAP'!$M$3:$M$480,"=368")+SUMIFS('ANALITIKA EU PROJEKATA'!$G$3:$G$499,'ANALITIKA EU PROJEKATA'!$A$3:$A$499,"=552",'ANALITIKA EU PROJEKATA'!$P$3:$P$499,"=368")</f>
        <v>0</v>
      </c>
      <c r="M28" s="147">
        <f>SUMIFS('Plan rashoda za unos u SAP'!$I$3:$I$480,'Plan rashoda za unos u SAP'!$C$3:$C$480,"=559",'Plan rashoda za unos u SAP'!$M$3:$M$480,"=368")+SUMIFS('ANALITIKA EU PROJEKATA'!$G$3:$G$499,'ANALITIKA EU PROJEKATA'!$A$3:$A$499,"=559",'ANALITIKA EU PROJEKATA'!$P$3:$P$499,"=368")</f>
        <v>0</v>
      </c>
      <c r="N28" s="147">
        <f>SUMIFS('Plan rashoda za unos u SAP'!$I$3:$I$480,'Plan rashoda za unos u SAP'!$C$3:$C$480,"=561",'Plan rashoda za unos u SAP'!$M$3:$M$480,"=368")+SUMIFS('ANALITIKA EU PROJEKATA'!$G$3:$G$499,'ANALITIKA EU PROJEKATA'!$A$3:$A$499,"=561",'ANALITIKA EU PROJEKATA'!$P$3:$P$499,"=368")</f>
        <v>0</v>
      </c>
      <c r="O28" s="147">
        <f>SUMIFS('Plan rashoda za unos u SAP'!$I$3:$I$480,'Plan rashoda za unos u SAP'!$C$3:$C$480,"=563",'Plan rashoda za unos u SAP'!$M$3:$M$480,"=368")+SUMIFS('ANALITIKA EU PROJEKATA'!$G$3:$G$499,'ANALITIKA EU PROJEKATA'!$A$3:$A$499,"=563",'ANALITIKA EU PROJEKATA'!$P$3:$P$499,"=368")</f>
        <v>0</v>
      </c>
      <c r="P28" s="147">
        <f>SUMIFS('Plan rashoda za unos u SAP'!$I$3:$I$480,'Plan rashoda za unos u SAP'!$C$3:$C$480,"=573",'Plan rashoda za unos u SAP'!$M$3:$M$480,"=368")+SUMIFS('ANALITIKA EU PROJEKATA'!$G$3:$G$499,'ANALITIKA EU PROJEKATA'!$A$3:$A$499,"=573",'ANALITIKA EU PROJEKATA'!$P$3:$P$499,"=368")</f>
        <v>0</v>
      </c>
      <c r="Q28" s="147">
        <f>SUMIFS('Plan rashoda za unos u SAP'!$I$3:$I$480,'Plan rashoda za unos u SAP'!$C$3:$C$480,"=575",'Plan rashoda za unos u SAP'!$M$3:$M$480,"=368")+SUMIFS('ANALITIKA EU PROJEKATA'!$G$3:$G$499,'ANALITIKA EU PROJEKATA'!$A$3:$A$499,"=575",'ANALITIKA EU PROJEKATA'!$P$3:$P$499,"=368")</f>
        <v>0</v>
      </c>
      <c r="R28" s="147">
        <f>SUMIFS('Plan rashoda za unos u SAP'!$I$3:$I$480,'Plan rashoda za unos u SAP'!$C$3:$C$480,"=576",'Plan rashoda za unos u SAP'!$M$3:$M$480,"=368")+SUMIFS('ANALITIKA EU PROJEKATA'!$G$3:$G$499,'ANALITIKA EU PROJEKATA'!$A$3:$A$499,"=576",'ANALITIKA EU PROJEKATA'!$P$3:$P$499,"=368")</f>
        <v>0</v>
      </c>
      <c r="S28" s="147">
        <f>SUMIFS('Plan rashoda za unos u SAP'!$I$3:$I$480,'Plan rashoda za unos u SAP'!$C$3:$C$480,"=581",'Plan rashoda za unos u SAP'!$M$3:$M$480,"=368")+SUMIFS('ANALITIKA EU PROJEKATA'!$G$3:$G$499,'ANALITIKA EU PROJEKATA'!$A$3:$A$499,"=581",'ANALITIKA EU PROJEKATA'!$P$3:$P$499,"=368")</f>
        <v>0</v>
      </c>
      <c r="T28" s="147">
        <f>SUMIFS('Plan rashoda za unos u SAP'!$I$3:$I$480,'Plan rashoda za unos u SAP'!$C$3:$C$480,"=61",'Plan rashoda za unos u SAP'!$M$3:$M$480,"=368")+SUMIFS('ANALITIKA EU PROJEKATA'!$G$3:$G$499,'ANALITIKA EU PROJEKATA'!$A$3:$A$499,"=61",'ANALITIKA EU PROJEKATA'!$P$3:$P$499,"=368")</f>
        <v>0</v>
      </c>
      <c r="U28" s="147">
        <f>SUMIFS('Plan rashoda za unos u SAP'!$I$3:$I$480,'Plan rashoda za unos u SAP'!$C$3:$C$480,"=63",'Plan rashoda za unos u SAP'!$M$3:$M$480,"=368")+SUMIFS('ANALITIKA EU PROJEKATA'!$G$3:$G$499,'ANALITIKA EU PROJEKATA'!$A$3:$A$499,"=63",'ANALITIKA EU PROJEKATA'!$P$3:$P$499,"=368")</f>
        <v>0</v>
      </c>
      <c r="V28" s="147">
        <f>SUMIFS('Plan rashoda za unos u SAP'!$I$3:$I$480,'Plan rashoda za unos u SAP'!$C$3:$C$480,"=71",'Plan rashoda za unos u SAP'!$M$3:$M$480,"=368")+SUMIFS('ANALITIKA EU PROJEKATA'!$G$3:$G$499,'ANALITIKA EU PROJEKATA'!$A$3:$A$499,"=71",'ANALITIKA EU PROJEKATA'!$P$3:$P$499,"=368")</f>
        <v>0</v>
      </c>
      <c r="W28" s="147">
        <f>SUMIFS('Plan rashoda za unos u SAP'!$I$3:$I$480,'Plan rashoda za unos u SAP'!$C$3:$C$480,"=81",'Plan rashoda za unos u SAP'!$M$3:$M$480,"=368")+SUMIFS('ANALITIKA EU PROJEKATA'!$G$3:$G$499,'ANALITIKA EU PROJEKATA'!$A$3:$A$499,"=81",'ANALITIKA EU PROJEKATA'!$P$3:$P$499,"=368")</f>
        <v>0</v>
      </c>
      <c r="X28" s="129"/>
      <c r="Y28" s="129"/>
      <c r="Z28" s="129"/>
      <c r="AA28" s="129"/>
      <c r="AB28" s="129"/>
      <c r="AC28" s="129"/>
      <c r="AD28" s="129"/>
      <c r="AE28" s="129"/>
      <c r="AF28" s="129"/>
      <c r="AG28" s="129"/>
      <c r="AH28" s="129"/>
      <c r="AI28" s="129"/>
      <c r="AJ28" s="129"/>
      <c r="AK28" s="129"/>
      <c r="AL28" s="129"/>
      <c r="AM28" s="129"/>
      <c r="AN28" s="129"/>
      <c r="AO28" s="129"/>
      <c r="AP28" s="129"/>
      <c r="AQ28" s="129"/>
    </row>
    <row r="29" spans="1:43" ht="12" customHeight="1">
      <c r="A29" s="131">
        <v>2021</v>
      </c>
      <c r="B29" s="148">
        <v>369</v>
      </c>
      <c r="C29" s="149" t="s">
        <v>3379</v>
      </c>
      <c r="D29" s="94">
        <f t="shared" si="0"/>
        <v>0</v>
      </c>
      <c r="E29" s="147">
        <f>SUMIFS('Plan rashoda za unos u SAP'!$I$3:$I$480,'Plan rashoda za unos u SAP'!$C$3:$C$480,"=11",'Plan rashoda za unos u SAP'!$M$3:$M$480,"=369")+SUMIFS('ANALITIKA EU PROJEKATA'!$G$3:$G$499,'ANALITIKA EU PROJEKATA'!$A$3:$A$499,"=11",'ANALITIKA EU PROJEKATA'!$P$3:$P$499,"=369")</f>
        <v>0</v>
      </c>
      <c r="F29" s="147">
        <f>SUMIFS('Plan rashoda za unos u SAP'!$I$3:$I$480,'Plan rashoda za unos u SAP'!$C$3:$C$480,"=12",'Plan rashoda za unos u SAP'!$M$3:$M$480,"=369")+SUMIFS('ANALITIKA EU PROJEKATA'!$G$3:$G$499,'ANALITIKA EU PROJEKATA'!$A$3:$A$499,"=12",'ANALITIKA EU PROJEKATA'!$P$3:$P$499,"=369")</f>
        <v>0</v>
      </c>
      <c r="G29" s="147">
        <f>SUMIFS('Plan rashoda za unos u SAP'!$I$3:$I$480,'Plan rashoda za unos u SAP'!$C$3:$C$480,"=31",'Plan rashoda za unos u SAP'!$M$3:$M$480,"=369")+SUMIFS('ANALITIKA EU PROJEKATA'!$G$3:$G$499,'ANALITIKA EU PROJEKATA'!$A$3:$A$499,"=31",'ANALITIKA EU PROJEKATA'!$P$3:$P$499,"=369")</f>
        <v>0</v>
      </c>
      <c r="H29" s="147">
        <f>SUMIFS('Plan rashoda za unos u SAP'!$I$3:$I$480,'Plan rashoda za unos u SAP'!$C$3:$C$480,"=41",'Plan rashoda za unos u SAP'!$M$3:$M$480,"=369")+SUMIFS('ANALITIKA EU PROJEKATA'!$G$3:$G$499,'ANALITIKA EU PROJEKATA'!$A$3:$A$499,"=41",'ANALITIKA EU PROJEKATA'!$P$3:$P$499,"=369")</f>
        <v>0</v>
      </c>
      <c r="I29" s="147">
        <f>SUMIFS('Plan rashoda za unos u SAP'!$I$3:$I$480,'Plan rashoda za unos u SAP'!$C$3:$C$480,"=43",'Plan rashoda za unos u SAP'!$M$3:$M$480,"=369")+SUMIFS('ANALITIKA EU PROJEKATA'!$G$3:$G$499,'ANALITIKA EU PROJEKATA'!$A$3:$A$499,"=43",'ANALITIKA EU PROJEKATA'!$P$3:$P$499,"=369")</f>
        <v>0</v>
      </c>
      <c r="J29" s="147">
        <f>SUMIFS('Plan rashoda za unos u SAP'!$I$3:$I$480,'Plan rashoda za unos u SAP'!$C$3:$C$480,"=51",'Plan rashoda za unos u SAP'!$M$3:$M$480,"=369")+SUMIFS('ANALITIKA EU PROJEKATA'!$G$3:$G$499,'ANALITIKA EU PROJEKATA'!$A$3:$A$499,"=51",'ANALITIKA EU PROJEKATA'!$P$3:$P$499,"=369")</f>
        <v>0</v>
      </c>
      <c r="K29" s="147">
        <f>SUMIFS('Plan rashoda za unos u SAP'!$I$3:$I$480,'Plan rashoda za unos u SAP'!$C$3:$C$480,"=52",'Plan rashoda za unos u SAP'!$M$3:$M$480,"=369")+SUMIFS('ANALITIKA EU PROJEKATA'!$G$3:$G$499,'ANALITIKA EU PROJEKATA'!$A$3:$A$499,"=52",'ANALITIKA EU PROJEKATA'!$P$3:$P$499,"=369")</f>
        <v>0</v>
      </c>
      <c r="L29" s="147">
        <f>SUMIFS('Plan rashoda za unos u SAP'!$I$3:$I$480,'Plan rashoda za unos u SAP'!$C$3:$C$480,"=552",'Plan rashoda za unos u SAP'!$M$3:$M$480,"=369")+SUMIFS('ANALITIKA EU PROJEKATA'!$G$3:$G$499,'ANALITIKA EU PROJEKATA'!$A$3:$A$499,"=552",'ANALITIKA EU PROJEKATA'!$P$3:$P$499,"=369")</f>
        <v>0</v>
      </c>
      <c r="M29" s="147">
        <f>SUMIFS('Plan rashoda za unos u SAP'!$I$3:$I$480,'Plan rashoda za unos u SAP'!$C$3:$C$480,"=559",'Plan rashoda za unos u SAP'!$M$3:$M$480,"=369")+SUMIFS('ANALITIKA EU PROJEKATA'!$G$3:$G$499,'ANALITIKA EU PROJEKATA'!$A$3:$A$499,"=559",'ANALITIKA EU PROJEKATA'!$P$3:$P$499,"=369")</f>
        <v>0</v>
      </c>
      <c r="N29" s="147">
        <f>SUMIFS('Plan rashoda za unos u SAP'!$I$3:$I$480,'Plan rashoda za unos u SAP'!$C$3:$C$480,"=561",'Plan rashoda za unos u SAP'!$M$3:$M$480,"=369")+SUMIFS('ANALITIKA EU PROJEKATA'!$G$3:$G$499,'ANALITIKA EU PROJEKATA'!$A$3:$A$499,"=561",'ANALITIKA EU PROJEKATA'!$P$3:$P$499,"=369")</f>
        <v>0</v>
      </c>
      <c r="O29" s="147">
        <f>SUMIFS('Plan rashoda za unos u SAP'!$I$3:$I$480,'Plan rashoda za unos u SAP'!$C$3:$C$480,"=563",'Plan rashoda za unos u SAP'!$M$3:$M$480,"=369")+SUMIFS('ANALITIKA EU PROJEKATA'!$G$3:$G$499,'ANALITIKA EU PROJEKATA'!$A$3:$A$499,"=563",'ANALITIKA EU PROJEKATA'!$P$3:$P$499,"=369")</f>
        <v>0</v>
      </c>
      <c r="P29" s="147">
        <f>SUMIFS('Plan rashoda za unos u SAP'!$I$3:$I$480,'Plan rashoda za unos u SAP'!$C$3:$C$480,"=573",'Plan rashoda za unos u SAP'!$M$3:$M$480,"=369")+SUMIFS('ANALITIKA EU PROJEKATA'!$G$3:$G$499,'ANALITIKA EU PROJEKATA'!$A$3:$A$499,"=573",'ANALITIKA EU PROJEKATA'!$P$3:$P$499,"=369")</f>
        <v>0</v>
      </c>
      <c r="Q29" s="147">
        <f>SUMIFS('Plan rashoda za unos u SAP'!$I$3:$I$480,'Plan rashoda za unos u SAP'!$C$3:$C$480,"=575",'Plan rashoda za unos u SAP'!$M$3:$M$480,"=369")+SUMIFS('ANALITIKA EU PROJEKATA'!$G$3:$G$499,'ANALITIKA EU PROJEKATA'!$A$3:$A$499,"=575",'ANALITIKA EU PROJEKATA'!$P$3:$P$499,"=369")</f>
        <v>0</v>
      </c>
      <c r="R29" s="147">
        <f>SUMIFS('Plan rashoda za unos u SAP'!$I$3:$I$480,'Plan rashoda za unos u SAP'!$C$3:$C$480,"=576",'Plan rashoda za unos u SAP'!$M$3:$M$480,"=369")+SUMIFS('ANALITIKA EU PROJEKATA'!$G$3:$G$499,'ANALITIKA EU PROJEKATA'!$A$3:$A$499,"=576",'ANALITIKA EU PROJEKATA'!$P$3:$P$499,"=369")</f>
        <v>0</v>
      </c>
      <c r="S29" s="147">
        <f>SUMIFS('Plan rashoda za unos u SAP'!$I$3:$I$480,'Plan rashoda za unos u SAP'!$C$3:$C$480,"=581",'Plan rashoda za unos u SAP'!$M$3:$M$480,"=369")+SUMIFS('ANALITIKA EU PROJEKATA'!$G$3:$G$499,'ANALITIKA EU PROJEKATA'!$A$3:$A$499,"=581",'ANALITIKA EU PROJEKATA'!$P$3:$P$499,"=369")</f>
        <v>0</v>
      </c>
      <c r="T29" s="147">
        <f>SUMIFS('Plan rashoda za unos u SAP'!$I$3:$I$480,'Plan rashoda za unos u SAP'!$C$3:$C$480,"=61",'Plan rashoda za unos u SAP'!$M$3:$M$480,"=369")+SUMIFS('ANALITIKA EU PROJEKATA'!$G$3:$G$499,'ANALITIKA EU PROJEKATA'!$A$3:$A$499,"=61",'ANALITIKA EU PROJEKATA'!$P$3:$P$499,"=369")</f>
        <v>0</v>
      </c>
      <c r="U29" s="147">
        <f>SUMIFS('Plan rashoda za unos u SAP'!$I$3:$I$480,'Plan rashoda za unos u SAP'!$C$3:$C$480,"=63",'Plan rashoda za unos u SAP'!$M$3:$M$480,"=369")+SUMIFS('ANALITIKA EU PROJEKATA'!$G$3:$G$499,'ANALITIKA EU PROJEKATA'!$A$3:$A$499,"=63",'ANALITIKA EU PROJEKATA'!$P$3:$P$499,"=369")</f>
        <v>0</v>
      </c>
      <c r="V29" s="147">
        <f>SUMIFS('Plan rashoda za unos u SAP'!$I$3:$I$480,'Plan rashoda za unos u SAP'!$C$3:$C$480,"=71",'Plan rashoda za unos u SAP'!$M$3:$M$480,"=369")+SUMIFS('ANALITIKA EU PROJEKATA'!$G$3:$G$499,'ANALITIKA EU PROJEKATA'!$A$3:$A$499,"=71",'ANALITIKA EU PROJEKATA'!$P$3:$P$499,"=369")</f>
        <v>0</v>
      </c>
      <c r="W29" s="147">
        <f>SUMIFS('Plan rashoda za unos u SAP'!$I$3:$I$480,'Plan rashoda za unos u SAP'!$C$3:$C$480,"=81",'Plan rashoda za unos u SAP'!$M$3:$M$480,"=369")+SUMIFS('ANALITIKA EU PROJEKATA'!$G$3:$G$499,'ANALITIKA EU PROJEKATA'!$A$3:$A$499,"=81",'ANALITIKA EU PROJEKATA'!$P$3:$P$499,"=369")</f>
        <v>0</v>
      </c>
      <c r="X29" s="129"/>
      <c r="Y29" s="129"/>
      <c r="Z29" s="129"/>
      <c r="AA29" s="129"/>
      <c r="AB29" s="129"/>
      <c r="AC29" s="129"/>
      <c r="AD29" s="129"/>
      <c r="AE29" s="129"/>
      <c r="AF29" s="129"/>
      <c r="AG29" s="129"/>
      <c r="AH29" s="129"/>
      <c r="AI29" s="129"/>
      <c r="AJ29" s="129"/>
      <c r="AK29" s="129"/>
      <c r="AL29" s="129"/>
      <c r="AM29" s="129"/>
      <c r="AN29" s="129"/>
      <c r="AO29" s="129"/>
      <c r="AP29" s="129"/>
      <c r="AQ29" s="129"/>
    </row>
    <row r="30" spans="1:43" ht="12" customHeight="1">
      <c r="A30" s="131">
        <v>2021</v>
      </c>
      <c r="B30" s="150">
        <v>37</v>
      </c>
      <c r="C30" s="151" t="s">
        <v>3450</v>
      </c>
      <c r="D30" s="108">
        <f t="shared" si="0"/>
        <v>256792.81</v>
      </c>
      <c r="E30" s="108">
        <f t="shared" ref="E30:W30" si="8">SUM(E31:E32)</f>
        <v>0</v>
      </c>
      <c r="F30" s="108">
        <f t="shared" si="8"/>
        <v>0</v>
      </c>
      <c r="G30" s="108">
        <f t="shared" si="8"/>
        <v>75000</v>
      </c>
      <c r="H30" s="108">
        <f t="shared" si="8"/>
        <v>0</v>
      </c>
      <c r="I30" s="108">
        <f t="shared" si="8"/>
        <v>58987.81</v>
      </c>
      <c r="J30" s="108">
        <f t="shared" si="8"/>
        <v>0</v>
      </c>
      <c r="K30" s="108">
        <f t="shared" si="8"/>
        <v>122805</v>
      </c>
      <c r="L30" s="108">
        <f t="shared" si="8"/>
        <v>0</v>
      </c>
      <c r="M30" s="108">
        <f t="shared" si="8"/>
        <v>0</v>
      </c>
      <c r="N30" s="108">
        <f t="shared" si="8"/>
        <v>0</v>
      </c>
      <c r="O30" s="108">
        <f t="shared" si="8"/>
        <v>0</v>
      </c>
      <c r="P30" s="108">
        <f t="shared" si="8"/>
        <v>0</v>
      </c>
      <c r="Q30" s="108">
        <f t="shared" si="8"/>
        <v>0</v>
      </c>
      <c r="R30" s="108">
        <f t="shared" si="8"/>
        <v>0</v>
      </c>
      <c r="S30" s="108">
        <f t="shared" si="8"/>
        <v>0</v>
      </c>
      <c r="T30" s="108">
        <f t="shared" si="8"/>
        <v>0</v>
      </c>
      <c r="U30" s="108">
        <f t="shared" si="8"/>
        <v>0</v>
      </c>
      <c r="V30" s="108">
        <f t="shared" si="8"/>
        <v>0</v>
      </c>
      <c r="W30" s="108">
        <f t="shared" si="8"/>
        <v>0</v>
      </c>
      <c r="X30" s="152"/>
      <c r="Y30" s="152"/>
      <c r="Z30" s="152"/>
      <c r="AA30" s="152"/>
      <c r="AB30" s="152"/>
      <c r="AC30" s="152"/>
      <c r="AD30" s="152"/>
      <c r="AE30" s="152"/>
      <c r="AF30" s="152"/>
      <c r="AG30" s="152"/>
      <c r="AH30" s="152"/>
      <c r="AI30" s="152"/>
      <c r="AJ30" s="152"/>
      <c r="AK30" s="152"/>
      <c r="AL30" s="152"/>
      <c r="AM30" s="152"/>
      <c r="AN30" s="152"/>
      <c r="AO30" s="152"/>
      <c r="AP30" s="152"/>
      <c r="AQ30" s="152"/>
    </row>
    <row r="31" spans="1:43" ht="12" customHeight="1">
      <c r="A31" s="131">
        <v>2021</v>
      </c>
      <c r="B31" s="148">
        <v>371</v>
      </c>
      <c r="C31" s="149" t="s">
        <v>3451</v>
      </c>
      <c r="D31" s="94">
        <f t="shared" si="0"/>
        <v>0</v>
      </c>
      <c r="E31" s="147">
        <f>SUMIFS('Plan rashoda za unos u SAP'!$I$3:$I$480,'Plan rashoda za unos u SAP'!$C$3:$C$480,"=11",'Plan rashoda za unos u SAP'!$M$3:$M$480,"=371")+SUMIFS('ANALITIKA EU PROJEKATA'!$G$3:$G$499,'ANALITIKA EU PROJEKATA'!$A$3:$A$499,"=11",'ANALITIKA EU PROJEKATA'!$P$3:$P$499,"=371")</f>
        <v>0</v>
      </c>
      <c r="F31" s="147">
        <f>SUMIFS('Plan rashoda za unos u SAP'!$I$3:$I$480,'Plan rashoda za unos u SAP'!$C$3:$C$480,"=12",'Plan rashoda za unos u SAP'!$M$3:$M$480,"=371")+SUMIFS('ANALITIKA EU PROJEKATA'!$G$3:$G$499,'ANALITIKA EU PROJEKATA'!$A$3:$A$499,"=12",'ANALITIKA EU PROJEKATA'!$P$3:$P$499,"=371")</f>
        <v>0</v>
      </c>
      <c r="G31" s="147">
        <f>SUMIFS('Plan rashoda za unos u SAP'!$I$3:$I$480,'Plan rashoda za unos u SAP'!$C$3:$C$480,"=31",'Plan rashoda za unos u SAP'!$M$3:$M$480,"=371")+SUMIFS('ANALITIKA EU PROJEKATA'!$G$3:$G$499,'ANALITIKA EU PROJEKATA'!$A$3:$A$499,"=31",'ANALITIKA EU PROJEKATA'!$P$3:$P$499,"=371")</f>
        <v>0</v>
      </c>
      <c r="H31" s="147">
        <f>SUMIFS('Plan rashoda za unos u SAP'!$I$3:$I$480,'Plan rashoda za unos u SAP'!$C$3:$C$480,"=41",'Plan rashoda za unos u SAP'!$M$3:$M$480,"=371")+SUMIFS('ANALITIKA EU PROJEKATA'!$G$3:$G$499,'ANALITIKA EU PROJEKATA'!$A$3:$A$499,"=41",'ANALITIKA EU PROJEKATA'!$P$3:$P$499,"=371")</f>
        <v>0</v>
      </c>
      <c r="I31" s="147">
        <f>SUMIFS('Plan rashoda za unos u SAP'!$I$3:$I$480,'Plan rashoda za unos u SAP'!$C$3:$C$480,"=43",'Plan rashoda za unos u SAP'!$M$3:$M$480,"=371")+SUMIFS('ANALITIKA EU PROJEKATA'!$G$3:$G$499,'ANALITIKA EU PROJEKATA'!$A$3:$A$499,"=43",'ANALITIKA EU PROJEKATA'!$P$3:$P$499,"=371")</f>
        <v>0</v>
      </c>
      <c r="J31" s="147">
        <f>SUMIFS('Plan rashoda za unos u SAP'!$I$3:$I$480,'Plan rashoda za unos u SAP'!$C$3:$C$480,"=51",'Plan rashoda za unos u SAP'!$M$3:$M$480,"=371")+SUMIFS('ANALITIKA EU PROJEKATA'!$G$3:$G$499,'ANALITIKA EU PROJEKATA'!$A$3:$A$499,"=51",'ANALITIKA EU PROJEKATA'!$P$3:$P$499,"=371")</f>
        <v>0</v>
      </c>
      <c r="K31" s="147">
        <f>SUMIFS('Plan rashoda za unos u SAP'!$I$3:$I$480,'Plan rashoda za unos u SAP'!$C$3:$C$480,"=52",'Plan rashoda za unos u SAP'!$M$3:$M$480,"=371")+SUMIFS('ANALITIKA EU PROJEKATA'!$G$3:$G$499,'ANALITIKA EU PROJEKATA'!$A$3:$A$499,"=52",'ANALITIKA EU PROJEKATA'!$P$3:$P$499,"=371")</f>
        <v>0</v>
      </c>
      <c r="L31" s="147">
        <f>SUMIFS('Plan rashoda za unos u SAP'!$I$3:$I$480,'Plan rashoda za unos u SAP'!$C$3:$C$480,"=552",'Plan rashoda za unos u SAP'!$M$3:$M$480,"=371")+SUMIFS('ANALITIKA EU PROJEKATA'!$G$3:$G$499,'ANALITIKA EU PROJEKATA'!$A$3:$A$499,"=552",'ANALITIKA EU PROJEKATA'!$P$3:$P$499,"=371")</f>
        <v>0</v>
      </c>
      <c r="M31" s="147">
        <f>SUMIFS('Plan rashoda za unos u SAP'!$I$3:$I$480,'Plan rashoda za unos u SAP'!$C$3:$C$480,"=559",'Plan rashoda za unos u SAP'!$M$3:$M$480,"=371")+SUMIFS('ANALITIKA EU PROJEKATA'!$G$3:$G$499,'ANALITIKA EU PROJEKATA'!$A$3:$A$499,"=559",'ANALITIKA EU PROJEKATA'!$P$3:$P$499,"=371")</f>
        <v>0</v>
      </c>
      <c r="N31" s="147">
        <f>SUMIFS('Plan rashoda za unos u SAP'!$I$3:$I$480,'Plan rashoda za unos u SAP'!$C$3:$C$480,"=561",'Plan rashoda za unos u SAP'!$M$3:$M$480,"=371")+SUMIFS('ANALITIKA EU PROJEKATA'!$G$3:$G$499,'ANALITIKA EU PROJEKATA'!$A$3:$A$499,"=561",'ANALITIKA EU PROJEKATA'!$P$3:$P$499,"=371")</f>
        <v>0</v>
      </c>
      <c r="O31" s="147">
        <f>SUMIFS('Plan rashoda za unos u SAP'!$I$3:$I$480,'Plan rashoda za unos u SAP'!$C$3:$C$480,"=563",'Plan rashoda za unos u SAP'!$M$3:$M$480,"=371")+SUMIFS('ANALITIKA EU PROJEKATA'!$G$3:$G$499,'ANALITIKA EU PROJEKATA'!$A$3:$A$499,"=563",'ANALITIKA EU PROJEKATA'!$P$3:$P$499,"=371")</f>
        <v>0</v>
      </c>
      <c r="P31" s="147">
        <f>SUMIFS('Plan rashoda za unos u SAP'!$I$3:$I$480,'Plan rashoda za unos u SAP'!$C$3:$C$480,"=573",'Plan rashoda za unos u SAP'!$M$3:$M$480,"=371")+SUMIFS('ANALITIKA EU PROJEKATA'!$G$3:$G$499,'ANALITIKA EU PROJEKATA'!$A$3:$A$499,"=573",'ANALITIKA EU PROJEKATA'!$P$3:$P$499,"=371")</f>
        <v>0</v>
      </c>
      <c r="Q31" s="147">
        <f>SUMIFS('Plan rashoda za unos u SAP'!$I$3:$I$480,'Plan rashoda za unos u SAP'!$C$3:$C$480,"=575",'Plan rashoda za unos u SAP'!$M$3:$M$480,"=371")+SUMIFS('ANALITIKA EU PROJEKATA'!$G$3:$G$499,'ANALITIKA EU PROJEKATA'!$A$3:$A$499,"=575",'ANALITIKA EU PROJEKATA'!$P$3:$P$499,"=371")</f>
        <v>0</v>
      </c>
      <c r="R31" s="147">
        <f>SUMIFS('Plan rashoda za unos u SAP'!$I$3:$I$480,'Plan rashoda za unos u SAP'!$C$3:$C$480,"=576",'Plan rashoda za unos u SAP'!$M$3:$M$480,"=371")+SUMIFS('ANALITIKA EU PROJEKATA'!$G$3:$G$499,'ANALITIKA EU PROJEKATA'!$A$3:$A$499,"=576",'ANALITIKA EU PROJEKATA'!$P$3:$P$499,"=371")</f>
        <v>0</v>
      </c>
      <c r="S31" s="147">
        <f>SUMIFS('Plan rashoda za unos u SAP'!$I$3:$I$480,'Plan rashoda za unos u SAP'!$C$3:$C$480,"=581",'Plan rashoda za unos u SAP'!$M$3:$M$480,"=371")+SUMIFS('ANALITIKA EU PROJEKATA'!$G$3:$G$499,'ANALITIKA EU PROJEKATA'!$A$3:$A$499,"=581",'ANALITIKA EU PROJEKATA'!$P$3:$P$499,"=371")</f>
        <v>0</v>
      </c>
      <c r="T31" s="147">
        <f>SUMIFS('Plan rashoda za unos u SAP'!$I$3:$I$480,'Plan rashoda za unos u SAP'!$C$3:$C$480,"=61",'Plan rashoda za unos u SAP'!$M$3:$M$480,"=371")+SUMIFS('ANALITIKA EU PROJEKATA'!$G$3:$G$499,'ANALITIKA EU PROJEKATA'!$A$3:$A$499,"=61",'ANALITIKA EU PROJEKATA'!$P$3:$P$499,"=371")</f>
        <v>0</v>
      </c>
      <c r="U31" s="147">
        <f>SUMIFS('Plan rashoda za unos u SAP'!$I$3:$I$480,'Plan rashoda za unos u SAP'!$C$3:$C$480,"=63",'Plan rashoda za unos u SAP'!$M$3:$M$480,"=371")+SUMIFS('ANALITIKA EU PROJEKATA'!$G$3:$G$499,'ANALITIKA EU PROJEKATA'!$A$3:$A$499,"=63",'ANALITIKA EU PROJEKATA'!$P$3:$P$499,"=371")</f>
        <v>0</v>
      </c>
      <c r="V31" s="147">
        <f>SUMIFS('Plan rashoda za unos u SAP'!$I$3:$I$480,'Plan rashoda za unos u SAP'!$C$3:$C$480,"=71",'Plan rashoda za unos u SAP'!$M$3:$M$480,"=371")+SUMIFS('ANALITIKA EU PROJEKATA'!$G$3:$G$499,'ANALITIKA EU PROJEKATA'!$A$3:$A$499,"=71",'ANALITIKA EU PROJEKATA'!$P$3:$P$499,"=371")</f>
        <v>0</v>
      </c>
      <c r="W31" s="147">
        <f>SUMIFS('Plan rashoda za unos u SAP'!$I$3:$I$480,'Plan rashoda za unos u SAP'!$C$3:$C$480,"=81",'Plan rashoda za unos u SAP'!$M$3:$M$480,"=371")+SUMIFS('ANALITIKA EU PROJEKATA'!$G$3:$G$499,'ANALITIKA EU PROJEKATA'!$A$3:$A$499,"=81",'ANALITIKA EU PROJEKATA'!$P$3:$P$499,"=371")</f>
        <v>0</v>
      </c>
      <c r="X31" s="152"/>
      <c r="Y31" s="152"/>
      <c r="Z31" s="152"/>
      <c r="AA31" s="152"/>
      <c r="AB31" s="152"/>
      <c r="AC31" s="152"/>
      <c r="AD31" s="152"/>
      <c r="AE31" s="152"/>
      <c r="AF31" s="152"/>
      <c r="AG31" s="152"/>
      <c r="AH31" s="152"/>
      <c r="AI31" s="152"/>
      <c r="AJ31" s="152"/>
      <c r="AK31" s="152"/>
      <c r="AL31" s="152"/>
      <c r="AM31" s="152"/>
      <c r="AN31" s="152"/>
      <c r="AO31" s="152"/>
      <c r="AP31" s="152"/>
      <c r="AQ31" s="152"/>
    </row>
    <row r="32" spans="1:43" ht="12" customHeight="1">
      <c r="A32" s="131">
        <v>2021</v>
      </c>
      <c r="B32" s="148">
        <v>372</v>
      </c>
      <c r="C32" s="153" t="s">
        <v>3452</v>
      </c>
      <c r="D32" s="94">
        <f t="shared" si="0"/>
        <v>256792.81</v>
      </c>
      <c r="E32" s="147">
        <f>SUMIFS('Plan rashoda za unos u SAP'!$I$3:$I$480,'Plan rashoda za unos u SAP'!$C$3:$C$480,"=11",'Plan rashoda za unos u SAP'!$M$3:$M$480,"=372")+SUMIFS('ANALITIKA EU PROJEKATA'!$G$3:$G$499,'ANALITIKA EU PROJEKATA'!$A$3:$A$499,"=11",'ANALITIKA EU PROJEKATA'!$P$3:$P$499,"=372")</f>
        <v>0</v>
      </c>
      <c r="F32" s="147">
        <f>SUMIFS('Plan rashoda za unos u SAP'!$I$3:$I$480,'Plan rashoda za unos u SAP'!$C$3:$C$480,"=12",'Plan rashoda za unos u SAP'!$M$3:$M$480,"=372")+SUMIFS('ANALITIKA EU PROJEKATA'!$G$3:$G$499,'ANALITIKA EU PROJEKATA'!$A$3:$A$499,"=12",'ANALITIKA EU PROJEKATA'!$P$3:$P$499,"=372")</f>
        <v>0</v>
      </c>
      <c r="G32" s="147">
        <f>SUMIFS('Plan rashoda za unos u SAP'!$I$3:$I$480,'Plan rashoda za unos u SAP'!$C$3:$C$480,"=31",'Plan rashoda za unos u SAP'!$M$3:$M$480,"=372")+SUMIFS('ANALITIKA EU PROJEKATA'!$G$3:$G$499,'ANALITIKA EU PROJEKATA'!$A$3:$A$499,"=31",'ANALITIKA EU PROJEKATA'!$P$3:$P$499,"=372")</f>
        <v>75000</v>
      </c>
      <c r="H32" s="147">
        <f>SUMIFS('Plan rashoda za unos u SAP'!$I$3:$I$480,'Plan rashoda za unos u SAP'!$C$3:$C$480,"=41",'Plan rashoda za unos u SAP'!$M$3:$M$480,"=372")+SUMIFS('ANALITIKA EU PROJEKATA'!$G$3:$G$499,'ANALITIKA EU PROJEKATA'!$A$3:$A$499,"=41",'ANALITIKA EU PROJEKATA'!$P$3:$P$499,"=372")</f>
        <v>0</v>
      </c>
      <c r="I32" s="147">
        <f>SUMIFS('Plan rashoda za unos u SAP'!$I$3:$I$480,'Plan rashoda za unos u SAP'!$C$3:$C$480,"=43",'Plan rashoda za unos u SAP'!$M$3:$M$480,"=372")+SUMIFS('ANALITIKA EU PROJEKATA'!$G$3:$G$499,'ANALITIKA EU PROJEKATA'!$A$3:$A$499,"=43",'ANALITIKA EU PROJEKATA'!$P$3:$P$499,"=372")</f>
        <v>58987.81</v>
      </c>
      <c r="J32" s="147">
        <f>SUMIFS('Plan rashoda za unos u SAP'!$I$3:$I$480,'Plan rashoda za unos u SAP'!$C$3:$C$480,"=51",'Plan rashoda za unos u SAP'!$M$3:$M$480,"=372")+SUMIFS('ANALITIKA EU PROJEKATA'!$G$3:$G$499,'ANALITIKA EU PROJEKATA'!$A$3:$A$499,"=51",'ANALITIKA EU PROJEKATA'!$P$3:$P$499,"=372")</f>
        <v>0</v>
      </c>
      <c r="K32" s="147">
        <f>SUMIFS('Plan rashoda za unos u SAP'!$I$3:$I$480,'Plan rashoda za unos u SAP'!$C$3:$C$480,"=52",'Plan rashoda za unos u SAP'!$M$3:$M$480,"=372")+SUMIFS('ANALITIKA EU PROJEKATA'!$G$3:$G$499,'ANALITIKA EU PROJEKATA'!$A$3:$A$499,"=52",'ANALITIKA EU PROJEKATA'!$P$3:$P$499,"=372")</f>
        <v>122805</v>
      </c>
      <c r="L32" s="147">
        <f>SUMIFS('Plan rashoda za unos u SAP'!$I$3:$I$480,'Plan rashoda za unos u SAP'!$C$3:$C$480,"=552",'Plan rashoda za unos u SAP'!$M$3:$M$480,"=372")+SUMIFS('ANALITIKA EU PROJEKATA'!$G$3:$G$499,'ANALITIKA EU PROJEKATA'!$A$3:$A$499,"=552",'ANALITIKA EU PROJEKATA'!$P$3:$P$499,"=372")</f>
        <v>0</v>
      </c>
      <c r="M32" s="147">
        <f>SUMIFS('Plan rashoda za unos u SAP'!$I$3:$I$480,'Plan rashoda za unos u SAP'!$C$3:$C$480,"=559",'Plan rashoda za unos u SAP'!$M$3:$M$480,"=372")+SUMIFS('ANALITIKA EU PROJEKATA'!$G$3:$G$499,'ANALITIKA EU PROJEKATA'!$A$3:$A$499,"=559",'ANALITIKA EU PROJEKATA'!$P$3:$P$499,"=372")</f>
        <v>0</v>
      </c>
      <c r="N32" s="147">
        <f>SUMIFS('Plan rashoda za unos u SAP'!$I$3:$I$480,'Plan rashoda za unos u SAP'!$C$3:$C$480,"=561",'Plan rashoda za unos u SAP'!$M$3:$M$480,"=372")+SUMIFS('ANALITIKA EU PROJEKATA'!$G$3:$G$499,'ANALITIKA EU PROJEKATA'!$A$3:$A$499,"=561",'ANALITIKA EU PROJEKATA'!$P$3:$P$499,"=372")</f>
        <v>0</v>
      </c>
      <c r="O32" s="147">
        <f>SUMIFS('Plan rashoda za unos u SAP'!$I$3:$I$480,'Plan rashoda za unos u SAP'!$C$3:$C$480,"=563",'Plan rashoda za unos u SAP'!$M$3:$M$480,"=372")+SUMIFS('ANALITIKA EU PROJEKATA'!$G$3:$G$499,'ANALITIKA EU PROJEKATA'!$A$3:$A$499,"=563",'ANALITIKA EU PROJEKATA'!$P$3:$P$499,"=372")</f>
        <v>0</v>
      </c>
      <c r="P32" s="147">
        <f>SUMIFS('Plan rashoda za unos u SAP'!$I$3:$I$480,'Plan rashoda za unos u SAP'!$C$3:$C$480,"=573",'Plan rashoda za unos u SAP'!$M$3:$M$480,"=372")+SUMIFS('ANALITIKA EU PROJEKATA'!$G$3:$G$499,'ANALITIKA EU PROJEKATA'!$A$3:$A$499,"=573",'ANALITIKA EU PROJEKATA'!$P$3:$P$499,"=372")</f>
        <v>0</v>
      </c>
      <c r="Q32" s="147">
        <f>SUMIFS('Plan rashoda za unos u SAP'!$I$3:$I$480,'Plan rashoda za unos u SAP'!$C$3:$C$480,"=575",'Plan rashoda za unos u SAP'!$M$3:$M$480,"=372")+SUMIFS('ANALITIKA EU PROJEKATA'!$G$3:$G$499,'ANALITIKA EU PROJEKATA'!$A$3:$A$499,"=575",'ANALITIKA EU PROJEKATA'!$P$3:$P$499,"=372")</f>
        <v>0</v>
      </c>
      <c r="R32" s="147">
        <f>SUMIFS('Plan rashoda za unos u SAP'!$I$3:$I$480,'Plan rashoda za unos u SAP'!$C$3:$C$480,"=576",'Plan rashoda za unos u SAP'!$M$3:$M$480,"=372")+SUMIFS('ANALITIKA EU PROJEKATA'!$G$3:$G$499,'ANALITIKA EU PROJEKATA'!$A$3:$A$499,"=576",'ANALITIKA EU PROJEKATA'!$P$3:$P$499,"=372")</f>
        <v>0</v>
      </c>
      <c r="S32" s="147">
        <f>SUMIFS('Plan rashoda za unos u SAP'!$I$3:$I$480,'Plan rashoda za unos u SAP'!$C$3:$C$480,"=581",'Plan rashoda za unos u SAP'!$M$3:$M$480,"=372")+SUMIFS('ANALITIKA EU PROJEKATA'!$G$3:$G$499,'ANALITIKA EU PROJEKATA'!$A$3:$A$499,"=581",'ANALITIKA EU PROJEKATA'!$P$3:$P$499,"=372")</f>
        <v>0</v>
      </c>
      <c r="T32" s="147">
        <f>SUMIFS('Plan rashoda za unos u SAP'!$I$3:$I$480,'Plan rashoda za unos u SAP'!$C$3:$C$480,"=61",'Plan rashoda za unos u SAP'!$M$3:$M$480,"=372")+SUMIFS('ANALITIKA EU PROJEKATA'!$G$3:$G$499,'ANALITIKA EU PROJEKATA'!$A$3:$A$499,"=61",'ANALITIKA EU PROJEKATA'!$P$3:$P$499,"=372")</f>
        <v>0</v>
      </c>
      <c r="U32" s="147">
        <f>SUMIFS('Plan rashoda za unos u SAP'!$I$3:$I$480,'Plan rashoda za unos u SAP'!$C$3:$C$480,"=63",'Plan rashoda za unos u SAP'!$M$3:$M$480,"=372")+SUMIFS('ANALITIKA EU PROJEKATA'!$G$3:$G$499,'ANALITIKA EU PROJEKATA'!$A$3:$A$499,"=63",'ANALITIKA EU PROJEKATA'!$P$3:$P$499,"=372")</f>
        <v>0</v>
      </c>
      <c r="V32" s="147">
        <f>SUMIFS('Plan rashoda za unos u SAP'!$I$3:$I$480,'Plan rashoda za unos u SAP'!$C$3:$C$480,"=71",'Plan rashoda za unos u SAP'!$M$3:$M$480,"=372")+SUMIFS('ANALITIKA EU PROJEKATA'!$G$3:$G$499,'ANALITIKA EU PROJEKATA'!$A$3:$A$499,"=71",'ANALITIKA EU PROJEKATA'!$P$3:$P$499,"=372")</f>
        <v>0</v>
      </c>
      <c r="W32" s="147">
        <f>SUMIFS('Plan rashoda za unos u SAP'!$I$3:$I$480,'Plan rashoda za unos u SAP'!$C$3:$C$480,"=81",'Plan rashoda za unos u SAP'!$M$3:$M$480,"=372")+SUMIFS('ANALITIKA EU PROJEKATA'!$G$3:$G$499,'ANALITIKA EU PROJEKATA'!$A$3:$A$499,"=81",'ANALITIKA EU PROJEKATA'!$P$3:$P$499,"=372")</f>
        <v>0</v>
      </c>
      <c r="X32" s="129"/>
      <c r="Y32" s="129"/>
      <c r="Z32" s="129"/>
      <c r="AA32" s="129"/>
      <c r="AB32" s="129"/>
      <c r="AC32" s="129"/>
      <c r="AD32" s="129"/>
      <c r="AE32" s="129"/>
      <c r="AF32" s="129"/>
      <c r="AG32" s="129"/>
      <c r="AH32" s="129"/>
      <c r="AI32" s="129"/>
      <c r="AJ32" s="129"/>
      <c r="AK32" s="129"/>
      <c r="AL32" s="129"/>
      <c r="AM32" s="129"/>
      <c r="AN32" s="129"/>
      <c r="AO32" s="129"/>
      <c r="AP32" s="129"/>
      <c r="AQ32" s="129"/>
    </row>
    <row r="33" spans="1:43" ht="12" customHeight="1">
      <c r="A33" s="131">
        <v>2021</v>
      </c>
      <c r="B33" s="150">
        <v>38</v>
      </c>
      <c r="C33" s="151" t="s">
        <v>3453</v>
      </c>
      <c r="D33" s="108">
        <f t="shared" si="0"/>
        <v>0</v>
      </c>
      <c r="E33" s="108">
        <f t="shared" ref="E33:W33" si="9">SUM(E34:E37)</f>
        <v>0</v>
      </c>
      <c r="F33" s="108">
        <f t="shared" si="9"/>
        <v>0</v>
      </c>
      <c r="G33" s="108">
        <f t="shared" si="9"/>
        <v>0</v>
      </c>
      <c r="H33" s="108">
        <f t="shared" si="9"/>
        <v>0</v>
      </c>
      <c r="I33" s="108">
        <f t="shared" si="9"/>
        <v>0</v>
      </c>
      <c r="J33" s="108">
        <f t="shared" si="9"/>
        <v>0</v>
      </c>
      <c r="K33" s="108">
        <f t="shared" si="9"/>
        <v>0</v>
      </c>
      <c r="L33" s="108">
        <f t="shared" si="9"/>
        <v>0</v>
      </c>
      <c r="M33" s="108">
        <f t="shared" si="9"/>
        <v>0</v>
      </c>
      <c r="N33" s="108">
        <f t="shared" si="9"/>
        <v>0</v>
      </c>
      <c r="O33" s="108">
        <f t="shared" si="9"/>
        <v>0</v>
      </c>
      <c r="P33" s="108">
        <f t="shared" si="9"/>
        <v>0</v>
      </c>
      <c r="Q33" s="108">
        <f t="shared" si="9"/>
        <v>0</v>
      </c>
      <c r="R33" s="108">
        <f t="shared" si="9"/>
        <v>0</v>
      </c>
      <c r="S33" s="108">
        <f t="shared" si="9"/>
        <v>0</v>
      </c>
      <c r="T33" s="108">
        <f t="shared" si="9"/>
        <v>0</v>
      </c>
      <c r="U33" s="108">
        <f t="shared" si="9"/>
        <v>0</v>
      </c>
      <c r="V33" s="108">
        <f t="shared" si="9"/>
        <v>0</v>
      </c>
      <c r="W33" s="108">
        <f t="shared" si="9"/>
        <v>0</v>
      </c>
      <c r="X33" s="152"/>
      <c r="Y33" s="152"/>
      <c r="Z33" s="152"/>
      <c r="AA33" s="152"/>
      <c r="AB33" s="152"/>
      <c r="AC33" s="152"/>
      <c r="AD33" s="152"/>
      <c r="AE33" s="152"/>
      <c r="AF33" s="152"/>
      <c r="AG33" s="152"/>
      <c r="AH33" s="152"/>
      <c r="AI33" s="152"/>
      <c r="AJ33" s="152"/>
      <c r="AK33" s="152"/>
      <c r="AL33" s="152"/>
      <c r="AM33" s="152"/>
      <c r="AN33" s="152"/>
      <c r="AO33" s="152"/>
      <c r="AP33" s="152"/>
      <c r="AQ33" s="152"/>
    </row>
    <row r="34" spans="1:43" ht="12" customHeight="1">
      <c r="A34" s="131">
        <v>2021</v>
      </c>
      <c r="B34" s="148">
        <v>381</v>
      </c>
      <c r="C34" s="149" t="s">
        <v>3454</v>
      </c>
      <c r="D34" s="94">
        <f t="shared" si="0"/>
        <v>0</v>
      </c>
      <c r="E34" s="147">
        <f>SUMIFS('Plan rashoda za unos u SAP'!$I$3:$I$480,'Plan rashoda za unos u SAP'!$C$3:$C$480,"=11",'Plan rashoda za unos u SAP'!$M$3:$M$480,"=381")+SUMIFS('ANALITIKA EU PROJEKATA'!$G$3:$G$499,'ANALITIKA EU PROJEKATA'!$A$3:$A$499,"=11",'ANALITIKA EU PROJEKATA'!$P$3:$P$499,"=381")</f>
        <v>0</v>
      </c>
      <c r="F34" s="147">
        <f>SUMIFS('Plan rashoda za unos u SAP'!$I$3:$I$480,'Plan rashoda za unos u SAP'!$C$3:$C$480,"=12",'Plan rashoda za unos u SAP'!$M$3:$M$480,"=381")+SUMIFS('ANALITIKA EU PROJEKATA'!$G$3:$G$499,'ANALITIKA EU PROJEKATA'!$A$3:$A$499,"=12",'ANALITIKA EU PROJEKATA'!$P$3:$P$499,"=381")</f>
        <v>0</v>
      </c>
      <c r="G34" s="147">
        <f>SUMIFS('Plan rashoda za unos u SAP'!$I$3:$I$480,'Plan rashoda za unos u SAP'!$C$3:$C$480,"=31",'Plan rashoda za unos u SAP'!$M$3:$M$480,"=381")+SUMIFS('ANALITIKA EU PROJEKATA'!$G$3:$G$499,'ANALITIKA EU PROJEKATA'!$A$3:$A$499,"=31",'ANALITIKA EU PROJEKATA'!$P$3:$P$499,"=381")</f>
        <v>0</v>
      </c>
      <c r="H34" s="147">
        <f>SUMIFS('Plan rashoda za unos u SAP'!$I$3:$I$480,'Plan rashoda za unos u SAP'!$C$3:$C$480,"=41",'Plan rashoda za unos u SAP'!$M$3:$M$480,"=381")+SUMIFS('ANALITIKA EU PROJEKATA'!$G$3:$G$499,'ANALITIKA EU PROJEKATA'!$A$3:$A$499,"=41",'ANALITIKA EU PROJEKATA'!$P$3:$P$499,"=381")</f>
        <v>0</v>
      </c>
      <c r="I34" s="147">
        <f>SUMIFS('Plan rashoda za unos u SAP'!$I$3:$I$480,'Plan rashoda za unos u SAP'!$C$3:$C$480,"=43",'Plan rashoda za unos u SAP'!$M$3:$M$480,"=381")+SUMIFS('ANALITIKA EU PROJEKATA'!$G$3:$G$499,'ANALITIKA EU PROJEKATA'!$A$3:$A$499,"=43",'ANALITIKA EU PROJEKATA'!$P$3:$P$499,"=381")</f>
        <v>0</v>
      </c>
      <c r="J34" s="147">
        <f>SUMIFS('Plan rashoda za unos u SAP'!$I$3:$I$480,'Plan rashoda za unos u SAP'!$C$3:$C$480,"=51",'Plan rashoda za unos u SAP'!$M$3:$M$480,"=381")+SUMIFS('ANALITIKA EU PROJEKATA'!$G$3:$G$499,'ANALITIKA EU PROJEKATA'!$A$3:$A$499,"=51",'ANALITIKA EU PROJEKATA'!$P$3:$P$499,"=381")</f>
        <v>0</v>
      </c>
      <c r="K34" s="147">
        <f>SUMIFS('Plan rashoda za unos u SAP'!$I$3:$I$480,'Plan rashoda za unos u SAP'!$C$3:$C$480,"=52",'Plan rashoda za unos u SAP'!$M$3:$M$480,"=381")+SUMIFS('ANALITIKA EU PROJEKATA'!$G$3:$G$499,'ANALITIKA EU PROJEKATA'!$A$3:$A$499,"=52",'ANALITIKA EU PROJEKATA'!$P$3:$P$499,"=381")</f>
        <v>0</v>
      </c>
      <c r="L34" s="147">
        <f>SUMIFS('Plan rashoda za unos u SAP'!$I$3:$I$480,'Plan rashoda za unos u SAP'!$C$3:$C$480,"=552",'Plan rashoda za unos u SAP'!$M$3:$M$480,"=381")+SUMIFS('ANALITIKA EU PROJEKATA'!$G$3:$G$499,'ANALITIKA EU PROJEKATA'!$A$3:$A$499,"=552",'ANALITIKA EU PROJEKATA'!$P$3:$P$499,"=381")</f>
        <v>0</v>
      </c>
      <c r="M34" s="147">
        <f>SUMIFS('Plan rashoda za unos u SAP'!$I$3:$I$480,'Plan rashoda za unos u SAP'!$C$3:$C$480,"=559",'Plan rashoda za unos u SAP'!$M$3:$M$480,"=381")+SUMIFS('ANALITIKA EU PROJEKATA'!$G$3:$G$499,'ANALITIKA EU PROJEKATA'!$A$3:$A$499,"=559",'ANALITIKA EU PROJEKATA'!$P$3:$P$499,"=381")</f>
        <v>0</v>
      </c>
      <c r="N34" s="147">
        <f>SUMIFS('Plan rashoda za unos u SAP'!$I$3:$I$480,'Plan rashoda za unos u SAP'!$C$3:$C$480,"=561",'Plan rashoda za unos u SAP'!$M$3:$M$480,"=381")+SUMIFS('ANALITIKA EU PROJEKATA'!$G$3:$G$499,'ANALITIKA EU PROJEKATA'!$A$3:$A$499,"=561",'ANALITIKA EU PROJEKATA'!$P$3:$P$499,"=381")</f>
        <v>0</v>
      </c>
      <c r="O34" s="147">
        <f>SUMIFS('Plan rashoda za unos u SAP'!$I$3:$I$480,'Plan rashoda za unos u SAP'!$C$3:$C$480,"=563",'Plan rashoda za unos u SAP'!$M$3:$M$480,"=381")+SUMIFS('ANALITIKA EU PROJEKATA'!$G$3:$G$499,'ANALITIKA EU PROJEKATA'!$A$3:$A$499,"=563",'ANALITIKA EU PROJEKATA'!$P$3:$P$499,"=381")</f>
        <v>0</v>
      </c>
      <c r="P34" s="147">
        <f>SUMIFS('Plan rashoda za unos u SAP'!$I$3:$I$480,'Plan rashoda za unos u SAP'!$C$3:$C$480,"=573",'Plan rashoda za unos u SAP'!$M$3:$M$480,"=381")+SUMIFS('ANALITIKA EU PROJEKATA'!$G$3:$G$499,'ANALITIKA EU PROJEKATA'!$A$3:$A$499,"=573",'ANALITIKA EU PROJEKATA'!$P$3:$P$499,"=381")</f>
        <v>0</v>
      </c>
      <c r="Q34" s="147">
        <f>SUMIFS('Plan rashoda za unos u SAP'!$I$3:$I$480,'Plan rashoda za unos u SAP'!$C$3:$C$480,"=575",'Plan rashoda za unos u SAP'!$M$3:$M$480,"=381")+SUMIFS('ANALITIKA EU PROJEKATA'!$G$3:$G$499,'ANALITIKA EU PROJEKATA'!$A$3:$A$499,"=575",'ANALITIKA EU PROJEKATA'!$P$3:$P$499,"=381")</f>
        <v>0</v>
      </c>
      <c r="R34" s="147">
        <f>SUMIFS('Plan rashoda za unos u SAP'!$I$3:$I$480,'Plan rashoda za unos u SAP'!$C$3:$C$480,"=576",'Plan rashoda za unos u SAP'!$M$3:$M$480,"=381")+SUMIFS('ANALITIKA EU PROJEKATA'!$G$3:$G$499,'ANALITIKA EU PROJEKATA'!$A$3:$A$499,"=576",'ANALITIKA EU PROJEKATA'!$P$3:$P$499,"=381")</f>
        <v>0</v>
      </c>
      <c r="S34" s="147">
        <f>SUMIFS('Plan rashoda za unos u SAP'!$I$3:$I$480,'Plan rashoda za unos u SAP'!$C$3:$C$480,"=581",'Plan rashoda za unos u SAP'!$M$3:$M$480,"=381")+SUMIFS('ANALITIKA EU PROJEKATA'!$G$3:$G$499,'ANALITIKA EU PROJEKATA'!$A$3:$A$499,"=581",'ANALITIKA EU PROJEKATA'!$P$3:$P$499,"=381")</f>
        <v>0</v>
      </c>
      <c r="T34" s="147">
        <f>SUMIFS('Plan rashoda za unos u SAP'!$I$3:$I$480,'Plan rashoda za unos u SAP'!$C$3:$C$480,"=61",'Plan rashoda za unos u SAP'!$M$3:$M$480,"=381")+SUMIFS('ANALITIKA EU PROJEKATA'!$G$3:$G$499,'ANALITIKA EU PROJEKATA'!$A$3:$A$499,"=61",'ANALITIKA EU PROJEKATA'!$P$3:$P$499,"=381")</f>
        <v>0</v>
      </c>
      <c r="U34" s="147">
        <f>SUMIFS('Plan rashoda za unos u SAP'!$I$3:$I$480,'Plan rashoda za unos u SAP'!$C$3:$C$480,"=63",'Plan rashoda za unos u SAP'!$M$3:$M$480,"=381")+SUMIFS('ANALITIKA EU PROJEKATA'!$G$3:$G$499,'ANALITIKA EU PROJEKATA'!$A$3:$A$499,"=63",'ANALITIKA EU PROJEKATA'!$P$3:$P$499,"=381")</f>
        <v>0</v>
      </c>
      <c r="V34" s="147">
        <f>SUMIFS('Plan rashoda za unos u SAP'!$I$3:$I$480,'Plan rashoda za unos u SAP'!$C$3:$C$480,"=71",'Plan rashoda za unos u SAP'!$M$3:$M$480,"=381")+SUMIFS('ANALITIKA EU PROJEKATA'!$G$3:$G$499,'ANALITIKA EU PROJEKATA'!$A$3:$A$499,"=71",'ANALITIKA EU PROJEKATA'!$P$3:$P$499,"=381")</f>
        <v>0</v>
      </c>
      <c r="W34" s="147">
        <f>SUMIFS('Plan rashoda za unos u SAP'!$I$3:$I$480,'Plan rashoda za unos u SAP'!$C$3:$C$480,"=81",'Plan rashoda za unos u SAP'!$M$3:$M$480,"=381")+SUMIFS('ANALITIKA EU PROJEKATA'!$G$3:$G$499,'ANALITIKA EU PROJEKATA'!$A$3:$A$499,"=81",'ANALITIKA EU PROJEKATA'!$P$3:$P$499,"=381")</f>
        <v>0</v>
      </c>
      <c r="X34" s="129"/>
      <c r="Y34" s="129"/>
      <c r="Z34" s="129"/>
      <c r="AA34" s="129"/>
      <c r="AB34" s="129"/>
      <c r="AC34" s="129"/>
      <c r="AD34" s="129"/>
      <c r="AE34" s="129"/>
      <c r="AF34" s="129"/>
      <c r="AG34" s="129"/>
      <c r="AH34" s="129"/>
      <c r="AI34" s="129"/>
      <c r="AJ34" s="129"/>
      <c r="AK34" s="129"/>
      <c r="AL34" s="129"/>
      <c r="AM34" s="129"/>
      <c r="AN34" s="129"/>
      <c r="AO34" s="129"/>
      <c r="AP34" s="129"/>
      <c r="AQ34" s="129"/>
    </row>
    <row r="35" spans="1:43" ht="12" customHeight="1">
      <c r="A35" s="131">
        <v>2021</v>
      </c>
      <c r="B35" s="148">
        <v>382</v>
      </c>
      <c r="C35" s="149" t="s">
        <v>3455</v>
      </c>
      <c r="D35" s="94">
        <f t="shared" si="0"/>
        <v>0</v>
      </c>
      <c r="E35" s="147">
        <f>SUMIFS('Plan rashoda za unos u SAP'!$I$3:$I$480,'Plan rashoda za unos u SAP'!$C$3:$C$480,"=11",'Plan rashoda za unos u SAP'!$M$3:$M$480,"=382")+SUMIFS('ANALITIKA EU PROJEKATA'!$G$3:$G$499,'ANALITIKA EU PROJEKATA'!$A$3:$A$499,"=11",'ANALITIKA EU PROJEKATA'!$P$3:$P$499,"=382")</f>
        <v>0</v>
      </c>
      <c r="F35" s="147">
        <f>SUMIFS('Plan rashoda za unos u SAP'!$I$3:$I$480,'Plan rashoda za unos u SAP'!$C$3:$C$480,"=12",'Plan rashoda za unos u SAP'!$M$3:$M$480,"=382")+SUMIFS('ANALITIKA EU PROJEKATA'!$G$3:$G$499,'ANALITIKA EU PROJEKATA'!$A$3:$A$499,"=12",'ANALITIKA EU PROJEKATA'!$P$3:$P$499,"=382")</f>
        <v>0</v>
      </c>
      <c r="G35" s="147">
        <f>SUMIFS('Plan rashoda za unos u SAP'!$I$3:$I$480,'Plan rashoda za unos u SAP'!$C$3:$C$480,"=31",'Plan rashoda za unos u SAP'!$M$3:$M$480,"=382")+SUMIFS('ANALITIKA EU PROJEKATA'!$G$3:$G$499,'ANALITIKA EU PROJEKATA'!$A$3:$A$499,"=31",'ANALITIKA EU PROJEKATA'!$P$3:$P$499,"=382")</f>
        <v>0</v>
      </c>
      <c r="H35" s="147">
        <f>SUMIFS('Plan rashoda za unos u SAP'!$I$3:$I$480,'Plan rashoda za unos u SAP'!$C$3:$C$480,"=41",'Plan rashoda za unos u SAP'!$M$3:$M$480,"=382")+SUMIFS('ANALITIKA EU PROJEKATA'!$G$3:$G$499,'ANALITIKA EU PROJEKATA'!$A$3:$A$499,"=41",'ANALITIKA EU PROJEKATA'!$P$3:$P$499,"=382")</f>
        <v>0</v>
      </c>
      <c r="I35" s="147">
        <f>SUMIFS('Plan rashoda za unos u SAP'!$I$3:$I$480,'Plan rashoda za unos u SAP'!$C$3:$C$480,"=43",'Plan rashoda za unos u SAP'!$M$3:$M$480,"=382")+SUMIFS('ANALITIKA EU PROJEKATA'!$G$3:$G$499,'ANALITIKA EU PROJEKATA'!$A$3:$A$499,"=43",'ANALITIKA EU PROJEKATA'!$P$3:$P$499,"=382")</f>
        <v>0</v>
      </c>
      <c r="J35" s="147">
        <f>SUMIFS('Plan rashoda za unos u SAP'!$I$3:$I$480,'Plan rashoda za unos u SAP'!$C$3:$C$480,"=51",'Plan rashoda za unos u SAP'!$M$3:$M$480,"=382")+SUMIFS('ANALITIKA EU PROJEKATA'!$G$3:$G$499,'ANALITIKA EU PROJEKATA'!$A$3:$A$499,"=51",'ANALITIKA EU PROJEKATA'!$P$3:$P$499,"=382")</f>
        <v>0</v>
      </c>
      <c r="K35" s="147">
        <f>SUMIFS('Plan rashoda za unos u SAP'!$I$3:$I$480,'Plan rashoda za unos u SAP'!$C$3:$C$480,"=52",'Plan rashoda za unos u SAP'!$M$3:$M$480,"=382")+SUMIFS('ANALITIKA EU PROJEKATA'!$G$3:$G$499,'ANALITIKA EU PROJEKATA'!$A$3:$A$499,"=52",'ANALITIKA EU PROJEKATA'!$P$3:$P$499,"=382")</f>
        <v>0</v>
      </c>
      <c r="L35" s="147">
        <f>SUMIFS('Plan rashoda za unos u SAP'!$I$3:$I$480,'Plan rashoda za unos u SAP'!$C$3:$C$480,"=552",'Plan rashoda za unos u SAP'!$M$3:$M$480,"=382")+SUMIFS('ANALITIKA EU PROJEKATA'!$G$3:$G$499,'ANALITIKA EU PROJEKATA'!$A$3:$A$499,"=552",'ANALITIKA EU PROJEKATA'!$P$3:$P$499,"=382")</f>
        <v>0</v>
      </c>
      <c r="M35" s="147">
        <f>SUMIFS('Plan rashoda za unos u SAP'!$I$3:$I$480,'Plan rashoda za unos u SAP'!$C$3:$C$480,"=559",'Plan rashoda za unos u SAP'!$M$3:$M$480,"=382")+SUMIFS('ANALITIKA EU PROJEKATA'!$G$3:$G$499,'ANALITIKA EU PROJEKATA'!$A$3:$A$499,"=559",'ANALITIKA EU PROJEKATA'!$P$3:$P$499,"=382")</f>
        <v>0</v>
      </c>
      <c r="N35" s="147">
        <f>SUMIFS('Plan rashoda za unos u SAP'!$I$3:$I$480,'Plan rashoda za unos u SAP'!$C$3:$C$480,"=561",'Plan rashoda za unos u SAP'!$M$3:$M$480,"=382")+SUMIFS('ANALITIKA EU PROJEKATA'!$G$3:$G$499,'ANALITIKA EU PROJEKATA'!$A$3:$A$499,"=561",'ANALITIKA EU PROJEKATA'!$P$3:$P$499,"=382")</f>
        <v>0</v>
      </c>
      <c r="O35" s="147">
        <f>SUMIFS('Plan rashoda za unos u SAP'!$I$3:$I$480,'Plan rashoda za unos u SAP'!$C$3:$C$480,"=563",'Plan rashoda za unos u SAP'!$M$3:$M$480,"=382")+SUMIFS('ANALITIKA EU PROJEKATA'!$G$3:$G$499,'ANALITIKA EU PROJEKATA'!$A$3:$A$499,"=563",'ANALITIKA EU PROJEKATA'!$P$3:$P$499,"=382")</f>
        <v>0</v>
      </c>
      <c r="P35" s="147">
        <f>SUMIFS('Plan rashoda za unos u SAP'!$I$3:$I$480,'Plan rashoda za unos u SAP'!$C$3:$C$480,"=573",'Plan rashoda za unos u SAP'!$M$3:$M$480,"=382")+SUMIFS('ANALITIKA EU PROJEKATA'!$G$3:$G$499,'ANALITIKA EU PROJEKATA'!$A$3:$A$499,"=573",'ANALITIKA EU PROJEKATA'!$P$3:$P$499,"=382")</f>
        <v>0</v>
      </c>
      <c r="Q35" s="147">
        <f>SUMIFS('Plan rashoda za unos u SAP'!$I$3:$I$480,'Plan rashoda za unos u SAP'!$C$3:$C$480,"=575",'Plan rashoda za unos u SAP'!$M$3:$M$480,"=382")+SUMIFS('ANALITIKA EU PROJEKATA'!$G$3:$G$499,'ANALITIKA EU PROJEKATA'!$A$3:$A$499,"=575",'ANALITIKA EU PROJEKATA'!$P$3:$P$499,"=382")</f>
        <v>0</v>
      </c>
      <c r="R35" s="147">
        <f>SUMIFS('Plan rashoda za unos u SAP'!$I$3:$I$480,'Plan rashoda za unos u SAP'!$C$3:$C$480,"=576",'Plan rashoda za unos u SAP'!$M$3:$M$480,"=382")+SUMIFS('ANALITIKA EU PROJEKATA'!$G$3:$G$499,'ANALITIKA EU PROJEKATA'!$A$3:$A$499,"=576",'ANALITIKA EU PROJEKATA'!$P$3:$P$499,"=382")</f>
        <v>0</v>
      </c>
      <c r="S35" s="147">
        <f>SUMIFS('Plan rashoda za unos u SAP'!$I$3:$I$480,'Plan rashoda za unos u SAP'!$C$3:$C$480,"=581",'Plan rashoda za unos u SAP'!$M$3:$M$480,"=382")+SUMIFS('ANALITIKA EU PROJEKATA'!$G$3:$G$499,'ANALITIKA EU PROJEKATA'!$A$3:$A$499,"=581",'ANALITIKA EU PROJEKATA'!$P$3:$P$499,"=382")</f>
        <v>0</v>
      </c>
      <c r="T35" s="147">
        <f>SUMIFS('Plan rashoda za unos u SAP'!$I$3:$I$480,'Plan rashoda za unos u SAP'!$C$3:$C$480,"=61",'Plan rashoda za unos u SAP'!$M$3:$M$480,"=382")+SUMIFS('ANALITIKA EU PROJEKATA'!$G$3:$G$499,'ANALITIKA EU PROJEKATA'!$A$3:$A$499,"=61",'ANALITIKA EU PROJEKATA'!$P$3:$P$499,"=382")</f>
        <v>0</v>
      </c>
      <c r="U35" s="147">
        <f>SUMIFS('Plan rashoda za unos u SAP'!$I$3:$I$480,'Plan rashoda za unos u SAP'!$C$3:$C$480,"=63",'Plan rashoda za unos u SAP'!$M$3:$M$480,"=382")+SUMIFS('ANALITIKA EU PROJEKATA'!$G$3:$G$499,'ANALITIKA EU PROJEKATA'!$A$3:$A$499,"=63",'ANALITIKA EU PROJEKATA'!$P$3:$P$499,"=382")</f>
        <v>0</v>
      </c>
      <c r="V35" s="147">
        <f>SUMIFS('Plan rashoda za unos u SAP'!$I$3:$I$480,'Plan rashoda za unos u SAP'!$C$3:$C$480,"=71",'Plan rashoda za unos u SAP'!$M$3:$M$480,"=382")+SUMIFS('ANALITIKA EU PROJEKATA'!$G$3:$G$499,'ANALITIKA EU PROJEKATA'!$A$3:$A$499,"=71",'ANALITIKA EU PROJEKATA'!$P$3:$P$499,"=382")</f>
        <v>0</v>
      </c>
      <c r="W35" s="147">
        <f>SUMIFS('Plan rashoda za unos u SAP'!$I$3:$I$480,'Plan rashoda za unos u SAP'!$C$3:$C$480,"=81",'Plan rashoda za unos u SAP'!$M$3:$M$480,"=382")+SUMIFS('ANALITIKA EU PROJEKATA'!$G$3:$G$499,'ANALITIKA EU PROJEKATA'!$A$3:$A$499,"=81",'ANALITIKA EU PROJEKATA'!$P$3:$P$499,"=382")</f>
        <v>0</v>
      </c>
      <c r="X35" s="129"/>
      <c r="Y35" s="129"/>
      <c r="Z35" s="129"/>
      <c r="AA35" s="129"/>
      <c r="AB35" s="129"/>
      <c r="AC35" s="129"/>
      <c r="AD35" s="129"/>
      <c r="AE35" s="129"/>
      <c r="AF35" s="129"/>
      <c r="AG35" s="129"/>
      <c r="AH35" s="129"/>
      <c r="AI35" s="129"/>
      <c r="AJ35" s="129"/>
      <c r="AK35" s="129"/>
      <c r="AL35" s="129"/>
      <c r="AM35" s="129"/>
      <c r="AN35" s="129"/>
      <c r="AO35" s="129"/>
      <c r="AP35" s="129"/>
      <c r="AQ35" s="129"/>
    </row>
    <row r="36" spans="1:43" ht="12" customHeight="1">
      <c r="A36" s="131">
        <v>2021</v>
      </c>
      <c r="B36" s="148">
        <v>383</v>
      </c>
      <c r="C36" s="149" t="s">
        <v>3456</v>
      </c>
      <c r="D36" s="94">
        <f t="shared" si="0"/>
        <v>0</v>
      </c>
      <c r="E36" s="147">
        <f>SUMIFS('Plan rashoda za unos u SAP'!$I$3:$I$480,'Plan rashoda za unos u SAP'!$C$3:$C$480,"=11",'Plan rashoda za unos u SAP'!$M$3:$M$480,"=383")+SUMIFS('ANALITIKA EU PROJEKATA'!$G$3:$G$499,'ANALITIKA EU PROJEKATA'!$A$3:$A$499,"=11",'ANALITIKA EU PROJEKATA'!$P$3:$P$499,"=383")</f>
        <v>0</v>
      </c>
      <c r="F36" s="147">
        <f>SUMIFS('Plan rashoda za unos u SAP'!$I$3:$I$480,'Plan rashoda za unos u SAP'!$C$3:$C$480,"=12",'Plan rashoda za unos u SAP'!$M$3:$M$480,"=383")+SUMIFS('ANALITIKA EU PROJEKATA'!$G$3:$G$499,'ANALITIKA EU PROJEKATA'!$A$3:$A$499,"=12",'ANALITIKA EU PROJEKATA'!$P$3:$P$499,"=383")</f>
        <v>0</v>
      </c>
      <c r="G36" s="147">
        <f>SUMIFS('Plan rashoda za unos u SAP'!$I$3:$I$480,'Plan rashoda za unos u SAP'!$C$3:$C$480,"=31",'Plan rashoda za unos u SAP'!$M$3:$M$480,"=383")+SUMIFS('ANALITIKA EU PROJEKATA'!$G$3:$G$499,'ANALITIKA EU PROJEKATA'!$A$3:$A$499,"=31",'ANALITIKA EU PROJEKATA'!$P$3:$P$499,"=383")</f>
        <v>0</v>
      </c>
      <c r="H36" s="147">
        <f>SUMIFS('Plan rashoda za unos u SAP'!$I$3:$I$480,'Plan rashoda za unos u SAP'!$C$3:$C$480,"=41",'Plan rashoda za unos u SAP'!$M$3:$M$480,"=383")+SUMIFS('ANALITIKA EU PROJEKATA'!$G$3:$G$499,'ANALITIKA EU PROJEKATA'!$A$3:$A$499,"=41",'ANALITIKA EU PROJEKATA'!$P$3:$P$499,"=383")</f>
        <v>0</v>
      </c>
      <c r="I36" s="147">
        <f>SUMIFS('Plan rashoda za unos u SAP'!$I$3:$I$480,'Plan rashoda za unos u SAP'!$C$3:$C$480,"=43",'Plan rashoda za unos u SAP'!$M$3:$M$480,"=383")+SUMIFS('ANALITIKA EU PROJEKATA'!$G$3:$G$499,'ANALITIKA EU PROJEKATA'!$A$3:$A$499,"=43",'ANALITIKA EU PROJEKATA'!$P$3:$P$499,"=383")</f>
        <v>0</v>
      </c>
      <c r="J36" s="147">
        <f>SUMIFS('Plan rashoda za unos u SAP'!$I$3:$I$480,'Plan rashoda za unos u SAP'!$C$3:$C$480,"=51",'Plan rashoda za unos u SAP'!$M$3:$M$480,"=383")+SUMIFS('ANALITIKA EU PROJEKATA'!$G$3:$G$499,'ANALITIKA EU PROJEKATA'!$A$3:$A$499,"=51",'ANALITIKA EU PROJEKATA'!$P$3:$P$499,"=383")</f>
        <v>0</v>
      </c>
      <c r="K36" s="147">
        <f>SUMIFS('Plan rashoda za unos u SAP'!$I$3:$I$480,'Plan rashoda za unos u SAP'!$C$3:$C$480,"=52",'Plan rashoda za unos u SAP'!$M$3:$M$480,"=383")+SUMIFS('ANALITIKA EU PROJEKATA'!$G$3:$G$499,'ANALITIKA EU PROJEKATA'!$A$3:$A$499,"=52",'ANALITIKA EU PROJEKATA'!$P$3:$P$499,"=383")</f>
        <v>0</v>
      </c>
      <c r="L36" s="147">
        <f>SUMIFS('Plan rashoda za unos u SAP'!$I$3:$I$480,'Plan rashoda za unos u SAP'!$C$3:$C$480,"=552",'Plan rashoda za unos u SAP'!$M$3:$M$480,"=383")+SUMIFS('ANALITIKA EU PROJEKATA'!$G$3:$G$499,'ANALITIKA EU PROJEKATA'!$A$3:$A$499,"=552",'ANALITIKA EU PROJEKATA'!$P$3:$P$499,"=383")</f>
        <v>0</v>
      </c>
      <c r="M36" s="147">
        <f>SUMIFS('Plan rashoda za unos u SAP'!$I$3:$I$480,'Plan rashoda za unos u SAP'!$C$3:$C$480,"=559",'Plan rashoda za unos u SAP'!$M$3:$M$480,"=383")+SUMIFS('ANALITIKA EU PROJEKATA'!$G$3:$G$499,'ANALITIKA EU PROJEKATA'!$A$3:$A$499,"=559",'ANALITIKA EU PROJEKATA'!$P$3:$P$499,"=383")</f>
        <v>0</v>
      </c>
      <c r="N36" s="147">
        <f>SUMIFS('Plan rashoda za unos u SAP'!$I$3:$I$480,'Plan rashoda za unos u SAP'!$C$3:$C$480,"=561",'Plan rashoda za unos u SAP'!$M$3:$M$480,"=383")+SUMIFS('ANALITIKA EU PROJEKATA'!$G$3:$G$499,'ANALITIKA EU PROJEKATA'!$A$3:$A$499,"=561",'ANALITIKA EU PROJEKATA'!$P$3:$P$499,"=383")</f>
        <v>0</v>
      </c>
      <c r="O36" s="147">
        <f>SUMIFS('Plan rashoda za unos u SAP'!$I$3:$I$480,'Plan rashoda za unos u SAP'!$C$3:$C$480,"=563",'Plan rashoda za unos u SAP'!$M$3:$M$480,"=383")+SUMIFS('ANALITIKA EU PROJEKATA'!$G$3:$G$499,'ANALITIKA EU PROJEKATA'!$A$3:$A$499,"=563",'ANALITIKA EU PROJEKATA'!$P$3:$P$499,"=383")</f>
        <v>0</v>
      </c>
      <c r="P36" s="147">
        <f>SUMIFS('Plan rashoda za unos u SAP'!$I$3:$I$480,'Plan rashoda za unos u SAP'!$C$3:$C$480,"=573",'Plan rashoda za unos u SAP'!$M$3:$M$480,"=383")+SUMIFS('ANALITIKA EU PROJEKATA'!$G$3:$G$499,'ANALITIKA EU PROJEKATA'!$A$3:$A$499,"=573",'ANALITIKA EU PROJEKATA'!$P$3:$P$499,"=383")</f>
        <v>0</v>
      </c>
      <c r="Q36" s="147">
        <f>SUMIFS('Plan rashoda za unos u SAP'!$I$3:$I$480,'Plan rashoda za unos u SAP'!$C$3:$C$480,"=575",'Plan rashoda za unos u SAP'!$M$3:$M$480,"=383")+SUMIFS('ANALITIKA EU PROJEKATA'!$G$3:$G$499,'ANALITIKA EU PROJEKATA'!$A$3:$A$499,"=575",'ANALITIKA EU PROJEKATA'!$P$3:$P$499,"=383")</f>
        <v>0</v>
      </c>
      <c r="R36" s="147">
        <f>SUMIFS('Plan rashoda za unos u SAP'!$I$3:$I$480,'Plan rashoda za unos u SAP'!$C$3:$C$480,"=576",'Plan rashoda za unos u SAP'!$M$3:$M$480,"=383")+SUMIFS('ANALITIKA EU PROJEKATA'!$G$3:$G$499,'ANALITIKA EU PROJEKATA'!$A$3:$A$499,"=576",'ANALITIKA EU PROJEKATA'!$P$3:$P$499,"=383")</f>
        <v>0</v>
      </c>
      <c r="S36" s="147">
        <f>SUMIFS('Plan rashoda za unos u SAP'!$I$3:$I$480,'Plan rashoda za unos u SAP'!$C$3:$C$480,"=581",'Plan rashoda za unos u SAP'!$M$3:$M$480,"=383")+SUMIFS('ANALITIKA EU PROJEKATA'!$G$3:$G$499,'ANALITIKA EU PROJEKATA'!$A$3:$A$499,"=581",'ANALITIKA EU PROJEKATA'!$P$3:$P$499,"=383")</f>
        <v>0</v>
      </c>
      <c r="T36" s="147">
        <f>SUMIFS('Plan rashoda za unos u SAP'!$I$3:$I$480,'Plan rashoda za unos u SAP'!$C$3:$C$480,"=61",'Plan rashoda za unos u SAP'!$M$3:$M$480,"=383")+SUMIFS('ANALITIKA EU PROJEKATA'!$G$3:$G$499,'ANALITIKA EU PROJEKATA'!$A$3:$A$499,"=61",'ANALITIKA EU PROJEKATA'!$P$3:$P$499,"=383")</f>
        <v>0</v>
      </c>
      <c r="U36" s="147">
        <f>SUMIFS('Plan rashoda za unos u SAP'!$I$3:$I$480,'Plan rashoda za unos u SAP'!$C$3:$C$480,"=63",'Plan rashoda za unos u SAP'!$M$3:$M$480,"=383")+SUMIFS('ANALITIKA EU PROJEKATA'!$G$3:$G$499,'ANALITIKA EU PROJEKATA'!$A$3:$A$499,"=63",'ANALITIKA EU PROJEKATA'!$P$3:$P$499,"=383")</f>
        <v>0</v>
      </c>
      <c r="V36" s="147">
        <f>SUMIFS('Plan rashoda za unos u SAP'!$I$3:$I$480,'Plan rashoda za unos u SAP'!$C$3:$C$480,"=71",'Plan rashoda za unos u SAP'!$M$3:$M$480,"=383")+SUMIFS('ANALITIKA EU PROJEKATA'!$G$3:$G$499,'ANALITIKA EU PROJEKATA'!$A$3:$A$499,"=71",'ANALITIKA EU PROJEKATA'!$P$3:$P$499,"=383")</f>
        <v>0</v>
      </c>
      <c r="W36" s="147">
        <f>SUMIFS('Plan rashoda za unos u SAP'!$I$3:$I$480,'Plan rashoda za unos u SAP'!$C$3:$C$480,"=81",'Plan rashoda za unos u SAP'!$M$3:$M$480,"=383")+SUMIFS('ANALITIKA EU PROJEKATA'!$G$3:$G$499,'ANALITIKA EU PROJEKATA'!$A$3:$A$499,"=81",'ANALITIKA EU PROJEKATA'!$P$3:$P$499,"=383")</f>
        <v>0</v>
      </c>
      <c r="X36" s="129"/>
      <c r="Y36" s="129"/>
      <c r="Z36" s="129"/>
      <c r="AA36" s="129"/>
      <c r="AB36" s="129"/>
      <c r="AC36" s="129"/>
      <c r="AD36" s="129"/>
      <c r="AE36" s="129"/>
      <c r="AF36" s="129"/>
      <c r="AG36" s="129"/>
      <c r="AH36" s="129"/>
      <c r="AI36" s="129"/>
      <c r="AJ36" s="129"/>
      <c r="AK36" s="129"/>
      <c r="AL36" s="129"/>
      <c r="AM36" s="129"/>
      <c r="AN36" s="129"/>
      <c r="AO36" s="129"/>
      <c r="AP36" s="129"/>
      <c r="AQ36" s="129"/>
    </row>
    <row r="37" spans="1:43" ht="12" customHeight="1">
      <c r="A37" s="131">
        <v>2021</v>
      </c>
      <c r="B37" s="148">
        <v>386</v>
      </c>
      <c r="C37" s="153" t="s">
        <v>3457</v>
      </c>
      <c r="D37" s="94">
        <f t="shared" si="0"/>
        <v>0</v>
      </c>
      <c r="E37" s="147">
        <f>SUMIFS('Plan rashoda za unos u SAP'!$I$3:$I$480,'Plan rashoda za unos u SAP'!$C$3:$C$480,"=11",'Plan rashoda za unos u SAP'!$M$3:$M$480,"=386")+SUMIFS('ANALITIKA EU PROJEKATA'!$G$3:$G$499,'ANALITIKA EU PROJEKATA'!$A$3:$A$499,"=11",'ANALITIKA EU PROJEKATA'!$P$3:$P$499,"=386")</f>
        <v>0</v>
      </c>
      <c r="F37" s="147">
        <f>SUMIFS('Plan rashoda za unos u SAP'!$I$3:$I$480,'Plan rashoda za unos u SAP'!$C$3:$C$480,"=12",'Plan rashoda za unos u SAP'!$M$3:$M$480,"=386")+SUMIFS('ANALITIKA EU PROJEKATA'!$G$3:$G$499,'ANALITIKA EU PROJEKATA'!$A$3:$A$499,"=12",'ANALITIKA EU PROJEKATA'!$P$3:$P$499,"=386")</f>
        <v>0</v>
      </c>
      <c r="G37" s="147">
        <f>SUMIFS('Plan rashoda za unos u SAP'!$I$3:$I$480,'Plan rashoda za unos u SAP'!$C$3:$C$480,"=31",'Plan rashoda za unos u SAP'!$M$3:$M$480,"=386")+SUMIFS('ANALITIKA EU PROJEKATA'!$G$3:$G$499,'ANALITIKA EU PROJEKATA'!$A$3:$A$499,"=31",'ANALITIKA EU PROJEKATA'!$P$3:$P$499,"=386")</f>
        <v>0</v>
      </c>
      <c r="H37" s="147">
        <f>SUMIFS('Plan rashoda za unos u SAP'!$I$3:$I$480,'Plan rashoda za unos u SAP'!$C$3:$C$480,"=41",'Plan rashoda za unos u SAP'!$M$3:$M$480,"=386")+SUMIFS('ANALITIKA EU PROJEKATA'!$G$3:$G$499,'ANALITIKA EU PROJEKATA'!$A$3:$A$499,"=41",'ANALITIKA EU PROJEKATA'!$P$3:$P$499,"=386")</f>
        <v>0</v>
      </c>
      <c r="I37" s="147">
        <f>SUMIFS('Plan rashoda za unos u SAP'!$I$3:$I$480,'Plan rashoda za unos u SAP'!$C$3:$C$480,"=43",'Plan rashoda za unos u SAP'!$M$3:$M$480,"=386")+SUMIFS('ANALITIKA EU PROJEKATA'!$G$3:$G$499,'ANALITIKA EU PROJEKATA'!$A$3:$A$499,"=43",'ANALITIKA EU PROJEKATA'!$P$3:$P$499,"=386")</f>
        <v>0</v>
      </c>
      <c r="J37" s="147">
        <f>SUMIFS('Plan rashoda za unos u SAP'!$I$3:$I$480,'Plan rashoda za unos u SAP'!$C$3:$C$480,"=51",'Plan rashoda za unos u SAP'!$M$3:$M$480,"=386")+SUMIFS('ANALITIKA EU PROJEKATA'!$G$3:$G$499,'ANALITIKA EU PROJEKATA'!$A$3:$A$499,"=51",'ANALITIKA EU PROJEKATA'!$P$3:$P$499,"=386")</f>
        <v>0</v>
      </c>
      <c r="K37" s="147">
        <f>SUMIFS('Plan rashoda za unos u SAP'!$I$3:$I$480,'Plan rashoda za unos u SAP'!$C$3:$C$480,"=52",'Plan rashoda za unos u SAP'!$M$3:$M$480,"=386")+SUMIFS('ANALITIKA EU PROJEKATA'!$G$3:$G$499,'ANALITIKA EU PROJEKATA'!$A$3:$A$499,"=52",'ANALITIKA EU PROJEKATA'!$P$3:$P$499,"=386")</f>
        <v>0</v>
      </c>
      <c r="L37" s="147">
        <f>SUMIFS('Plan rashoda za unos u SAP'!$I$3:$I$480,'Plan rashoda za unos u SAP'!$C$3:$C$480,"=552",'Plan rashoda za unos u SAP'!$M$3:$M$480,"=386")+SUMIFS('ANALITIKA EU PROJEKATA'!$G$3:$G$499,'ANALITIKA EU PROJEKATA'!$A$3:$A$499,"=552",'ANALITIKA EU PROJEKATA'!$P$3:$P$499,"=386")</f>
        <v>0</v>
      </c>
      <c r="M37" s="147">
        <f>SUMIFS('Plan rashoda za unos u SAP'!$I$3:$I$480,'Plan rashoda za unos u SAP'!$C$3:$C$480,"=559",'Plan rashoda za unos u SAP'!$M$3:$M$480,"=386")+SUMIFS('ANALITIKA EU PROJEKATA'!$G$3:$G$499,'ANALITIKA EU PROJEKATA'!$A$3:$A$499,"=559",'ANALITIKA EU PROJEKATA'!$P$3:$P$499,"=386")</f>
        <v>0</v>
      </c>
      <c r="N37" s="147">
        <f>SUMIFS('Plan rashoda za unos u SAP'!$I$3:$I$480,'Plan rashoda za unos u SAP'!$C$3:$C$480,"=561",'Plan rashoda za unos u SAP'!$M$3:$M$480,"=386")+SUMIFS('ANALITIKA EU PROJEKATA'!$G$3:$G$499,'ANALITIKA EU PROJEKATA'!$A$3:$A$499,"=561",'ANALITIKA EU PROJEKATA'!$P$3:$P$499,"=386")</f>
        <v>0</v>
      </c>
      <c r="O37" s="147">
        <f>SUMIFS('Plan rashoda za unos u SAP'!$I$3:$I$480,'Plan rashoda za unos u SAP'!$C$3:$C$480,"=563",'Plan rashoda za unos u SAP'!$M$3:$M$480,"=386")+SUMIFS('ANALITIKA EU PROJEKATA'!$G$3:$G$499,'ANALITIKA EU PROJEKATA'!$A$3:$A$499,"=563",'ANALITIKA EU PROJEKATA'!$P$3:$P$499,"=386")</f>
        <v>0</v>
      </c>
      <c r="P37" s="147">
        <f>SUMIFS('Plan rashoda za unos u SAP'!$I$3:$I$480,'Plan rashoda za unos u SAP'!$C$3:$C$480,"=573",'Plan rashoda za unos u SAP'!$M$3:$M$480,"=386")+SUMIFS('ANALITIKA EU PROJEKATA'!$G$3:$G$499,'ANALITIKA EU PROJEKATA'!$A$3:$A$499,"=573",'ANALITIKA EU PROJEKATA'!$P$3:$P$499,"=386")</f>
        <v>0</v>
      </c>
      <c r="Q37" s="147">
        <f>SUMIFS('Plan rashoda za unos u SAP'!$I$3:$I$480,'Plan rashoda za unos u SAP'!$C$3:$C$480,"=575",'Plan rashoda za unos u SAP'!$M$3:$M$480,"=386")+SUMIFS('ANALITIKA EU PROJEKATA'!$G$3:$G$499,'ANALITIKA EU PROJEKATA'!$A$3:$A$499,"=575",'ANALITIKA EU PROJEKATA'!$P$3:$P$499,"=386")</f>
        <v>0</v>
      </c>
      <c r="R37" s="147">
        <f>SUMIFS('Plan rashoda za unos u SAP'!$I$3:$I$480,'Plan rashoda za unos u SAP'!$C$3:$C$480,"=576",'Plan rashoda za unos u SAP'!$M$3:$M$480,"=386")+SUMIFS('ANALITIKA EU PROJEKATA'!$G$3:$G$499,'ANALITIKA EU PROJEKATA'!$A$3:$A$499,"=576",'ANALITIKA EU PROJEKATA'!$P$3:$P$499,"=386")</f>
        <v>0</v>
      </c>
      <c r="S37" s="147">
        <f>SUMIFS('Plan rashoda za unos u SAP'!$I$3:$I$480,'Plan rashoda za unos u SAP'!$C$3:$C$480,"=581",'Plan rashoda za unos u SAP'!$M$3:$M$480,"=386")+SUMIFS('ANALITIKA EU PROJEKATA'!$G$3:$G$499,'ANALITIKA EU PROJEKATA'!$A$3:$A$499,"=581",'ANALITIKA EU PROJEKATA'!$P$3:$P$499,"=386")</f>
        <v>0</v>
      </c>
      <c r="T37" s="147">
        <f>SUMIFS('Plan rashoda za unos u SAP'!$I$3:$I$480,'Plan rashoda za unos u SAP'!$C$3:$C$480,"=61",'Plan rashoda za unos u SAP'!$M$3:$M$480,"=386")+SUMIFS('ANALITIKA EU PROJEKATA'!$G$3:$G$499,'ANALITIKA EU PROJEKATA'!$A$3:$A$499,"=61",'ANALITIKA EU PROJEKATA'!$P$3:$P$499,"=386")</f>
        <v>0</v>
      </c>
      <c r="U37" s="147">
        <f>SUMIFS('Plan rashoda za unos u SAP'!$I$3:$I$480,'Plan rashoda za unos u SAP'!$C$3:$C$480,"=63",'Plan rashoda za unos u SAP'!$M$3:$M$480,"=386")+SUMIFS('ANALITIKA EU PROJEKATA'!$G$3:$G$499,'ANALITIKA EU PROJEKATA'!$A$3:$A$499,"=63",'ANALITIKA EU PROJEKATA'!$P$3:$P$499,"=386")</f>
        <v>0</v>
      </c>
      <c r="V37" s="147">
        <f>SUMIFS('Plan rashoda za unos u SAP'!$I$3:$I$480,'Plan rashoda za unos u SAP'!$C$3:$C$480,"=71",'Plan rashoda za unos u SAP'!$M$3:$M$480,"=386")+SUMIFS('ANALITIKA EU PROJEKATA'!$G$3:$G$499,'ANALITIKA EU PROJEKATA'!$A$3:$A$499,"=71",'ANALITIKA EU PROJEKATA'!$P$3:$P$499,"=386")</f>
        <v>0</v>
      </c>
      <c r="W37" s="147">
        <f>SUMIFS('Plan rashoda za unos u SAP'!$I$3:$I$480,'Plan rashoda za unos u SAP'!$C$3:$C$480,"=81",'Plan rashoda za unos u SAP'!$M$3:$M$480,"=386")+SUMIFS('ANALITIKA EU PROJEKATA'!$G$3:$G$499,'ANALITIKA EU PROJEKATA'!$A$3:$A$499,"=81",'ANALITIKA EU PROJEKATA'!$P$3:$P$499,"=386")</f>
        <v>0</v>
      </c>
      <c r="X37" s="129"/>
      <c r="Y37" s="129"/>
      <c r="Z37" s="129"/>
      <c r="AA37" s="129"/>
      <c r="AB37" s="129"/>
      <c r="AC37" s="129"/>
      <c r="AD37" s="129"/>
      <c r="AE37" s="129"/>
      <c r="AF37" s="129"/>
      <c r="AG37" s="129"/>
      <c r="AH37" s="129"/>
      <c r="AI37" s="129"/>
      <c r="AJ37" s="129"/>
      <c r="AK37" s="129"/>
      <c r="AL37" s="129"/>
      <c r="AM37" s="129"/>
      <c r="AN37" s="129"/>
      <c r="AO37" s="129"/>
      <c r="AP37" s="129"/>
      <c r="AQ37" s="129"/>
    </row>
    <row r="38" spans="1:43" ht="12" customHeight="1">
      <c r="A38" s="131">
        <v>2021</v>
      </c>
      <c r="B38" s="156">
        <v>4</v>
      </c>
      <c r="C38" s="157" t="s">
        <v>3458</v>
      </c>
      <c r="D38" s="158">
        <f t="shared" si="0"/>
        <v>290982428.67779994</v>
      </c>
      <c r="E38" s="158">
        <f t="shared" ref="E38:W38" si="10">E42+E49+E51+E53+E39</f>
        <v>0</v>
      </c>
      <c r="F38" s="158">
        <f t="shared" si="10"/>
        <v>0</v>
      </c>
      <c r="G38" s="158">
        <f t="shared" si="10"/>
        <v>1101070</v>
      </c>
      <c r="H38" s="158">
        <f t="shared" si="10"/>
        <v>0</v>
      </c>
      <c r="I38" s="158">
        <f t="shared" si="10"/>
        <v>3082106.585</v>
      </c>
      <c r="J38" s="158">
        <f t="shared" si="10"/>
        <v>0</v>
      </c>
      <c r="K38" s="158">
        <f t="shared" si="10"/>
        <v>1152991.1878000002</v>
      </c>
      <c r="L38" s="158">
        <f t="shared" si="10"/>
        <v>0</v>
      </c>
      <c r="M38" s="158">
        <f t="shared" si="10"/>
        <v>0</v>
      </c>
      <c r="N38" s="158">
        <f t="shared" si="10"/>
        <v>0</v>
      </c>
      <c r="O38" s="158">
        <f t="shared" si="10"/>
        <v>7790400</v>
      </c>
      <c r="P38" s="158">
        <f t="shared" si="10"/>
        <v>0</v>
      </c>
      <c r="Q38" s="158">
        <f t="shared" si="10"/>
        <v>0</v>
      </c>
      <c r="R38" s="158">
        <f t="shared" si="10"/>
        <v>175730498</v>
      </c>
      <c r="S38" s="158">
        <f t="shared" si="10"/>
        <v>102093139</v>
      </c>
      <c r="T38" s="158">
        <f t="shared" si="10"/>
        <v>32223.904999999999</v>
      </c>
      <c r="U38" s="158">
        <f t="shared" si="10"/>
        <v>0</v>
      </c>
      <c r="V38" s="158">
        <f t="shared" si="10"/>
        <v>0</v>
      </c>
      <c r="W38" s="158">
        <f t="shared" si="10"/>
        <v>0</v>
      </c>
      <c r="X38" s="129"/>
      <c r="Y38" s="129"/>
      <c r="Z38" s="129"/>
      <c r="AA38" s="129"/>
      <c r="AB38" s="129"/>
      <c r="AC38" s="129"/>
      <c r="AD38" s="129"/>
      <c r="AE38" s="129"/>
      <c r="AF38" s="129"/>
      <c r="AG38" s="129"/>
      <c r="AH38" s="129"/>
      <c r="AI38" s="129"/>
      <c r="AJ38" s="129"/>
      <c r="AK38" s="129"/>
      <c r="AL38" s="129"/>
      <c r="AM38" s="129"/>
      <c r="AN38" s="129"/>
      <c r="AO38" s="129"/>
      <c r="AP38" s="129"/>
      <c r="AQ38" s="129"/>
    </row>
    <row r="39" spans="1:43" ht="12" customHeight="1">
      <c r="A39" s="131">
        <v>2021</v>
      </c>
      <c r="B39" s="140">
        <v>41</v>
      </c>
      <c r="C39" s="141" t="s">
        <v>3459</v>
      </c>
      <c r="D39" s="108">
        <f t="shared" si="0"/>
        <v>886558.03</v>
      </c>
      <c r="E39" s="143">
        <f t="shared" ref="E39:W39" si="11">SUM(E40:E41)</f>
        <v>0</v>
      </c>
      <c r="F39" s="143">
        <f t="shared" si="11"/>
        <v>0</v>
      </c>
      <c r="G39" s="143">
        <f t="shared" si="11"/>
        <v>10000</v>
      </c>
      <c r="H39" s="143">
        <f t="shared" si="11"/>
        <v>0</v>
      </c>
      <c r="I39" s="143">
        <f t="shared" si="11"/>
        <v>855158.03</v>
      </c>
      <c r="J39" s="143">
        <f t="shared" si="11"/>
        <v>0</v>
      </c>
      <c r="K39" s="143">
        <f t="shared" si="11"/>
        <v>0</v>
      </c>
      <c r="L39" s="143">
        <f t="shared" si="11"/>
        <v>0</v>
      </c>
      <c r="M39" s="143">
        <f t="shared" si="11"/>
        <v>0</v>
      </c>
      <c r="N39" s="143">
        <f t="shared" si="11"/>
        <v>0</v>
      </c>
      <c r="O39" s="143">
        <f t="shared" si="11"/>
        <v>21400</v>
      </c>
      <c r="P39" s="143">
        <f t="shared" si="11"/>
        <v>0</v>
      </c>
      <c r="Q39" s="143">
        <f t="shared" si="11"/>
        <v>0</v>
      </c>
      <c r="R39" s="143">
        <f t="shared" si="11"/>
        <v>0</v>
      </c>
      <c r="S39" s="143">
        <f t="shared" si="11"/>
        <v>0</v>
      </c>
      <c r="T39" s="143">
        <f t="shared" si="11"/>
        <v>0</v>
      </c>
      <c r="U39" s="143">
        <f t="shared" si="11"/>
        <v>0</v>
      </c>
      <c r="V39" s="143">
        <f t="shared" si="11"/>
        <v>0</v>
      </c>
      <c r="W39" s="143">
        <f t="shared" si="11"/>
        <v>0</v>
      </c>
      <c r="X39" s="144"/>
      <c r="Y39" s="144"/>
      <c r="Z39" s="144"/>
      <c r="AA39" s="144"/>
      <c r="AB39" s="144"/>
      <c r="AC39" s="144"/>
      <c r="AD39" s="144"/>
      <c r="AE39" s="144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</row>
    <row r="40" spans="1:43" ht="12" customHeight="1">
      <c r="A40" s="131">
        <v>2021</v>
      </c>
      <c r="B40" s="145">
        <v>411</v>
      </c>
      <c r="C40" s="145" t="s">
        <v>3460</v>
      </c>
      <c r="D40" s="94">
        <f t="shared" si="0"/>
        <v>0</v>
      </c>
      <c r="E40" s="147">
        <f>SUMIFS('Plan rashoda za unos u SAP'!$I$3:$I$480,'Plan rashoda za unos u SAP'!$C$3:$C$480,"=11",'Plan rashoda za unos u SAP'!$M$3:$M$480,"=411")+SUMIFS('ANALITIKA EU PROJEKATA'!$G$3:$G$499,'ANALITIKA EU PROJEKATA'!$A$3:$A$499,"=11",'ANALITIKA EU PROJEKATA'!$P$3:$P$499,"=411")</f>
        <v>0</v>
      </c>
      <c r="F40" s="147">
        <f>SUMIFS('Plan rashoda za unos u SAP'!$I$3:$I$480,'Plan rashoda za unos u SAP'!$C$3:$C$480,"=12",'Plan rashoda za unos u SAP'!$M$3:$M$480,"=411")+SUMIFS('ANALITIKA EU PROJEKATA'!$G$3:$G$499,'ANALITIKA EU PROJEKATA'!$A$3:$A$499,"=12",'ANALITIKA EU PROJEKATA'!$P$3:$P$499,"=411")</f>
        <v>0</v>
      </c>
      <c r="G40" s="147">
        <f>SUMIFS('Plan rashoda za unos u SAP'!$I$3:$I$480,'Plan rashoda za unos u SAP'!$C$3:$C$480,"=31",'Plan rashoda za unos u SAP'!$M$3:$M$480,"=411")+SUMIFS('ANALITIKA EU PROJEKATA'!$G$3:$G$499,'ANALITIKA EU PROJEKATA'!$A$3:$A$499,"=31",'ANALITIKA EU PROJEKATA'!$P$3:$P$499,"=411")</f>
        <v>0</v>
      </c>
      <c r="H40" s="147">
        <f>SUMIFS('Plan rashoda za unos u SAP'!$I$3:$I$480,'Plan rashoda za unos u SAP'!$C$3:$C$480,"=41",'Plan rashoda za unos u SAP'!$M$3:$M$480,"=411")+SUMIFS('ANALITIKA EU PROJEKATA'!$G$3:$G$499,'ANALITIKA EU PROJEKATA'!$A$3:$A$499,"=41",'ANALITIKA EU PROJEKATA'!$P$3:$P$499,"=411")</f>
        <v>0</v>
      </c>
      <c r="I40" s="147">
        <f>SUMIFS('Plan rashoda za unos u SAP'!$I$3:$I$480,'Plan rashoda za unos u SAP'!$C$3:$C$480,"=43",'Plan rashoda za unos u SAP'!$M$3:$M$480,"=411")+SUMIFS('ANALITIKA EU PROJEKATA'!$G$3:$G$499,'ANALITIKA EU PROJEKATA'!$A$3:$A$499,"=43",'ANALITIKA EU PROJEKATA'!$P$3:$P$499,"=411")</f>
        <v>0</v>
      </c>
      <c r="J40" s="147">
        <f>SUMIFS('Plan rashoda za unos u SAP'!$I$3:$I$480,'Plan rashoda za unos u SAP'!$C$3:$C$480,"=51",'Plan rashoda za unos u SAP'!$M$3:$M$480,"=411")+SUMIFS('ANALITIKA EU PROJEKATA'!$G$3:$G$499,'ANALITIKA EU PROJEKATA'!$A$3:$A$499,"=51",'ANALITIKA EU PROJEKATA'!$P$3:$P$499,"=411")</f>
        <v>0</v>
      </c>
      <c r="K40" s="147">
        <f>SUMIFS('Plan rashoda za unos u SAP'!$I$3:$I$480,'Plan rashoda za unos u SAP'!$C$3:$C$480,"=52",'Plan rashoda za unos u SAP'!$M$3:$M$480,"=411")+SUMIFS('ANALITIKA EU PROJEKATA'!$G$3:$G$499,'ANALITIKA EU PROJEKATA'!$A$3:$A$499,"=52",'ANALITIKA EU PROJEKATA'!$P$3:$P$499,"=411")</f>
        <v>0</v>
      </c>
      <c r="L40" s="147">
        <f>SUMIFS('Plan rashoda za unos u SAP'!$I$3:$I$480,'Plan rashoda za unos u SAP'!$C$3:$C$480,"=552",'Plan rashoda za unos u SAP'!$M$3:$M$480,"=411")+SUMIFS('ANALITIKA EU PROJEKATA'!$G$3:$G$499,'ANALITIKA EU PROJEKATA'!$A$3:$A$499,"=552",'ANALITIKA EU PROJEKATA'!$P$3:$P$499,"=411")</f>
        <v>0</v>
      </c>
      <c r="M40" s="147">
        <f>SUMIFS('Plan rashoda za unos u SAP'!$I$3:$I$480,'Plan rashoda za unos u SAP'!$C$3:$C$480,"=559",'Plan rashoda za unos u SAP'!$M$3:$M$480,"=411")+SUMIFS('ANALITIKA EU PROJEKATA'!$G$3:$G$499,'ANALITIKA EU PROJEKATA'!$A$3:$A$499,"=559",'ANALITIKA EU PROJEKATA'!$P$3:$P$499,"=411")</f>
        <v>0</v>
      </c>
      <c r="N40" s="147">
        <f>SUMIFS('Plan rashoda za unos u SAP'!$I$3:$I$480,'Plan rashoda za unos u SAP'!$C$3:$C$480,"=561",'Plan rashoda za unos u SAP'!$M$3:$M$480,"=411")+SUMIFS('ANALITIKA EU PROJEKATA'!$G$3:$G$499,'ANALITIKA EU PROJEKATA'!$A$3:$A$499,"=561",'ANALITIKA EU PROJEKATA'!$P$3:$P$499,"=411")</f>
        <v>0</v>
      </c>
      <c r="O40" s="147">
        <f>SUMIFS('Plan rashoda za unos u SAP'!$I$3:$I$480,'Plan rashoda za unos u SAP'!$C$3:$C$480,"=563",'Plan rashoda za unos u SAP'!$M$3:$M$480,"=411")+SUMIFS('ANALITIKA EU PROJEKATA'!$G$3:$G$499,'ANALITIKA EU PROJEKATA'!$A$3:$A$499,"=563",'ANALITIKA EU PROJEKATA'!$P$3:$P$499,"=411")</f>
        <v>0</v>
      </c>
      <c r="P40" s="147">
        <f>SUMIFS('Plan rashoda za unos u SAP'!$I$3:$I$480,'Plan rashoda za unos u SAP'!$C$3:$C$480,"=573",'Plan rashoda za unos u SAP'!$M$3:$M$480,"=411")+SUMIFS('ANALITIKA EU PROJEKATA'!$G$3:$G$499,'ANALITIKA EU PROJEKATA'!$A$3:$A$499,"=573",'ANALITIKA EU PROJEKATA'!$P$3:$P$499,"=411")</f>
        <v>0</v>
      </c>
      <c r="Q40" s="147">
        <f>SUMIFS('Plan rashoda za unos u SAP'!$I$3:$I$480,'Plan rashoda za unos u SAP'!$C$3:$C$480,"=575",'Plan rashoda za unos u SAP'!$M$3:$M$480,"=411")+SUMIFS('ANALITIKA EU PROJEKATA'!$G$3:$G$499,'ANALITIKA EU PROJEKATA'!$A$3:$A$499,"=575",'ANALITIKA EU PROJEKATA'!$P$3:$P$499,"=411")</f>
        <v>0</v>
      </c>
      <c r="R40" s="147">
        <f>SUMIFS('Plan rashoda za unos u SAP'!$I$3:$I$480,'Plan rashoda za unos u SAP'!$C$3:$C$480,"=576",'Plan rashoda za unos u SAP'!$M$3:$M$480,"=411")+SUMIFS('ANALITIKA EU PROJEKATA'!$G$3:$G$499,'ANALITIKA EU PROJEKATA'!$A$3:$A$499,"=576",'ANALITIKA EU PROJEKATA'!$P$3:$P$499,"=411")</f>
        <v>0</v>
      </c>
      <c r="S40" s="147">
        <f>SUMIFS('Plan rashoda za unos u SAP'!$I$3:$I$480,'Plan rashoda za unos u SAP'!$C$3:$C$480,"=581",'Plan rashoda za unos u SAP'!$M$3:$M$480,"=411")+SUMIFS('ANALITIKA EU PROJEKATA'!$G$3:$G$499,'ANALITIKA EU PROJEKATA'!$A$3:$A$499,"=581",'ANALITIKA EU PROJEKATA'!$P$3:$P$499,"=411")</f>
        <v>0</v>
      </c>
      <c r="T40" s="147">
        <f>SUMIFS('Plan rashoda za unos u SAP'!$I$3:$I$480,'Plan rashoda za unos u SAP'!$C$3:$C$480,"=61",'Plan rashoda za unos u SAP'!$M$3:$M$480,"=411")+SUMIFS('ANALITIKA EU PROJEKATA'!$G$3:$G$499,'ANALITIKA EU PROJEKATA'!$A$3:$A$499,"=61",'ANALITIKA EU PROJEKATA'!$P$3:$P$499,"=411")</f>
        <v>0</v>
      </c>
      <c r="U40" s="147">
        <f>SUMIFS('Plan rashoda za unos u SAP'!$I$3:$I$480,'Plan rashoda za unos u SAP'!$C$3:$C$480,"=63",'Plan rashoda za unos u SAP'!$M$3:$M$480,"=411")+SUMIFS('ANALITIKA EU PROJEKATA'!$G$3:$G$499,'ANALITIKA EU PROJEKATA'!$A$3:$A$499,"=63",'ANALITIKA EU PROJEKATA'!$P$3:$P$499,"=411")</f>
        <v>0</v>
      </c>
      <c r="V40" s="147">
        <f>SUMIFS('Plan rashoda za unos u SAP'!$I$3:$I$480,'Plan rashoda za unos u SAP'!$C$3:$C$480,"=71",'Plan rashoda za unos u SAP'!$M$3:$M$480,"=411")+SUMIFS('ANALITIKA EU PROJEKATA'!$G$3:$G$499,'ANALITIKA EU PROJEKATA'!$A$3:$A$499,"=71",'ANALITIKA EU PROJEKATA'!$P$3:$P$499,"=411")</f>
        <v>0</v>
      </c>
      <c r="W40" s="147">
        <f>SUMIFS('Plan rashoda za unos u SAP'!$I$3:$I$480,'Plan rashoda za unos u SAP'!$C$3:$C$480,"=81",'Plan rashoda za unos u SAP'!$M$3:$M$480,"=411")+SUMIFS('ANALITIKA EU PROJEKATA'!$G$3:$G$499,'ANALITIKA EU PROJEKATA'!$A$3:$A$499,"=81",'ANALITIKA EU PROJEKATA'!$P$3:$P$499,"=411")</f>
        <v>0</v>
      </c>
      <c r="X40" s="129"/>
      <c r="Y40" s="129"/>
      <c r="Z40" s="129"/>
      <c r="AA40" s="129"/>
      <c r="AB40" s="129"/>
      <c r="AC40" s="129"/>
      <c r="AD40" s="129"/>
      <c r="AE40" s="129"/>
      <c r="AF40" s="129"/>
      <c r="AG40" s="129"/>
      <c r="AH40" s="129"/>
      <c r="AI40" s="129"/>
      <c r="AJ40" s="129"/>
      <c r="AK40" s="129"/>
      <c r="AL40" s="129"/>
      <c r="AM40" s="129"/>
      <c r="AN40" s="129"/>
      <c r="AO40" s="129"/>
      <c r="AP40" s="129"/>
      <c r="AQ40" s="129"/>
    </row>
    <row r="41" spans="1:43" ht="12" customHeight="1">
      <c r="A41" s="131">
        <v>2021</v>
      </c>
      <c r="B41" s="148">
        <v>412</v>
      </c>
      <c r="C41" s="149" t="s">
        <v>3461</v>
      </c>
      <c r="D41" s="94">
        <f t="shared" si="0"/>
        <v>886558.03</v>
      </c>
      <c r="E41" s="147">
        <f>SUMIFS('Plan rashoda za unos u SAP'!$I$3:$I$480,'Plan rashoda za unos u SAP'!$C$3:$C$480,"=11",'Plan rashoda za unos u SAP'!$M$3:$M$480,"=412")+SUMIFS('ANALITIKA EU PROJEKATA'!$G$3:$G$499,'ANALITIKA EU PROJEKATA'!$A$3:$A$499,"=11",'ANALITIKA EU PROJEKATA'!$P$3:$P$499,"=412")</f>
        <v>0</v>
      </c>
      <c r="F41" s="147">
        <f>SUMIFS('Plan rashoda za unos u SAP'!$I$3:$I$480,'Plan rashoda za unos u SAP'!$C$3:$C$480,"=12",'Plan rashoda za unos u SAP'!$M$3:$M$480,"=412")+SUMIFS('ANALITIKA EU PROJEKATA'!$G$3:$G$499,'ANALITIKA EU PROJEKATA'!$A$3:$A$499,"=12",'ANALITIKA EU PROJEKATA'!$P$3:$P$499,"=412")</f>
        <v>0</v>
      </c>
      <c r="G41" s="147">
        <f>SUMIFS('Plan rashoda za unos u SAP'!$I$3:$I$480,'Plan rashoda za unos u SAP'!$C$3:$C$480,"=31",'Plan rashoda za unos u SAP'!$M$3:$M$480,"=412")+SUMIFS('ANALITIKA EU PROJEKATA'!$G$3:$G$499,'ANALITIKA EU PROJEKATA'!$A$3:$A$499,"=31",'ANALITIKA EU PROJEKATA'!$P$3:$P$499,"=412")</f>
        <v>10000</v>
      </c>
      <c r="H41" s="147">
        <f>SUMIFS('Plan rashoda za unos u SAP'!$I$3:$I$480,'Plan rashoda za unos u SAP'!$C$3:$C$480,"=41",'Plan rashoda za unos u SAP'!$M$3:$M$480,"=412")+SUMIFS('ANALITIKA EU PROJEKATA'!$G$3:$G$499,'ANALITIKA EU PROJEKATA'!$A$3:$A$499,"=41",'ANALITIKA EU PROJEKATA'!$P$3:$P$499,"=412")</f>
        <v>0</v>
      </c>
      <c r="I41" s="147">
        <f>SUMIFS('Plan rashoda za unos u SAP'!$I$3:$I$480,'Plan rashoda za unos u SAP'!$C$3:$C$480,"=43",'Plan rashoda za unos u SAP'!$M$3:$M$480,"=412")+SUMIFS('ANALITIKA EU PROJEKATA'!$G$3:$G$499,'ANALITIKA EU PROJEKATA'!$A$3:$A$499,"=43",'ANALITIKA EU PROJEKATA'!$P$3:$P$499,"=412")</f>
        <v>855158.03</v>
      </c>
      <c r="J41" s="147">
        <f>SUMIFS('Plan rashoda za unos u SAP'!$I$3:$I$480,'Plan rashoda za unos u SAP'!$C$3:$C$480,"=51",'Plan rashoda za unos u SAP'!$M$3:$M$480,"=412")+SUMIFS('ANALITIKA EU PROJEKATA'!$G$3:$G$499,'ANALITIKA EU PROJEKATA'!$A$3:$A$499,"=51",'ANALITIKA EU PROJEKATA'!$P$3:$P$499,"=412")</f>
        <v>0</v>
      </c>
      <c r="K41" s="147">
        <f>SUMIFS('Plan rashoda za unos u SAP'!$I$3:$I$480,'Plan rashoda za unos u SAP'!$C$3:$C$480,"=52",'Plan rashoda za unos u SAP'!$M$3:$M$480,"=412")+SUMIFS('ANALITIKA EU PROJEKATA'!$G$3:$G$499,'ANALITIKA EU PROJEKATA'!$A$3:$A$499,"=52",'ANALITIKA EU PROJEKATA'!$P$3:$P$499,"=412")</f>
        <v>0</v>
      </c>
      <c r="L41" s="147">
        <f>SUMIFS('Plan rashoda za unos u SAP'!$I$3:$I$480,'Plan rashoda za unos u SAP'!$C$3:$C$480,"=552",'Plan rashoda za unos u SAP'!$M$3:$M$480,"=412")+SUMIFS('ANALITIKA EU PROJEKATA'!$G$3:$G$499,'ANALITIKA EU PROJEKATA'!$A$3:$A$499,"=552",'ANALITIKA EU PROJEKATA'!$P$3:$P$499,"=412")</f>
        <v>0</v>
      </c>
      <c r="M41" s="147">
        <f>SUMIFS('Plan rashoda za unos u SAP'!$I$3:$I$480,'Plan rashoda za unos u SAP'!$C$3:$C$480,"=559",'Plan rashoda za unos u SAP'!$M$3:$M$480,"=412")+SUMIFS('ANALITIKA EU PROJEKATA'!$G$3:$G$499,'ANALITIKA EU PROJEKATA'!$A$3:$A$499,"=559",'ANALITIKA EU PROJEKATA'!$P$3:$P$499,"=412")</f>
        <v>0</v>
      </c>
      <c r="N41" s="147">
        <f>SUMIFS('Plan rashoda za unos u SAP'!$I$3:$I$480,'Plan rashoda za unos u SAP'!$C$3:$C$480,"=561",'Plan rashoda za unos u SAP'!$M$3:$M$480,"=412")+SUMIFS('ANALITIKA EU PROJEKATA'!$G$3:$G$499,'ANALITIKA EU PROJEKATA'!$A$3:$A$499,"=561",'ANALITIKA EU PROJEKATA'!$P$3:$P$499,"=412")</f>
        <v>0</v>
      </c>
      <c r="O41" s="147">
        <f>SUMIFS('Plan rashoda za unos u SAP'!$I$3:$I$480,'Plan rashoda za unos u SAP'!$C$3:$C$480,"=563",'Plan rashoda za unos u SAP'!$M$3:$M$480,"=412")+SUMIFS('ANALITIKA EU PROJEKATA'!$G$3:$G$499,'ANALITIKA EU PROJEKATA'!$A$3:$A$499,"=563",'ANALITIKA EU PROJEKATA'!$P$3:$P$499,"=412")</f>
        <v>21400</v>
      </c>
      <c r="P41" s="147">
        <f>SUMIFS('Plan rashoda za unos u SAP'!$I$3:$I$480,'Plan rashoda za unos u SAP'!$C$3:$C$480,"=573",'Plan rashoda za unos u SAP'!$M$3:$M$480,"=412")+SUMIFS('ANALITIKA EU PROJEKATA'!$G$3:$G$499,'ANALITIKA EU PROJEKATA'!$A$3:$A$499,"=573",'ANALITIKA EU PROJEKATA'!$P$3:$P$499,"=412")</f>
        <v>0</v>
      </c>
      <c r="Q41" s="147">
        <f>SUMIFS('Plan rashoda za unos u SAP'!$I$3:$I$480,'Plan rashoda za unos u SAP'!$C$3:$C$480,"=575",'Plan rashoda za unos u SAP'!$M$3:$M$480,"=412")+SUMIFS('ANALITIKA EU PROJEKATA'!$G$3:$G$499,'ANALITIKA EU PROJEKATA'!$A$3:$A$499,"=575",'ANALITIKA EU PROJEKATA'!$P$3:$P$499,"=412")</f>
        <v>0</v>
      </c>
      <c r="R41" s="147">
        <f>SUMIFS('Plan rashoda za unos u SAP'!$I$3:$I$480,'Plan rashoda za unos u SAP'!$C$3:$C$480,"=576",'Plan rashoda za unos u SAP'!$M$3:$M$480,"=412")+SUMIFS('ANALITIKA EU PROJEKATA'!$G$3:$G$499,'ANALITIKA EU PROJEKATA'!$A$3:$A$499,"=576",'ANALITIKA EU PROJEKATA'!$P$3:$P$499,"=412")</f>
        <v>0</v>
      </c>
      <c r="S41" s="147">
        <f>SUMIFS('Plan rashoda za unos u SAP'!$I$3:$I$480,'Plan rashoda za unos u SAP'!$C$3:$C$480,"=581",'Plan rashoda za unos u SAP'!$M$3:$M$480,"=412")+SUMIFS('ANALITIKA EU PROJEKATA'!$G$3:$G$499,'ANALITIKA EU PROJEKATA'!$A$3:$A$499,"=581",'ANALITIKA EU PROJEKATA'!$P$3:$P$499,"=412")</f>
        <v>0</v>
      </c>
      <c r="T41" s="147">
        <f>SUMIFS('Plan rashoda za unos u SAP'!$I$3:$I$480,'Plan rashoda za unos u SAP'!$C$3:$C$480,"=61",'Plan rashoda za unos u SAP'!$M$3:$M$480,"=412")+SUMIFS('ANALITIKA EU PROJEKATA'!$G$3:$G$499,'ANALITIKA EU PROJEKATA'!$A$3:$A$499,"=61",'ANALITIKA EU PROJEKATA'!$P$3:$P$499,"=412")</f>
        <v>0</v>
      </c>
      <c r="U41" s="147">
        <f>SUMIFS('Plan rashoda za unos u SAP'!$I$3:$I$480,'Plan rashoda za unos u SAP'!$C$3:$C$480,"=63",'Plan rashoda za unos u SAP'!$M$3:$M$480,"=412")+SUMIFS('ANALITIKA EU PROJEKATA'!$G$3:$G$499,'ANALITIKA EU PROJEKATA'!$A$3:$A$499,"=63",'ANALITIKA EU PROJEKATA'!$P$3:$P$499,"=412")</f>
        <v>0</v>
      </c>
      <c r="V41" s="147">
        <f>SUMIFS('Plan rashoda za unos u SAP'!$I$3:$I$480,'Plan rashoda za unos u SAP'!$C$3:$C$480,"=71",'Plan rashoda za unos u SAP'!$M$3:$M$480,"=412")+SUMIFS('ANALITIKA EU PROJEKATA'!$G$3:$G$499,'ANALITIKA EU PROJEKATA'!$A$3:$A$499,"=71",'ANALITIKA EU PROJEKATA'!$P$3:$P$499,"=412")</f>
        <v>0</v>
      </c>
      <c r="W41" s="147">
        <f>SUMIFS('Plan rashoda za unos u SAP'!$I$3:$I$480,'Plan rashoda za unos u SAP'!$C$3:$C$480,"=81",'Plan rashoda za unos u SAP'!$M$3:$M$480,"=412")+SUMIFS('ANALITIKA EU PROJEKATA'!$G$3:$G$499,'ANALITIKA EU PROJEKATA'!$A$3:$A$499,"=81",'ANALITIKA EU PROJEKATA'!$P$3:$P$499,"=412")</f>
        <v>0</v>
      </c>
      <c r="X41" s="129"/>
      <c r="Y41" s="129"/>
      <c r="Z41" s="129"/>
      <c r="AA41" s="129"/>
      <c r="AB41" s="129"/>
      <c r="AC41" s="129"/>
      <c r="AD41" s="129"/>
      <c r="AE41" s="129"/>
      <c r="AF41" s="129"/>
      <c r="AG41" s="129"/>
      <c r="AH41" s="129"/>
      <c r="AI41" s="129"/>
      <c r="AJ41" s="129"/>
      <c r="AK41" s="129"/>
      <c r="AL41" s="129"/>
      <c r="AM41" s="129"/>
      <c r="AN41" s="129"/>
      <c r="AO41" s="129"/>
      <c r="AP41" s="129"/>
      <c r="AQ41" s="129"/>
    </row>
    <row r="42" spans="1:43" ht="12" customHeight="1">
      <c r="A42" s="131">
        <v>2021</v>
      </c>
      <c r="B42" s="150">
        <v>42</v>
      </c>
      <c r="C42" s="151" t="s">
        <v>3462</v>
      </c>
      <c r="D42" s="108">
        <f t="shared" si="0"/>
        <v>281628617.64779997</v>
      </c>
      <c r="E42" s="108">
        <f t="shared" ref="E42:W42" si="12">SUM(E43:E48)</f>
        <v>0</v>
      </c>
      <c r="F42" s="108">
        <f t="shared" si="12"/>
        <v>0</v>
      </c>
      <c r="G42" s="108">
        <f t="shared" si="12"/>
        <v>991070</v>
      </c>
      <c r="H42" s="108">
        <f t="shared" si="12"/>
        <v>0</v>
      </c>
      <c r="I42" s="108">
        <f t="shared" si="12"/>
        <v>2226948.5549999997</v>
      </c>
      <c r="J42" s="108">
        <f t="shared" si="12"/>
        <v>0</v>
      </c>
      <c r="K42" s="108">
        <f t="shared" si="12"/>
        <v>1152991.1878000002</v>
      </c>
      <c r="L42" s="108">
        <f t="shared" si="12"/>
        <v>0</v>
      </c>
      <c r="M42" s="108">
        <f t="shared" si="12"/>
        <v>0</v>
      </c>
      <c r="N42" s="108">
        <f t="shared" si="12"/>
        <v>0</v>
      </c>
      <c r="O42" s="108">
        <f t="shared" si="12"/>
        <v>7769000</v>
      </c>
      <c r="P42" s="108">
        <f t="shared" si="12"/>
        <v>0</v>
      </c>
      <c r="Q42" s="108">
        <f t="shared" si="12"/>
        <v>0</v>
      </c>
      <c r="R42" s="108">
        <f t="shared" si="12"/>
        <v>167363245</v>
      </c>
      <c r="S42" s="108">
        <f t="shared" si="12"/>
        <v>102093139</v>
      </c>
      <c r="T42" s="108">
        <f t="shared" si="12"/>
        <v>32223.904999999999</v>
      </c>
      <c r="U42" s="108">
        <f t="shared" si="12"/>
        <v>0</v>
      </c>
      <c r="V42" s="108">
        <f t="shared" si="12"/>
        <v>0</v>
      </c>
      <c r="W42" s="108">
        <f t="shared" si="12"/>
        <v>0</v>
      </c>
      <c r="X42" s="152"/>
      <c r="Y42" s="152"/>
      <c r="Z42" s="152"/>
      <c r="AA42" s="152"/>
      <c r="AB42" s="152"/>
      <c r="AC42" s="152"/>
      <c r="AD42" s="152"/>
      <c r="AE42" s="152"/>
      <c r="AF42" s="152"/>
      <c r="AG42" s="152"/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</row>
    <row r="43" spans="1:43" ht="12" customHeight="1">
      <c r="A43" s="131">
        <v>2021</v>
      </c>
      <c r="B43" s="148">
        <v>421</v>
      </c>
      <c r="C43" s="149" t="s">
        <v>3463</v>
      </c>
      <c r="D43" s="94">
        <f t="shared" si="0"/>
        <v>160703908.92500001</v>
      </c>
      <c r="E43" s="147">
        <f>SUMIFS('Plan rashoda za unos u SAP'!$I$3:$I$480,'Plan rashoda za unos u SAP'!$C$3:$C$480,"=11",'Plan rashoda za unos u SAP'!$M$3:$M$480,"=421")+SUMIFS('ANALITIKA EU PROJEKATA'!$G$3:$G$499,'ANALITIKA EU PROJEKATA'!$A$3:$A$499,"=11",'ANALITIKA EU PROJEKATA'!$P$3:$P$499,"=421")</f>
        <v>0</v>
      </c>
      <c r="F43" s="147">
        <f>SUMIFS('Plan rashoda za unos u SAP'!$I$3:$I$480,'Plan rashoda za unos u SAP'!$C$3:$C$480,"=12",'Plan rashoda za unos u SAP'!$M$3:$M$480,"=421")+SUMIFS('ANALITIKA EU PROJEKATA'!$G$3:$G$499,'ANALITIKA EU PROJEKATA'!$A$3:$A$499,"=12",'ANALITIKA EU PROJEKATA'!$P$3:$P$499,"=421")</f>
        <v>0</v>
      </c>
      <c r="G43" s="147">
        <f>SUMIFS('Plan rashoda za unos u SAP'!$I$3:$I$480,'Plan rashoda za unos u SAP'!$C$3:$C$480,"=31",'Plan rashoda za unos u SAP'!$M$3:$M$480,"=421")+SUMIFS('ANALITIKA EU PROJEKATA'!$G$3:$G$499,'ANALITIKA EU PROJEKATA'!$A$3:$A$499,"=31",'ANALITIKA EU PROJEKATA'!$P$3:$P$499,"=421")</f>
        <v>500000</v>
      </c>
      <c r="H43" s="147">
        <f>SUMIFS('Plan rashoda za unos u SAP'!$I$3:$I$480,'Plan rashoda za unos u SAP'!$C$3:$C$480,"=41",'Plan rashoda za unos u SAP'!$M$3:$M$480,"=421")+SUMIFS('ANALITIKA EU PROJEKATA'!$G$3:$G$499,'ANALITIKA EU PROJEKATA'!$A$3:$A$499,"=41",'ANALITIKA EU PROJEKATA'!$P$3:$P$499,"=421")</f>
        <v>0</v>
      </c>
      <c r="I43" s="147">
        <f>SUMIFS('Plan rashoda za unos u SAP'!$I$3:$I$480,'Plan rashoda za unos u SAP'!$C$3:$C$480,"=43",'Plan rashoda za unos u SAP'!$M$3:$M$480,"=421")+SUMIFS('ANALITIKA EU PROJEKATA'!$G$3:$G$499,'ANALITIKA EU PROJEKATA'!$A$3:$A$499,"=43",'ANALITIKA EU PROJEKATA'!$P$3:$P$499,"=421")</f>
        <v>63356.925000000003</v>
      </c>
      <c r="J43" s="147">
        <f>SUMIFS('Plan rashoda za unos u SAP'!$I$3:$I$480,'Plan rashoda za unos u SAP'!$C$3:$C$480,"=51",'Plan rashoda za unos u SAP'!$M$3:$M$480,"=421")+SUMIFS('ANALITIKA EU PROJEKATA'!$G$3:$G$499,'ANALITIKA EU PROJEKATA'!$A$3:$A$499,"=51",'ANALITIKA EU PROJEKATA'!$P$3:$P$499,"=421")</f>
        <v>0</v>
      </c>
      <c r="K43" s="147">
        <f>SUMIFS('Plan rashoda za unos u SAP'!$I$3:$I$480,'Plan rashoda za unos u SAP'!$C$3:$C$480,"=52",'Plan rashoda za unos u SAP'!$M$3:$M$480,"=421")+SUMIFS('ANALITIKA EU PROJEKATA'!$G$3:$G$499,'ANALITIKA EU PROJEKATA'!$A$3:$A$499,"=52",'ANALITIKA EU PROJEKATA'!$P$3:$P$499,"=421")</f>
        <v>0</v>
      </c>
      <c r="L43" s="147">
        <f>SUMIFS('Plan rashoda za unos u SAP'!$I$3:$I$480,'Plan rashoda za unos u SAP'!$C$3:$C$480,"=552",'Plan rashoda za unos u SAP'!$M$3:$M$480,"=421")+SUMIFS('ANALITIKA EU PROJEKATA'!$G$3:$G$499,'ANALITIKA EU PROJEKATA'!$A$3:$A$499,"=552",'ANALITIKA EU PROJEKATA'!$P$3:$P$499,"=421")</f>
        <v>0</v>
      </c>
      <c r="M43" s="147">
        <f>SUMIFS('Plan rashoda za unos u SAP'!$I$3:$I$480,'Plan rashoda za unos u SAP'!$C$3:$C$480,"=559",'Plan rashoda za unos u SAP'!$M$3:$M$480,"=421")+SUMIFS('ANALITIKA EU PROJEKATA'!$G$3:$G$499,'ANALITIKA EU PROJEKATA'!$A$3:$A$499,"=559",'ANALITIKA EU PROJEKATA'!$P$3:$P$499,"=421")</f>
        <v>0</v>
      </c>
      <c r="N43" s="147">
        <f>SUMIFS('Plan rashoda za unos u SAP'!$I$3:$I$480,'Plan rashoda za unos u SAP'!$C$3:$C$480,"=561",'Plan rashoda za unos u SAP'!$M$3:$M$480,"=421")+SUMIFS('ANALITIKA EU PROJEKATA'!$G$3:$G$499,'ANALITIKA EU PROJEKATA'!$A$3:$A$499,"=561",'ANALITIKA EU PROJEKATA'!$P$3:$P$499,"=421")</f>
        <v>0</v>
      </c>
      <c r="O43" s="147">
        <f>SUMIFS('Plan rashoda za unos u SAP'!$I$3:$I$480,'Plan rashoda za unos u SAP'!$C$3:$C$480,"=563",'Plan rashoda za unos u SAP'!$M$3:$M$480,"=421")+SUMIFS('ANALITIKA EU PROJEKATA'!$G$3:$G$499,'ANALITIKA EU PROJEKATA'!$A$3:$A$499,"=563",'ANALITIKA EU PROJEKATA'!$P$3:$P$499,"=421")</f>
        <v>0</v>
      </c>
      <c r="P43" s="147">
        <f>SUMIFS('Plan rashoda za unos u SAP'!$I$3:$I$480,'Plan rashoda za unos u SAP'!$C$3:$C$480,"=573",'Plan rashoda za unos u SAP'!$M$3:$M$480,"=421")+SUMIFS('ANALITIKA EU PROJEKATA'!$G$3:$G$499,'ANALITIKA EU PROJEKATA'!$A$3:$A$499,"=573",'ANALITIKA EU PROJEKATA'!$P$3:$P$499,"=421")</f>
        <v>0</v>
      </c>
      <c r="Q43" s="147">
        <f>SUMIFS('Plan rashoda za unos u SAP'!$I$3:$I$480,'Plan rashoda za unos u SAP'!$C$3:$C$480,"=575",'Plan rashoda za unos u SAP'!$M$3:$M$480,"=421")+SUMIFS('ANALITIKA EU PROJEKATA'!$G$3:$G$499,'ANALITIKA EU PROJEKATA'!$A$3:$A$499,"=575",'ANALITIKA EU PROJEKATA'!$P$3:$P$499,"=421")</f>
        <v>0</v>
      </c>
      <c r="R43" s="147">
        <f>SUMIFS('Plan rashoda za unos u SAP'!$I$3:$I$480,'Plan rashoda za unos u SAP'!$C$3:$C$480,"=576",'Plan rashoda za unos u SAP'!$M$3:$M$480,"=421")+SUMIFS('ANALITIKA EU PROJEKATA'!$G$3:$G$499,'ANALITIKA EU PROJEKATA'!$A$3:$A$499,"=576",'ANALITIKA EU PROJEKATA'!$P$3:$P$499,"=421")</f>
        <v>100417966</v>
      </c>
      <c r="S43" s="147">
        <f>SUMIFS('Plan rashoda za unos u SAP'!$I$3:$I$480,'Plan rashoda za unos u SAP'!$C$3:$C$480,"=581",'Plan rashoda za unos u SAP'!$M$3:$M$480,"=421")+SUMIFS('ANALITIKA EU PROJEKATA'!$G$3:$G$499,'ANALITIKA EU PROJEKATA'!$A$3:$A$499,"=581",'ANALITIKA EU PROJEKATA'!$P$3:$P$499,"=421")</f>
        <v>59722586</v>
      </c>
      <c r="T43" s="147">
        <f>SUMIFS('Plan rashoda za unos u SAP'!$I$3:$I$480,'Plan rashoda za unos u SAP'!$C$3:$C$480,"=61",'Plan rashoda za unos u SAP'!$M$3:$M$480,"=421")+SUMIFS('ANALITIKA EU PROJEKATA'!$G$3:$G$499,'ANALITIKA EU PROJEKATA'!$A$3:$A$499,"=61",'ANALITIKA EU PROJEKATA'!$P$3:$P$499,"=421")</f>
        <v>0</v>
      </c>
      <c r="U43" s="147">
        <f>SUMIFS('Plan rashoda za unos u SAP'!$I$3:$I$480,'Plan rashoda za unos u SAP'!$C$3:$C$480,"=63",'Plan rashoda za unos u SAP'!$M$3:$M$480,"=421")+SUMIFS('ANALITIKA EU PROJEKATA'!$G$3:$G$499,'ANALITIKA EU PROJEKATA'!$A$3:$A$499,"=63",'ANALITIKA EU PROJEKATA'!$P$3:$P$499,"=421")</f>
        <v>0</v>
      </c>
      <c r="V43" s="147">
        <f>SUMIFS('Plan rashoda za unos u SAP'!$I$3:$I$480,'Plan rashoda za unos u SAP'!$C$3:$C$480,"=71",'Plan rashoda za unos u SAP'!$M$3:$M$480,"=421")+SUMIFS('ANALITIKA EU PROJEKATA'!$G$3:$G$499,'ANALITIKA EU PROJEKATA'!$A$3:$A$499,"=71",'ANALITIKA EU PROJEKATA'!$P$3:$P$499,"=421")</f>
        <v>0</v>
      </c>
      <c r="W43" s="147">
        <f>SUMIFS('Plan rashoda za unos u SAP'!$I$3:$I$480,'Plan rashoda za unos u SAP'!$C$3:$C$480,"=81",'Plan rashoda za unos u SAP'!$M$3:$M$480,"=421")+SUMIFS('ANALITIKA EU PROJEKATA'!$G$3:$G$499,'ANALITIKA EU PROJEKATA'!$A$3:$A$499,"=81",'ANALITIKA EU PROJEKATA'!$P$3:$P$499,"=421")</f>
        <v>0</v>
      </c>
      <c r="X43" s="129"/>
      <c r="Y43" s="129"/>
      <c r="Z43" s="129"/>
      <c r="AA43" s="129"/>
      <c r="AB43" s="129"/>
      <c r="AC43" s="129"/>
      <c r="AD43" s="129"/>
      <c r="AE43" s="129"/>
      <c r="AF43" s="129"/>
      <c r="AG43" s="129"/>
      <c r="AH43" s="129"/>
      <c r="AI43" s="129"/>
      <c r="AJ43" s="129"/>
      <c r="AK43" s="129"/>
      <c r="AL43" s="129"/>
      <c r="AM43" s="129"/>
      <c r="AN43" s="129"/>
      <c r="AO43" s="129"/>
      <c r="AP43" s="129"/>
      <c r="AQ43" s="129"/>
    </row>
    <row r="44" spans="1:43" ht="12" customHeight="1">
      <c r="A44" s="131">
        <v>2021</v>
      </c>
      <c r="B44" s="148">
        <v>422</v>
      </c>
      <c r="C44" s="149" t="s">
        <v>3464</v>
      </c>
      <c r="D44" s="94">
        <f t="shared" si="0"/>
        <v>120388716.3723</v>
      </c>
      <c r="E44" s="147">
        <f>SUMIFS('Plan rashoda za unos u SAP'!$I$3:$I$480,'Plan rashoda za unos u SAP'!$C$3:$C$480,"=11",'Plan rashoda za unos u SAP'!$M$3:$M$480,"=422")+SUMIFS('ANALITIKA EU PROJEKATA'!$G$3:$G$499,'ANALITIKA EU PROJEKATA'!$A$3:$A$499,"=11",'ANALITIKA EU PROJEKATA'!$P$3:$P$499,"=422")</f>
        <v>0</v>
      </c>
      <c r="F44" s="147">
        <f>SUMIFS('Plan rashoda za unos u SAP'!$I$3:$I$480,'Plan rashoda za unos u SAP'!$C$3:$C$480,"=12",'Plan rashoda za unos u SAP'!$M$3:$M$480,"=422")+SUMIFS('ANALITIKA EU PROJEKATA'!$G$3:$G$499,'ANALITIKA EU PROJEKATA'!$A$3:$A$499,"=12",'ANALITIKA EU PROJEKATA'!$P$3:$P$499,"=422")</f>
        <v>0</v>
      </c>
      <c r="G44" s="147">
        <f>SUMIFS('Plan rashoda za unos u SAP'!$I$3:$I$480,'Plan rashoda za unos u SAP'!$C$3:$C$480,"=31",'Plan rashoda za unos u SAP'!$M$3:$M$480,"=422")+SUMIFS('ANALITIKA EU PROJEKATA'!$G$3:$G$499,'ANALITIKA EU PROJEKATA'!$A$3:$A$499,"=31",'ANALITIKA EU PROJEKATA'!$P$3:$P$499,"=422")</f>
        <v>476787</v>
      </c>
      <c r="H44" s="147">
        <f>SUMIFS('Plan rashoda za unos u SAP'!$I$3:$I$480,'Plan rashoda za unos u SAP'!$C$3:$C$480,"=41",'Plan rashoda za unos u SAP'!$M$3:$M$480,"=422")+SUMIFS('ANALITIKA EU PROJEKATA'!$G$3:$G$499,'ANALITIKA EU PROJEKATA'!$A$3:$A$499,"=41",'ANALITIKA EU PROJEKATA'!$P$3:$P$499,"=422")</f>
        <v>0</v>
      </c>
      <c r="I44" s="147">
        <f>SUMIFS('Plan rashoda za unos u SAP'!$I$3:$I$480,'Plan rashoda za unos u SAP'!$C$3:$C$480,"=43",'Plan rashoda za unos u SAP'!$M$3:$M$480,"=422")+SUMIFS('ANALITIKA EU PROJEKATA'!$G$3:$G$499,'ANALITIKA EU PROJEKATA'!$A$3:$A$499,"=43",'ANALITIKA EU PROJEKATA'!$P$3:$P$499,"=422")</f>
        <v>1684385.0899999996</v>
      </c>
      <c r="J44" s="147">
        <f>SUMIFS('Plan rashoda za unos u SAP'!$I$3:$I$480,'Plan rashoda za unos u SAP'!$C$3:$C$480,"=51",'Plan rashoda za unos u SAP'!$M$3:$M$480,"=422")+SUMIFS('ANALITIKA EU PROJEKATA'!$G$3:$G$499,'ANALITIKA EU PROJEKATA'!$A$3:$A$499,"=51",'ANALITIKA EU PROJEKATA'!$P$3:$P$499,"=422")</f>
        <v>0</v>
      </c>
      <c r="K44" s="147">
        <f>SUMIFS('Plan rashoda za unos u SAP'!$I$3:$I$480,'Plan rashoda za unos u SAP'!$C$3:$C$480,"=52",'Plan rashoda za unos u SAP'!$M$3:$M$480,"=422")+SUMIFS('ANALITIKA EU PROJEKATA'!$G$3:$G$499,'ANALITIKA EU PROJEKATA'!$A$3:$A$499,"=52",'ANALITIKA EU PROJEKATA'!$P$3:$P$499,"=422")</f>
        <v>1110488.3773000001</v>
      </c>
      <c r="L44" s="147">
        <f>SUMIFS('Plan rashoda za unos u SAP'!$I$3:$I$480,'Plan rashoda za unos u SAP'!$C$3:$C$480,"=552",'Plan rashoda za unos u SAP'!$M$3:$M$480,"=422")+SUMIFS('ANALITIKA EU PROJEKATA'!$G$3:$G$499,'ANALITIKA EU PROJEKATA'!$A$3:$A$499,"=552",'ANALITIKA EU PROJEKATA'!$P$3:$P$499,"=422")</f>
        <v>0</v>
      </c>
      <c r="M44" s="147">
        <f>SUMIFS('Plan rashoda za unos u SAP'!$I$3:$I$480,'Plan rashoda za unos u SAP'!$C$3:$C$480,"=559",'Plan rashoda za unos u SAP'!$M$3:$M$480,"=422")+SUMIFS('ANALITIKA EU PROJEKATA'!$G$3:$G$499,'ANALITIKA EU PROJEKATA'!$A$3:$A$499,"=559",'ANALITIKA EU PROJEKATA'!$P$3:$P$499,"=422")</f>
        <v>0</v>
      </c>
      <c r="N44" s="147">
        <f>SUMIFS('Plan rashoda za unos u SAP'!$I$3:$I$480,'Plan rashoda za unos u SAP'!$C$3:$C$480,"=561",'Plan rashoda za unos u SAP'!$M$3:$M$480,"=422")+SUMIFS('ANALITIKA EU PROJEKATA'!$G$3:$G$499,'ANALITIKA EU PROJEKATA'!$A$3:$A$499,"=561",'ANALITIKA EU PROJEKATA'!$P$3:$P$499,"=422")</f>
        <v>0</v>
      </c>
      <c r="O44" s="147">
        <f>SUMIFS('Plan rashoda za unos u SAP'!$I$3:$I$480,'Plan rashoda za unos u SAP'!$C$3:$C$480,"=563",'Plan rashoda za unos u SAP'!$M$3:$M$480,"=422")+SUMIFS('ANALITIKA EU PROJEKATA'!$G$3:$G$499,'ANALITIKA EU PROJEKATA'!$A$3:$A$499,"=563",'ANALITIKA EU PROJEKATA'!$P$3:$P$499,"=422")</f>
        <v>7769000</v>
      </c>
      <c r="P44" s="147">
        <f>SUMIFS('Plan rashoda za unos u SAP'!$I$3:$I$480,'Plan rashoda za unos u SAP'!$C$3:$C$480,"=573",'Plan rashoda za unos u SAP'!$M$3:$M$480,"=422")+SUMIFS('ANALITIKA EU PROJEKATA'!$G$3:$G$499,'ANALITIKA EU PROJEKATA'!$A$3:$A$499,"=573",'ANALITIKA EU PROJEKATA'!$P$3:$P$499,"=422")</f>
        <v>0</v>
      </c>
      <c r="Q44" s="147">
        <f>SUMIFS('Plan rashoda za unos u SAP'!$I$3:$I$480,'Plan rashoda za unos u SAP'!$C$3:$C$480,"=575",'Plan rashoda za unos u SAP'!$M$3:$M$480,"=422")+SUMIFS('ANALITIKA EU PROJEKATA'!$G$3:$G$499,'ANALITIKA EU PROJEKATA'!$A$3:$A$499,"=575",'ANALITIKA EU PROJEKATA'!$P$3:$P$499,"=422")</f>
        <v>0</v>
      </c>
      <c r="R44" s="147">
        <f>SUMIFS('Plan rashoda za unos u SAP'!$I$3:$I$480,'Plan rashoda za unos u SAP'!$C$3:$C$480,"=576",'Plan rashoda za unos u SAP'!$M$3:$M$480,"=422")+SUMIFS('ANALITIKA EU PROJEKATA'!$G$3:$G$499,'ANALITIKA EU PROJEKATA'!$A$3:$A$499,"=576",'ANALITIKA EU PROJEKATA'!$P$3:$P$499,"=422")</f>
        <v>66945279</v>
      </c>
      <c r="S44" s="147">
        <f>SUMIFS('Plan rashoda za unos u SAP'!$I$3:$I$480,'Plan rashoda za unos u SAP'!$C$3:$C$480,"=581",'Plan rashoda za unos u SAP'!$M$3:$M$480,"=422")+SUMIFS('ANALITIKA EU PROJEKATA'!$G$3:$G$499,'ANALITIKA EU PROJEKATA'!$A$3:$A$499,"=581",'ANALITIKA EU PROJEKATA'!$P$3:$P$499,"=422")</f>
        <v>42370553</v>
      </c>
      <c r="T44" s="147">
        <f>SUMIFS('Plan rashoda za unos u SAP'!$I$3:$I$480,'Plan rashoda za unos u SAP'!$C$3:$C$480,"=61",'Plan rashoda za unos u SAP'!$M$3:$M$480,"=422")+SUMIFS('ANALITIKA EU PROJEKATA'!$G$3:$G$499,'ANALITIKA EU PROJEKATA'!$A$3:$A$499,"=61",'ANALITIKA EU PROJEKATA'!$P$3:$P$499,"=422")</f>
        <v>32223.904999999999</v>
      </c>
      <c r="U44" s="147">
        <f>SUMIFS('Plan rashoda za unos u SAP'!$I$3:$I$480,'Plan rashoda za unos u SAP'!$C$3:$C$480,"=63",'Plan rashoda za unos u SAP'!$M$3:$M$480,"=422")+SUMIFS('ANALITIKA EU PROJEKATA'!$G$3:$G$499,'ANALITIKA EU PROJEKATA'!$A$3:$A$499,"=63",'ANALITIKA EU PROJEKATA'!$P$3:$P$499,"=422")</f>
        <v>0</v>
      </c>
      <c r="V44" s="147">
        <f>SUMIFS('Plan rashoda za unos u SAP'!$I$3:$I$480,'Plan rashoda za unos u SAP'!$C$3:$C$480,"=71",'Plan rashoda za unos u SAP'!$M$3:$M$480,"=422")+SUMIFS('ANALITIKA EU PROJEKATA'!$G$3:$G$499,'ANALITIKA EU PROJEKATA'!$A$3:$A$499,"=71",'ANALITIKA EU PROJEKATA'!$P$3:$P$499,"=422")</f>
        <v>0</v>
      </c>
      <c r="W44" s="147">
        <f>SUMIFS('Plan rashoda za unos u SAP'!$I$3:$I$480,'Plan rashoda za unos u SAP'!$C$3:$C$480,"=81",'Plan rashoda za unos u SAP'!$M$3:$M$480,"=422")+SUMIFS('ANALITIKA EU PROJEKATA'!$G$3:$G$499,'ANALITIKA EU PROJEKATA'!$A$3:$A$499,"=81",'ANALITIKA EU PROJEKATA'!$P$3:$P$499,"=422")</f>
        <v>0</v>
      </c>
      <c r="X44" s="129"/>
      <c r="Y44" s="129"/>
      <c r="Z44" s="129"/>
      <c r="AA44" s="129"/>
      <c r="AB44" s="129"/>
      <c r="AC44" s="129"/>
      <c r="AD44" s="129"/>
      <c r="AE44" s="129"/>
      <c r="AF44" s="129"/>
      <c r="AG44" s="129"/>
      <c r="AH44" s="129"/>
      <c r="AI44" s="129"/>
      <c r="AJ44" s="129"/>
      <c r="AK44" s="129"/>
      <c r="AL44" s="129"/>
      <c r="AM44" s="129"/>
      <c r="AN44" s="129"/>
      <c r="AO44" s="129"/>
      <c r="AP44" s="129"/>
      <c r="AQ44" s="129"/>
    </row>
    <row r="45" spans="1:43" ht="12" customHeight="1">
      <c r="A45" s="131">
        <v>2021</v>
      </c>
      <c r="B45" s="148">
        <v>423</v>
      </c>
      <c r="C45" s="149" t="s">
        <v>3465</v>
      </c>
      <c r="D45" s="94">
        <f t="shared" si="0"/>
        <v>0</v>
      </c>
      <c r="E45" s="147">
        <f>SUMIFS('Plan rashoda za unos u SAP'!$I$3:$I$480,'Plan rashoda za unos u SAP'!$C$3:$C$480,"=11",'Plan rashoda za unos u SAP'!$M$3:$M$480,"=423")+SUMIFS('ANALITIKA EU PROJEKATA'!$G$3:$G$499,'ANALITIKA EU PROJEKATA'!$A$3:$A$499,"=11",'ANALITIKA EU PROJEKATA'!$P$3:$P$499,"=423")</f>
        <v>0</v>
      </c>
      <c r="F45" s="147">
        <f>SUMIFS('Plan rashoda za unos u SAP'!$I$3:$I$480,'Plan rashoda za unos u SAP'!$C$3:$C$480,"=12",'Plan rashoda za unos u SAP'!$M$3:$M$480,"=423")+SUMIFS('ANALITIKA EU PROJEKATA'!$G$3:$G$499,'ANALITIKA EU PROJEKATA'!$A$3:$A$499,"=12",'ANALITIKA EU PROJEKATA'!$P$3:$P$499,"=423")</f>
        <v>0</v>
      </c>
      <c r="G45" s="147">
        <f>SUMIFS('Plan rashoda za unos u SAP'!$I$3:$I$480,'Plan rashoda za unos u SAP'!$C$3:$C$480,"=31",'Plan rashoda za unos u SAP'!$M$3:$M$480,"=423")+SUMIFS('ANALITIKA EU PROJEKATA'!$G$3:$G$499,'ANALITIKA EU PROJEKATA'!$A$3:$A$499,"=31",'ANALITIKA EU PROJEKATA'!$P$3:$P$499,"=423")</f>
        <v>0</v>
      </c>
      <c r="H45" s="147">
        <f>SUMIFS('Plan rashoda za unos u SAP'!$I$3:$I$480,'Plan rashoda za unos u SAP'!$C$3:$C$480,"=41",'Plan rashoda za unos u SAP'!$M$3:$M$480,"=423")+SUMIFS('ANALITIKA EU PROJEKATA'!$G$3:$G$499,'ANALITIKA EU PROJEKATA'!$A$3:$A$499,"=41",'ANALITIKA EU PROJEKATA'!$P$3:$P$499,"=423")</f>
        <v>0</v>
      </c>
      <c r="I45" s="147">
        <f>SUMIFS('Plan rashoda za unos u SAP'!$I$3:$I$480,'Plan rashoda za unos u SAP'!$C$3:$C$480,"=43",'Plan rashoda za unos u SAP'!$M$3:$M$480,"=423")+SUMIFS('ANALITIKA EU PROJEKATA'!$G$3:$G$499,'ANALITIKA EU PROJEKATA'!$A$3:$A$499,"=43",'ANALITIKA EU PROJEKATA'!$P$3:$P$499,"=423")</f>
        <v>0</v>
      </c>
      <c r="J45" s="147">
        <f>SUMIFS('Plan rashoda za unos u SAP'!$I$3:$I$480,'Plan rashoda za unos u SAP'!$C$3:$C$480,"=51",'Plan rashoda za unos u SAP'!$M$3:$M$480,"=423")+SUMIFS('ANALITIKA EU PROJEKATA'!$G$3:$G$499,'ANALITIKA EU PROJEKATA'!$A$3:$A$499,"=51",'ANALITIKA EU PROJEKATA'!$P$3:$P$499,"=423")</f>
        <v>0</v>
      </c>
      <c r="K45" s="147">
        <f>SUMIFS('Plan rashoda za unos u SAP'!$I$3:$I$480,'Plan rashoda za unos u SAP'!$C$3:$C$480,"=52",'Plan rashoda za unos u SAP'!$M$3:$M$480,"=423")+SUMIFS('ANALITIKA EU PROJEKATA'!$G$3:$G$499,'ANALITIKA EU PROJEKATA'!$A$3:$A$499,"=52",'ANALITIKA EU PROJEKATA'!$P$3:$P$499,"=423")</f>
        <v>0</v>
      </c>
      <c r="L45" s="147">
        <f>SUMIFS('Plan rashoda za unos u SAP'!$I$3:$I$480,'Plan rashoda za unos u SAP'!$C$3:$C$480,"=552",'Plan rashoda za unos u SAP'!$M$3:$M$480,"=423")+SUMIFS('ANALITIKA EU PROJEKATA'!$G$3:$G$499,'ANALITIKA EU PROJEKATA'!$A$3:$A$499,"=552",'ANALITIKA EU PROJEKATA'!$P$3:$P$499,"=423")</f>
        <v>0</v>
      </c>
      <c r="M45" s="147">
        <f>SUMIFS('Plan rashoda za unos u SAP'!$I$3:$I$480,'Plan rashoda za unos u SAP'!$C$3:$C$480,"=559",'Plan rashoda za unos u SAP'!$M$3:$M$480,"=423")+SUMIFS('ANALITIKA EU PROJEKATA'!$G$3:$G$499,'ANALITIKA EU PROJEKATA'!$A$3:$A$499,"=559",'ANALITIKA EU PROJEKATA'!$P$3:$P$499,"=423")</f>
        <v>0</v>
      </c>
      <c r="N45" s="147">
        <f>SUMIFS('Plan rashoda za unos u SAP'!$I$3:$I$480,'Plan rashoda za unos u SAP'!$C$3:$C$480,"=561",'Plan rashoda za unos u SAP'!$M$3:$M$480,"=423")+SUMIFS('ANALITIKA EU PROJEKATA'!$G$3:$G$499,'ANALITIKA EU PROJEKATA'!$A$3:$A$499,"=561",'ANALITIKA EU PROJEKATA'!$P$3:$P$499,"=423")</f>
        <v>0</v>
      </c>
      <c r="O45" s="147">
        <f>SUMIFS('Plan rashoda za unos u SAP'!$I$3:$I$480,'Plan rashoda za unos u SAP'!$C$3:$C$480,"=563",'Plan rashoda za unos u SAP'!$M$3:$M$480,"=423")+SUMIFS('ANALITIKA EU PROJEKATA'!$G$3:$G$499,'ANALITIKA EU PROJEKATA'!$A$3:$A$499,"=563",'ANALITIKA EU PROJEKATA'!$P$3:$P$499,"=423")</f>
        <v>0</v>
      </c>
      <c r="P45" s="147">
        <f>SUMIFS('Plan rashoda za unos u SAP'!$I$3:$I$480,'Plan rashoda za unos u SAP'!$C$3:$C$480,"=573",'Plan rashoda za unos u SAP'!$M$3:$M$480,"=423")+SUMIFS('ANALITIKA EU PROJEKATA'!$G$3:$G$499,'ANALITIKA EU PROJEKATA'!$A$3:$A$499,"=573",'ANALITIKA EU PROJEKATA'!$P$3:$P$499,"=423")</f>
        <v>0</v>
      </c>
      <c r="Q45" s="147">
        <f>SUMIFS('Plan rashoda za unos u SAP'!$I$3:$I$480,'Plan rashoda za unos u SAP'!$C$3:$C$480,"=575",'Plan rashoda za unos u SAP'!$M$3:$M$480,"=423")+SUMIFS('ANALITIKA EU PROJEKATA'!$G$3:$G$499,'ANALITIKA EU PROJEKATA'!$A$3:$A$499,"=575",'ANALITIKA EU PROJEKATA'!$P$3:$P$499,"=423")</f>
        <v>0</v>
      </c>
      <c r="R45" s="147">
        <f>SUMIFS('Plan rashoda za unos u SAP'!$I$3:$I$480,'Plan rashoda za unos u SAP'!$C$3:$C$480,"=576",'Plan rashoda za unos u SAP'!$M$3:$M$480,"=423")+SUMIFS('ANALITIKA EU PROJEKATA'!$G$3:$G$499,'ANALITIKA EU PROJEKATA'!$A$3:$A$499,"=576",'ANALITIKA EU PROJEKATA'!$P$3:$P$499,"=423")</f>
        <v>0</v>
      </c>
      <c r="S45" s="147">
        <f>SUMIFS('Plan rashoda za unos u SAP'!$I$3:$I$480,'Plan rashoda za unos u SAP'!$C$3:$C$480,"=581",'Plan rashoda za unos u SAP'!$M$3:$M$480,"=423")+SUMIFS('ANALITIKA EU PROJEKATA'!$G$3:$G$499,'ANALITIKA EU PROJEKATA'!$A$3:$A$499,"=581",'ANALITIKA EU PROJEKATA'!$P$3:$P$499,"=423")</f>
        <v>0</v>
      </c>
      <c r="T45" s="147">
        <f>SUMIFS('Plan rashoda za unos u SAP'!$I$3:$I$480,'Plan rashoda za unos u SAP'!$C$3:$C$480,"=61",'Plan rashoda za unos u SAP'!$M$3:$M$480,"=423")+SUMIFS('ANALITIKA EU PROJEKATA'!$G$3:$G$499,'ANALITIKA EU PROJEKATA'!$A$3:$A$499,"=61",'ANALITIKA EU PROJEKATA'!$P$3:$P$499,"=423")</f>
        <v>0</v>
      </c>
      <c r="U45" s="147">
        <f>SUMIFS('Plan rashoda za unos u SAP'!$I$3:$I$480,'Plan rashoda za unos u SAP'!$C$3:$C$480,"=63",'Plan rashoda za unos u SAP'!$M$3:$M$480,"=423")+SUMIFS('ANALITIKA EU PROJEKATA'!$G$3:$G$499,'ANALITIKA EU PROJEKATA'!$A$3:$A$499,"=63",'ANALITIKA EU PROJEKATA'!$P$3:$P$499,"=423")</f>
        <v>0</v>
      </c>
      <c r="V45" s="147">
        <f>SUMIFS('Plan rashoda za unos u SAP'!$I$3:$I$480,'Plan rashoda za unos u SAP'!$C$3:$C$480,"=71",'Plan rashoda za unos u SAP'!$M$3:$M$480,"=423")+SUMIFS('ANALITIKA EU PROJEKATA'!$G$3:$G$499,'ANALITIKA EU PROJEKATA'!$A$3:$A$499,"=71",'ANALITIKA EU PROJEKATA'!$P$3:$P$499,"=423")</f>
        <v>0</v>
      </c>
      <c r="W45" s="147">
        <f>SUMIFS('Plan rashoda za unos u SAP'!$I$3:$I$480,'Plan rashoda za unos u SAP'!$C$3:$C$480,"=81",'Plan rashoda za unos u SAP'!$M$3:$M$480,"=423")+SUMIFS('ANALITIKA EU PROJEKATA'!$G$3:$G$499,'ANALITIKA EU PROJEKATA'!$A$3:$A$499,"=81",'ANALITIKA EU PROJEKATA'!$P$3:$P$499,"=423")</f>
        <v>0</v>
      </c>
      <c r="X45" s="129"/>
      <c r="Y45" s="129"/>
      <c r="Z45" s="129"/>
      <c r="AA45" s="129"/>
      <c r="AB45" s="129"/>
      <c r="AC45" s="129"/>
      <c r="AD45" s="129"/>
      <c r="AE45" s="129"/>
      <c r="AF45" s="129"/>
      <c r="AG45" s="129"/>
      <c r="AH45" s="129"/>
      <c r="AI45" s="129"/>
      <c r="AJ45" s="129"/>
      <c r="AK45" s="129"/>
      <c r="AL45" s="129"/>
      <c r="AM45" s="129"/>
      <c r="AN45" s="129"/>
      <c r="AO45" s="129"/>
      <c r="AP45" s="129"/>
      <c r="AQ45" s="129"/>
    </row>
    <row r="46" spans="1:43" ht="12" customHeight="1">
      <c r="A46" s="131">
        <v>2021</v>
      </c>
      <c r="B46" s="148">
        <v>424</v>
      </c>
      <c r="C46" s="153" t="s">
        <v>3466</v>
      </c>
      <c r="D46" s="94">
        <f t="shared" si="0"/>
        <v>71530.275500000003</v>
      </c>
      <c r="E46" s="147">
        <f>SUMIFS('Plan rashoda za unos u SAP'!$I$3:$I$480,'Plan rashoda za unos u SAP'!$C$3:$C$480,"=11",'Plan rashoda za unos u SAP'!$M$3:$M$480,"=424")+SUMIFS('ANALITIKA EU PROJEKATA'!$G$3:$G$499,'ANALITIKA EU PROJEKATA'!$A$3:$A$499,"=11",'ANALITIKA EU PROJEKATA'!$P$3:$P$499,"=424")</f>
        <v>0</v>
      </c>
      <c r="F46" s="147">
        <f>SUMIFS('Plan rashoda za unos u SAP'!$I$3:$I$480,'Plan rashoda za unos u SAP'!$C$3:$C$480,"=12",'Plan rashoda za unos u SAP'!$M$3:$M$480,"=424")+SUMIFS('ANALITIKA EU PROJEKATA'!$G$3:$G$499,'ANALITIKA EU PROJEKATA'!$A$3:$A$499,"=12",'ANALITIKA EU PROJEKATA'!$P$3:$P$499,"=424")</f>
        <v>0</v>
      </c>
      <c r="G46" s="147">
        <f>SUMIFS('Plan rashoda za unos u SAP'!$I$3:$I$480,'Plan rashoda za unos u SAP'!$C$3:$C$480,"=31",'Plan rashoda za unos u SAP'!$M$3:$M$480,"=424")+SUMIFS('ANALITIKA EU PROJEKATA'!$G$3:$G$499,'ANALITIKA EU PROJEKATA'!$A$3:$A$499,"=31",'ANALITIKA EU PROJEKATA'!$P$3:$P$499,"=424")</f>
        <v>14283</v>
      </c>
      <c r="H46" s="147">
        <f>SUMIFS('Plan rashoda za unos u SAP'!$I$3:$I$480,'Plan rashoda za unos u SAP'!$C$3:$C$480,"=41",'Plan rashoda za unos u SAP'!$M$3:$M$480,"=424")+SUMIFS('ANALITIKA EU PROJEKATA'!$G$3:$G$499,'ANALITIKA EU PROJEKATA'!$A$3:$A$499,"=41",'ANALITIKA EU PROJEKATA'!$P$3:$P$499,"=424")</f>
        <v>0</v>
      </c>
      <c r="I46" s="147">
        <f>SUMIFS('Plan rashoda za unos u SAP'!$I$3:$I$480,'Plan rashoda za unos u SAP'!$C$3:$C$480,"=43",'Plan rashoda za unos u SAP'!$M$3:$M$480,"=424")+SUMIFS('ANALITIKA EU PROJEKATA'!$G$3:$G$499,'ANALITIKA EU PROJEKATA'!$A$3:$A$499,"=43",'ANALITIKA EU PROJEKATA'!$P$3:$P$499,"=424")</f>
        <v>34393.264999999999</v>
      </c>
      <c r="J46" s="147">
        <f>SUMIFS('Plan rashoda za unos u SAP'!$I$3:$I$480,'Plan rashoda za unos u SAP'!$C$3:$C$480,"=51",'Plan rashoda za unos u SAP'!$M$3:$M$480,"=424")+SUMIFS('ANALITIKA EU PROJEKATA'!$G$3:$G$499,'ANALITIKA EU PROJEKATA'!$A$3:$A$499,"=51",'ANALITIKA EU PROJEKATA'!$P$3:$P$499,"=424")</f>
        <v>0</v>
      </c>
      <c r="K46" s="147">
        <f>SUMIFS('Plan rashoda za unos u SAP'!$I$3:$I$480,'Plan rashoda za unos u SAP'!$C$3:$C$480,"=52",'Plan rashoda za unos u SAP'!$M$3:$M$480,"=424")+SUMIFS('ANALITIKA EU PROJEKATA'!$G$3:$G$499,'ANALITIKA EU PROJEKATA'!$A$3:$A$499,"=52",'ANALITIKA EU PROJEKATA'!$P$3:$P$499,"=424")</f>
        <v>22854.0105</v>
      </c>
      <c r="L46" s="147">
        <f>SUMIFS('Plan rashoda za unos u SAP'!$I$3:$I$480,'Plan rashoda za unos u SAP'!$C$3:$C$480,"=552",'Plan rashoda za unos u SAP'!$M$3:$M$480,"=424")+SUMIFS('ANALITIKA EU PROJEKATA'!$G$3:$G$499,'ANALITIKA EU PROJEKATA'!$A$3:$A$499,"=552",'ANALITIKA EU PROJEKATA'!$P$3:$P$499,"=424")</f>
        <v>0</v>
      </c>
      <c r="M46" s="147">
        <f>SUMIFS('Plan rashoda za unos u SAP'!$I$3:$I$480,'Plan rashoda za unos u SAP'!$C$3:$C$480,"=559",'Plan rashoda za unos u SAP'!$M$3:$M$480,"=424")+SUMIFS('ANALITIKA EU PROJEKATA'!$G$3:$G$499,'ANALITIKA EU PROJEKATA'!$A$3:$A$499,"=559",'ANALITIKA EU PROJEKATA'!$P$3:$P$499,"=424")</f>
        <v>0</v>
      </c>
      <c r="N46" s="147">
        <f>SUMIFS('Plan rashoda za unos u SAP'!$I$3:$I$480,'Plan rashoda za unos u SAP'!$C$3:$C$480,"=561",'Plan rashoda za unos u SAP'!$M$3:$M$480,"=424")+SUMIFS('ANALITIKA EU PROJEKATA'!$G$3:$G$499,'ANALITIKA EU PROJEKATA'!$A$3:$A$499,"=561",'ANALITIKA EU PROJEKATA'!$P$3:$P$499,"=424")</f>
        <v>0</v>
      </c>
      <c r="O46" s="147">
        <f>SUMIFS('Plan rashoda za unos u SAP'!$I$3:$I$480,'Plan rashoda za unos u SAP'!$C$3:$C$480,"=563",'Plan rashoda za unos u SAP'!$M$3:$M$480,"=424")+SUMIFS('ANALITIKA EU PROJEKATA'!$G$3:$G$499,'ANALITIKA EU PROJEKATA'!$A$3:$A$499,"=563",'ANALITIKA EU PROJEKATA'!$P$3:$P$499,"=424")</f>
        <v>0</v>
      </c>
      <c r="P46" s="147">
        <f>SUMIFS('Plan rashoda za unos u SAP'!$I$3:$I$480,'Plan rashoda za unos u SAP'!$C$3:$C$480,"=573",'Plan rashoda za unos u SAP'!$M$3:$M$480,"=424")+SUMIFS('ANALITIKA EU PROJEKATA'!$G$3:$G$499,'ANALITIKA EU PROJEKATA'!$A$3:$A$499,"=573",'ANALITIKA EU PROJEKATA'!$P$3:$P$499,"=424")</f>
        <v>0</v>
      </c>
      <c r="Q46" s="147">
        <f>SUMIFS('Plan rashoda za unos u SAP'!$I$3:$I$480,'Plan rashoda za unos u SAP'!$C$3:$C$480,"=575",'Plan rashoda za unos u SAP'!$M$3:$M$480,"=424")+SUMIFS('ANALITIKA EU PROJEKATA'!$G$3:$G$499,'ANALITIKA EU PROJEKATA'!$A$3:$A$499,"=575",'ANALITIKA EU PROJEKATA'!$P$3:$P$499,"=424")</f>
        <v>0</v>
      </c>
      <c r="R46" s="147">
        <f>SUMIFS('Plan rashoda za unos u SAP'!$I$3:$I$480,'Plan rashoda za unos u SAP'!$C$3:$C$480,"=576",'Plan rashoda za unos u SAP'!$M$3:$M$480,"=424")+SUMIFS('ANALITIKA EU PROJEKATA'!$G$3:$G$499,'ANALITIKA EU PROJEKATA'!$A$3:$A$499,"=576",'ANALITIKA EU PROJEKATA'!$P$3:$P$499,"=424")</f>
        <v>0</v>
      </c>
      <c r="S46" s="147">
        <f>SUMIFS('Plan rashoda za unos u SAP'!$I$3:$I$480,'Plan rashoda za unos u SAP'!$C$3:$C$480,"=581",'Plan rashoda za unos u SAP'!$M$3:$M$480,"=424")+SUMIFS('ANALITIKA EU PROJEKATA'!$G$3:$G$499,'ANALITIKA EU PROJEKATA'!$A$3:$A$499,"=581",'ANALITIKA EU PROJEKATA'!$P$3:$P$499,"=424")</f>
        <v>0</v>
      </c>
      <c r="T46" s="147">
        <f>SUMIFS('Plan rashoda za unos u SAP'!$I$3:$I$480,'Plan rashoda za unos u SAP'!$C$3:$C$480,"=61",'Plan rashoda za unos u SAP'!$M$3:$M$480,"=424")+SUMIFS('ANALITIKA EU PROJEKATA'!$G$3:$G$499,'ANALITIKA EU PROJEKATA'!$A$3:$A$499,"=61",'ANALITIKA EU PROJEKATA'!$P$3:$P$499,"=424")</f>
        <v>0</v>
      </c>
      <c r="U46" s="147">
        <f>SUMIFS('Plan rashoda za unos u SAP'!$I$3:$I$480,'Plan rashoda za unos u SAP'!$C$3:$C$480,"=63",'Plan rashoda za unos u SAP'!$M$3:$M$480,"=424")+SUMIFS('ANALITIKA EU PROJEKATA'!$G$3:$G$499,'ANALITIKA EU PROJEKATA'!$A$3:$A$499,"=63",'ANALITIKA EU PROJEKATA'!$P$3:$P$499,"=424")</f>
        <v>0</v>
      </c>
      <c r="V46" s="147">
        <f>SUMIFS('Plan rashoda za unos u SAP'!$I$3:$I$480,'Plan rashoda za unos u SAP'!$C$3:$C$480,"=71",'Plan rashoda za unos u SAP'!$M$3:$M$480,"=424")+SUMIFS('ANALITIKA EU PROJEKATA'!$G$3:$G$499,'ANALITIKA EU PROJEKATA'!$A$3:$A$499,"=71",'ANALITIKA EU PROJEKATA'!$P$3:$P$499,"=424")</f>
        <v>0</v>
      </c>
      <c r="W46" s="147">
        <f>SUMIFS('Plan rashoda za unos u SAP'!$I$3:$I$480,'Plan rashoda za unos u SAP'!$C$3:$C$480,"=81",'Plan rashoda za unos u SAP'!$M$3:$M$480,"=424")+SUMIFS('ANALITIKA EU PROJEKATA'!$G$3:$G$499,'ANALITIKA EU PROJEKATA'!$A$3:$A$499,"=81",'ANALITIKA EU PROJEKATA'!$P$3:$P$499,"=424")</f>
        <v>0</v>
      </c>
      <c r="X46" s="129"/>
      <c r="Y46" s="129"/>
      <c r="Z46" s="129"/>
      <c r="AA46" s="129"/>
      <c r="AB46" s="129"/>
      <c r="AC46" s="129"/>
      <c r="AD46" s="129"/>
      <c r="AE46" s="129"/>
      <c r="AF46" s="129"/>
      <c r="AG46" s="129"/>
      <c r="AH46" s="129"/>
      <c r="AI46" s="129"/>
      <c r="AJ46" s="129"/>
      <c r="AK46" s="129"/>
      <c r="AL46" s="129"/>
      <c r="AM46" s="129"/>
      <c r="AN46" s="129"/>
      <c r="AO46" s="129"/>
      <c r="AP46" s="129"/>
      <c r="AQ46" s="129"/>
    </row>
    <row r="47" spans="1:43" ht="12" customHeight="1">
      <c r="A47" s="131">
        <v>2021</v>
      </c>
      <c r="B47" s="148">
        <v>425</v>
      </c>
      <c r="C47" s="153" t="s">
        <v>3467</v>
      </c>
      <c r="D47" s="94">
        <f t="shared" si="0"/>
        <v>0</v>
      </c>
      <c r="E47" s="147">
        <f>SUMIFS('Plan rashoda za unos u SAP'!$I$3:$I$480,'Plan rashoda za unos u SAP'!$C$3:$C$480,"=11",'Plan rashoda za unos u SAP'!$M$3:$M$480,"=425")+SUMIFS('ANALITIKA EU PROJEKATA'!$G$3:$G$499,'ANALITIKA EU PROJEKATA'!$A$3:$A$499,"=11",'ANALITIKA EU PROJEKATA'!$P$3:$P$499,"=425")</f>
        <v>0</v>
      </c>
      <c r="F47" s="147">
        <f>SUMIFS('Plan rashoda za unos u SAP'!$I$3:$I$480,'Plan rashoda za unos u SAP'!$C$3:$C$480,"=12",'Plan rashoda za unos u SAP'!$M$3:$M$480,"=425")+SUMIFS('ANALITIKA EU PROJEKATA'!$G$3:$G$499,'ANALITIKA EU PROJEKATA'!$A$3:$A$499,"=12",'ANALITIKA EU PROJEKATA'!$P$3:$P$499,"=425")</f>
        <v>0</v>
      </c>
      <c r="G47" s="147">
        <f>SUMIFS('Plan rashoda za unos u SAP'!$I$3:$I$480,'Plan rashoda za unos u SAP'!$C$3:$C$480,"=31",'Plan rashoda za unos u SAP'!$M$3:$M$480,"=425")+SUMIFS('ANALITIKA EU PROJEKATA'!$G$3:$G$499,'ANALITIKA EU PROJEKATA'!$A$3:$A$499,"=31",'ANALITIKA EU PROJEKATA'!$P$3:$P$499,"=425")</f>
        <v>0</v>
      </c>
      <c r="H47" s="147">
        <f>SUMIFS('Plan rashoda za unos u SAP'!$I$3:$I$480,'Plan rashoda za unos u SAP'!$C$3:$C$480,"=41",'Plan rashoda za unos u SAP'!$M$3:$M$480,"=425")+SUMIFS('ANALITIKA EU PROJEKATA'!$G$3:$G$499,'ANALITIKA EU PROJEKATA'!$A$3:$A$499,"=41",'ANALITIKA EU PROJEKATA'!$P$3:$P$499,"=425")</f>
        <v>0</v>
      </c>
      <c r="I47" s="147">
        <f>SUMIFS('Plan rashoda za unos u SAP'!$I$3:$I$480,'Plan rashoda za unos u SAP'!$C$3:$C$480,"=43",'Plan rashoda za unos u SAP'!$M$3:$M$480,"=425")+SUMIFS('ANALITIKA EU PROJEKATA'!$G$3:$G$499,'ANALITIKA EU PROJEKATA'!$A$3:$A$499,"=43",'ANALITIKA EU PROJEKATA'!$P$3:$P$499,"=425")</f>
        <v>0</v>
      </c>
      <c r="J47" s="147">
        <f>SUMIFS('Plan rashoda za unos u SAP'!$I$3:$I$480,'Plan rashoda za unos u SAP'!$C$3:$C$480,"=51",'Plan rashoda za unos u SAP'!$M$3:$M$480,"=425")+SUMIFS('ANALITIKA EU PROJEKATA'!$G$3:$G$499,'ANALITIKA EU PROJEKATA'!$A$3:$A$499,"=51",'ANALITIKA EU PROJEKATA'!$P$3:$P$499,"=425")</f>
        <v>0</v>
      </c>
      <c r="K47" s="147">
        <f>SUMIFS('Plan rashoda za unos u SAP'!$I$3:$I$480,'Plan rashoda za unos u SAP'!$C$3:$C$480,"=52",'Plan rashoda za unos u SAP'!$M$3:$M$480,"=425")+SUMIFS('ANALITIKA EU PROJEKATA'!$G$3:$G$499,'ANALITIKA EU PROJEKATA'!$A$3:$A$499,"=52",'ANALITIKA EU PROJEKATA'!$P$3:$P$499,"=425")</f>
        <v>0</v>
      </c>
      <c r="L47" s="147">
        <f>SUMIFS('Plan rashoda za unos u SAP'!$I$3:$I$480,'Plan rashoda za unos u SAP'!$C$3:$C$480,"=552",'Plan rashoda za unos u SAP'!$M$3:$M$480,"=425")+SUMIFS('ANALITIKA EU PROJEKATA'!$G$3:$G$499,'ANALITIKA EU PROJEKATA'!$A$3:$A$499,"=552",'ANALITIKA EU PROJEKATA'!$P$3:$P$499,"=425")</f>
        <v>0</v>
      </c>
      <c r="M47" s="147">
        <f>SUMIFS('Plan rashoda za unos u SAP'!$I$3:$I$480,'Plan rashoda za unos u SAP'!$C$3:$C$480,"=559",'Plan rashoda za unos u SAP'!$M$3:$M$480,"=425")+SUMIFS('ANALITIKA EU PROJEKATA'!$G$3:$G$499,'ANALITIKA EU PROJEKATA'!$A$3:$A$499,"=559",'ANALITIKA EU PROJEKATA'!$P$3:$P$499,"=425")</f>
        <v>0</v>
      </c>
      <c r="N47" s="147">
        <f>SUMIFS('Plan rashoda za unos u SAP'!$I$3:$I$480,'Plan rashoda za unos u SAP'!$C$3:$C$480,"=561",'Plan rashoda za unos u SAP'!$M$3:$M$480,"=425")+SUMIFS('ANALITIKA EU PROJEKATA'!$G$3:$G$499,'ANALITIKA EU PROJEKATA'!$A$3:$A$499,"=561",'ANALITIKA EU PROJEKATA'!$P$3:$P$499,"=425")</f>
        <v>0</v>
      </c>
      <c r="O47" s="147">
        <f>SUMIFS('Plan rashoda za unos u SAP'!$I$3:$I$480,'Plan rashoda za unos u SAP'!$C$3:$C$480,"=563",'Plan rashoda za unos u SAP'!$M$3:$M$480,"=425")+SUMIFS('ANALITIKA EU PROJEKATA'!$G$3:$G$499,'ANALITIKA EU PROJEKATA'!$A$3:$A$499,"=563",'ANALITIKA EU PROJEKATA'!$P$3:$P$499,"=425")</f>
        <v>0</v>
      </c>
      <c r="P47" s="147">
        <f>SUMIFS('Plan rashoda za unos u SAP'!$I$3:$I$480,'Plan rashoda za unos u SAP'!$C$3:$C$480,"=573",'Plan rashoda za unos u SAP'!$M$3:$M$480,"=425")+SUMIFS('ANALITIKA EU PROJEKATA'!$G$3:$G$499,'ANALITIKA EU PROJEKATA'!$A$3:$A$499,"=573",'ANALITIKA EU PROJEKATA'!$P$3:$P$499,"=425")</f>
        <v>0</v>
      </c>
      <c r="Q47" s="147">
        <f>SUMIFS('Plan rashoda za unos u SAP'!$I$3:$I$480,'Plan rashoda za unos u SAP'!$C$3:$C$480,"=575",'Plan rashoda za unos u SAP'!$M$3:$M$480,"=425")+SUMIFS('ANALITIKA EU PROJEKATA'!$G$3:$G$499,'ANALITIKA EU PROJEKATA'!$A$3:$A$499,"=575",'ANALITIKA EU PROJEKATA'!$P$3:$P$499,"=425")</f>
        <v>0</v>
      </c>
      <c r="R47" s="147">
        <f>SUMIFS('Plan rashoda za unos u SAP'!$I$3:$I$480,'Plan rashoda za unos u SAP'!$C$3:$C$480,"=576",'Plan rashoda za unos u SAP'!$M$3:$M$480,"=425")+SUMIFS('ANALITIKA EU PROJEKATA'!$G$3:$G$499,'ANALITIKA EU PROJEKATA'!$A$3:$A$499,"=576",'ANALITIKA EU PROJEKATA'!$P$3:$P$499,"=425")</f>
        <v>0</v>
      </c>
      <c r="S47" s="147">
        <f>SUMIFS('Plan rashoda za unos u SAP'!$I$3:$I$480,'Plan rashoda za unos u SAP'!$C$3:$C$480,"=581",'Plan rashoda za unos u SAP'!$M$3:$M$480,"=425")+SUMIFS('ANALITIKA EU PROJEKATA'!$G$3:$G$499,'ANALITIKA EU PROJEKATA'!$A$3:$A$499,"=581",'ANALITIKA EU PROJEKATA'!$P$3:$P$499,"=425")</f>
        <v>0</v>
      </c>
      <c r="T47" s="147">
        <f>SUMIFS('Plan rashoda za unos u SAP'!$I$3:$I$480,'Plan rashoda za unos u SAP'!$C$3:$C$480,"=61",'Plan rashoda za unos u SAP'!$M$3:$M$480,"=425")+SUMIFS('ANALITIKA EU PROJEKATA'!$G$3:$G$499,'ANALITIKA EU PROJEKATA'!$A$3:$A$499,"=61",'ANALITIKA EU PROJEKATA'!$P$3:$P$499,"=425")</f>
        <v>0</v>
      </c>
      <c r="U47" s="147">
        <f>SUMIFS('Plan rashoda za unos u SAP'!$I$3:$I$480,'Plan rashoda za unos u SAP'!$C$3:$C$480,"=63",'Plan rashoda za unos u SAP'!$M$3:$M$480,"=425")+SUMIFS('ANALITIKA EU PROJEKATA'!$G$3:$G$499,'ANALITIKA EU PROJEKATA'!$A$3:$A$499,"=63",'ANALITIKA EU PROJEKATA'!$P$3:$P$499,"=425")</f>
        <v>0</v>
      </c>
      <c r="V47" s="147">
        <f>SUMIFS('Plan rashoda za unos u SAP'!$I$3:$I$480,'Plan rashoda za unos u SAP'!$C$3:$C$480,"=71",'Plan rashoda za unos u SAP'!$M$3:$M$480,"=425")+SUMIFS('ANALITIKA EU PROJEKATA'!$G$3:$G$499,'ANALITIKA EU PROJEKATA'!$A$3:$A$499,"=71",'ANALITIKA EU PROJEKATA'!$P$3:$P$499,"=425")</f>
        <v>0</v>
      </c>
      <c r="W47" s="147">
        <f>SUMIFS('Plan rashoda za unos u SAP'!$I$3:$I$480,'Plan rashoda za unos u SAP'!$C$3:$C$480,"=81",'Plan rashoda za unos u SAP'!$M$3:$M$480,"=425")+SUMIFS('ANALITIKA EU PROJEKATA'!$G$3:$G$499,'ANALITIKA EU PROJEKATA'!$A$3:$A$499,"=81",'ANALITIKA EU PROJEKATA'!$P$3:$P$499,"=425")</f>
        <v>0</v>
      </c>
      <c r="X47" s="129"/>
      <c r="Y47" s="129"/>
      <c r="Z47" s="129"/>
      <c r="AA47" s="129"/>
      <c r="AB47" s="129"/>
      <c r="AC47" s="129"/>
      <c r="AD47" s="129"/>
      <c r="AE47" s="129"/>
      <c r="AF47" s="129"/>
      <c r="AG47" s="129"/>
      <c r="AH47" s="129"/>
      <c r="AI47" s="129"/>
      <c r="AJ47" s="129"/>
      <c r="AK47" s="129"/>
      <c r="AL47" s="129"/>
      <c r="AM47" s="129"/>
      <c r="AN47" s="129"/>
      <c r="AO47" s="129"/>
      <c r="AP47" s="129"/>
      <c r="AQ47" s="129"/>
    </row>
    <row r="48" spans="1:43" ht="12" customHeight="1">
      <c r="A48" s="131">
        <v>2021</v>
      </c>
      <c r="B48" s="148">
        <v>426</v>
      </c>
      <c r="C48" s="149" t="s">
        <v>3468</v>
      </c>
      <c r="D48" s="94">
        <f t="shared" si="0"/>
        <v>464462.07500000001</v>
      </c>
      <c r="E48" s="147">
        <f>SUMIFS('Plan rashoda za unos u SAP'!$I$3:$I$480,'Plan rashoda za unos u SAP'!$C$3:$C$480,"=11",'Plan rashoda za unos u SAP'!$M$3:$M$480,"=426")+SUMIFS('ANALITIKA EU PROJEKATA'!$G$3:$G$499,'ANALITIKA EU PROJEKATA'!$A$3:$A$499,"=11",'ANALITIKA EU PROJEKATA'!$P$3:$P$499,"=426")</f>
        <v>0</v>
      </c>
      <c r="F48" s="147">
        <f>SUMIFS('Plan rashoda za unos u SAP'!$I$3:$I$480,'Plan rashoda za unos u SAP'!$C$3:$C$480,"=12",'Plan rashoda za unos u SAP'!$M$3:$M$480,"=426")+SUMIFS('ANALITIKA EU PROJEKATA'!$G$3:$G$499,'ANALITIKA EU PROJEKATA'!$A$3:$A$499,"=12",'ANALITIKA EU PROJEKATA'!$P$3:$P$499,"=426")</f>
        <v>0</v>
      </c>
      <c r="G48" s="147">
        <f>SUMIFS('Plan rashoda za unos u SAP'!$I$3:$I$480,'Plan rashoda za unos u SAP'!$C$3:$C$480,"=31",'Plan rashoda za unos u SAP'!$M$3:$M$480,"=426")+SUMIFS('ANALITIKA EU PROJEKATA'!$G$3:$G$499,'ANALITIKA EU PROJEKATA'!$A$3:$A$499,"=31",'ANALITIKA EU PROJEKATA'!$P$3:$P$499,"=426")</f>
        <v>0</v>
      </c>
      <c r="H48" s="147">
        <f>SUMIFS('Plan rashoda za unos u SAP'!$I$3:$I$480,'Plan rashoda za unos u SAP'!$C$3:$C$480,"=41",'Plan rashoda za unos u SAP'!$M$3:$M$480,"=426")+SUMIFS('ANALITIKA EU PROJEKATA'!$G$3:$G$499,'ANALITIKA EU PROJEKATA'!$A$3:$A$499,"=41",'ANALITIKA EU PROJEKATA'!$P$3:$P$499,"=426")</f>
        <v>0</v>
      </c>
      <c r="I48" s="147">
        <f>SUMIFS('Plan rashoda za unos u SAP'!$I$3:$I$480,'Plan rashoda za unos u SAP'!$C$3:$C$480,"=43",'Plan rashoda za unos u SAP'!$M$3:$M$480,"=426")+SUMIFS('ANALITIKA EU PROJEKATA'!$G$3:$G$499,'ANALITIKA EU PROJEKATA'!$A$3:$A$499,"=43",'ANALITIKA EU PROJEKATA'!$P$3:$P$499,"=426")</f>
        <v>444813.27500000002</v>
      </c>
      <c r="J48" s="147">
        <f>SUMIFS('Plan rashoda za unos u SAP'!$I$3:$I$480,'Plan rashoda za unos u SAP'!$C$3:$C$480,"=51",'Plan rashoda za unos u SAP'!$M$3:$M$480,"=426")+SUMIFS('ANALITIKA EU PROJEKATA'!$G$3:$G$499,'ANALITIKA EU PROJEKATA'!$A$3:$A$499,"=51",'ANALITIKA EU PROJEKATA'!$P$3:$P$499,"=426")</f>
        <v>0</v>
      </c>
      <c r="K48" s="147">
        <f>SUMIFS('Plan rashoda za unos u SAP'!$I$3:$I$480,'Plan rashoda za unos u SAP'!$C$3:$C$480,"=52",'Plan rashoda za unos u SAP'!$M$3:$M$480,"=426")+SUMIFS('ANALITIKA EU PROJEKATA'!$G$3:$G$499,'ANALITIKA EU PROJEKATA'!$A$3:$A$499,"=52",'ANALITIKA EU PROJEKATA'!$P$3:$P$499,"=426")</f>
        <v>19648.8</v>
      </c>
      <c r="L48" s="147">
        <f>SUMIFS('Plan rashoda za unos u SAP'!$I$3:$I$480,'Plan rashoda za unos u SAP'!$C$3:$C$480,"=552",'Plan rashoda za unos u SAP'!$M$3:$M$480,"=426")+SUMIFS('ANALITIKA EU PROJEKATA'!$G$3:$G$499,'ANALITIKA EU PROJEKATA'!$A$3:$A$499,"=552",'ANALITIKA EU PROJEKATA'!$P$3:$P$499,"=426")</f>
        <v>0</v>
      </c>
      <c r="M48" s="147">
        <f>SUMIFS('Plan rashoda za unos u SAP'!$I$3:$I$480,'Plan rashoda za unos u SAP'!$C$3:$C$480,"=559",'Plan rashoda za unos u SAP'!$M$3:$M$480,"=426")+SUMIFS('ANALITIKA EU PROJEKATA'!$G$3:$G$499,'ANALITIKA EU PROJEKATA'!$A$3:$A$499,"=559",'ANALITIKA EU PROJEKATA'!$P$3:$P$499,"=426")</f>
        <v>0</v>
      </c>
      <c r="N48" s="147">
        <f>SUMIFS('Plan rashoda za unos u SAP'!$I$3:$I$480,'Plan rashoda za unos u SAP'!$C$3:$C$480,"=561",'Plan rashoda za unos u SAP'!$M$3:$M$480,"=426")+SUMIFS('ANALITIKA EU PROJEKATA'!$G$3:$G$499,'ANALITIKA EU PROJEKATA'!$A$3:$A$499,"=561",'ANALITIKA EU PROJEKATA'!$P$3:$P$499,"=426")</f>
        <v>0</v>
      </c>
      <c r="O48" s="147">
        <f>SUMIFS('Plan rashoda za unos u SAP'!$I$3:$I$480,'Plan rashoda za unos u SAP'!$C$3:$C$480,"=563",'Plan rashoda za unos u SAP'!$M$3:$M$480,"=426")+SUMIFS('ANALITIKA EU PROJEKATA'!$G$3:$G$499,'ANALITIKA EU PROJEKATA'!$A$3:$A$499,"=563",'ANALITIKA EU PROJEKATA'!$P$3:$P$499,"=426")</f>
        <v>0</v>
      </c>
      <c r="P48" s="147">
        <f>SUMIFS('Plan rashoda za unos u SAP'!$I$3:$I$480,'Plan rashoda za unos u SAP'!$C$3:$C$480,"=573",'Plan rashoda za unos u SAP'!$M$3:$M$480,"=426")+SUMIFS('ANALITIKA EU PROJEKATA'!$G$3:$G$499,'ANALITIKA EU PROJEKATA'!$A$3:$A$499,"=573",'ANALITIKA EU PROJEKATA'!$P$3:$P$499,"=426")</f>
        <v>0</v>
      </c>
      <c r="Q48" s="147">
        <f>SUMIFS('Plan rashoda za unos u SAP'!$I$3:$I$480,'Plan rashoda za unos u SAP'!$C$3:$C$480,"=575",'Plan rashoda za unos u SAP'!$M$3:$M$480,"=426")+SUMIFS('ANALITIKA EU PROJEKATA'!$G$3:$G$499,'ANALITIKA EU PROJEKATA'!$A$3:$A$499,"=575",'ANALITIKA EU PROJEKATA'!$P$3:$P$499,"=426")</f>
        <v>0</v>
      </c>
      <c r="R48" s="147">
        <f>SUMIFS('Plan rashoda za unos u SAP'!$I$3:$I$480,'Plan rashoda za unos u SAP'!$C$3:$C$480,"=576",'Plan rashoda za unos u SAP'!$M$3:$M$480,"=426")+SUMIFS('ANALITIKA EU PROJEKATA'!$G$3:$G$499,'ANALITIKA EU PROJEKATA'!$A$3:$A$499,"=576",'ANALITIKA EU PROJEKATA'!$P$3:$P$499,"=426")</f>
        <v>0</v>
      </c>
      <c r="S48" s="147">
        <f>SUMIFS('Plan rashoda za unos u SAP'!$I$3:$I$480,'Plan rashoda za unos u SAP'!$C$3:$C$480,"=581",'Plan rashoda za unos u SAP'!$M$3:$M$480,"=426")+SUMIFS('ANALITIKA EU PROJEKATA'!$G$3:$G$499,'ANALITIKA EU PROJEKATA'!$A$3:$A$499,"=581",'ANALITIKA EU PROJEKATA'!$P$3:$P$499,"=426")</f>
        <v>0</v>
      </c>
      <c r="T48" s="147">
        <f>SUMIFS('Plan rashoda za unos u SAP'!$I$3:$I$480,'Plan rashoda za unos u SAP'!$C$3:$C$480,"=61",'Plan rashoda za unos u SAP'!$M$3:$M$480,"=426")+SUMIFS('ANALITIKA EU PROJEKATA'!$G$3:$G$499,'ANALITIKA EU PROJEKATA'!$A$3:$A$499,"=61",'ANALITIKA EU PROJEKATA'!$P$3:$P$499,"=426")</f>
        <v>0</v>
      </c>
      <c r="U48" s="147">
        <f>SUMIFS('Plan rashoda za unos u SAP'!$I$3:$I$480,'Plan rashoda za unos u SAP'!$C$3:$C$480,"=63",'Plan rashoda za unos u SAP'!$M$3:$M$480,"=426")+SUMIFS('ANALITIKA EU PROJEKATA'!$G$3:$G$499,'ANALITIKA EU PROJEKATA'!$A$3:$A$499,"=63",'ANALITIKA EU PROJEKATA'!$P$3:$P$499,"=426")</f>
        <v>0</v>
      </c>
      <c r="V48" s="147">
        <f>SUMIFS('Plan rashoda za unos u SAP'!$I$3:$I$480,'Plan rashoda za unos u SAP'!$C$3:$C$480,"=71",'Plan rashoda za unos u SAP'!$M$3:$M$480,"=426")+SUMIFS('ANALITIKA EU PROJEKATA'!$G$3:$G$499,'ANALITIKA EU PROJEKATA'!$A$3:$A$499,"=71",'ANALITIKA EU PROJEKATA'!$P$3:$P$499,"=426")</f>
        <v>0</v>
      </c>
      <c r="W48" s="147">
        <f>SUMIFS('Plan rashoda za unos u SAP'!$I$3:$I$480,'Plan rashoda za unos u SAP'!$C$3:$C$480,"=81",'Plan rashoda za unos u SAP'!$M$3:$M$480,"=426")+SUMIFS('ANALITIKA EU PROJEKATA'!$G$3:$G$499,'ANALITIKA EU PROJEKATA'!$A$3:$A$499,"=81",'ANALITIKA EU PROJEKATA'!$P$3:$P$499,"=426")</f>
        <v>0</v>
      </c>
      <c r="X48" s="129"/>
      <c r="Y48" s="129"/>
      <c r="Z48" s="129"/>
      <c r="AA48" s="129"/>
      <c r="AB48" s="129"/>
      <c r="AC48" s="129"/>
      <c r="AD48" s="129"/>
      <c r="AE48" s="129"/>
      <c r="AF48" s="129"/>
      <c r="AG48" s="129"/>
      <c r="AH48" s="129"/>
      <c r="AI48" s="129"/>
      <c r="AJ48" s="129"/>
      <c r="AK48" s="129"/>
      <c r="AL48" s="129"/>
      <c r="AM48" s="129"/>
      <c r="AN48" s="129"/>
      <c r="AO48" s="129"/>
      <c r="AP48" s="129"/>
      <c r="AQ48" s="129"/>
    </row>
    <row r="49" spans="1:43" ht="12" customHeight="1">
      <c r="A49" s="131">
        <v>2021</v>
      </c>
      <c r="B49" s="140">
        <v>43</v>
      </c>
      <c r="C49" s="141" t="s">
        <v>3469</v>
      </c>
      <c r="D49" s="108">
        <f t="shared" si="0"/>
        <v>0</v>
      </c>
      <c r="E49" s="143">
        <f t="shared" ref="E49:W49" si="13">SUM(E50)</f>
        <v>0</v>
      </c>
      <c r="F49" s="143">
        <f t="shared" si="13"/>
        <v>0</v>
      </c>
      <c r="G49" s="143">
        <f t="shared" si="13"/>
        <v>0</v>
      </c>
      <c r="H49" s="143">
        <f t="shared" si="13"/>
        <v>0</v>
      </c>
      <c r="I49" s="143">
        <f t="shared" si="13"/>
        <v>0</v>
      </c>
      <c r="J49" s="143">
        <f t="shared" si="13"/>
        <v>0</v>
      </c>
      <c r="K49" s="143">
        <f t="shared" si="13"/>
        <v>0</v>
      </c>
      <c r="L49" s="143">
        <f t="shared" si="13"/>
        <v>0</v>
      </c>
      <c r="M49" s="143">
        <f t="shared" si="13"/>
        <v>0</v>
      </c>
      <c r="N49" s="143">
        <f t="shared" si="13"/>
        <v>0</v>
      </c>
      <c r="O49" s="143">
        <f t="shared" si="13"/>
        <v>0</v>
      </c>
      <c r="P49" s="143">
        <f t="shared" si="13"/>
        <v>0</v>
      </c>
      <c r="Q49" s="143">
        <f t="shared" si="13"/>
        <v>0</v>
      </c>
      <c r="R49" s="143">
        <f t="shared" si="13"/>
        <v>0</v>
      </c>
      <c r="S49" s="143">
        <f t="shared" si="13"/>
        <v>0</v>
      </c>
      <c r="T49" s="143">
        <f t="shared" si="13"/>
        <v>0</v>
      </c>
      <c r="U49" s="143">
        <f t="shared" si="13"/>
        <v>0</v>
      </c>
      <c r="V49" s="143">
        <f t="shared" si="13"/>
        <v>0</v>
      </c>
      <c r="W49" s="143">
        <f t="shared" si="13"/>
        <v>0</v>
      </c>
      <c r="X49" s="144"/>
      <c r="Y49" s="144"/>
      <c r="Z49" s="144"/>
      <c r="AA49" s="144"/>
      <c r="AB49" s="144"/>
      <c r="AC49" s="144"/>
      <c r="AD49" s="144"/>
      <c r="AE49" s="144"/>
      <c r="AF49" s="144"/>
      <c r="AG49" s="144"/>
      <c r="AH49" s="144"/>
      <c r="AI49" s="144"/>
      <c r="AJ49" s="144"/>
      <c r="AK49" s="144"/>
      <c r="AL49" s="144"/>
      <c r="AM49" s="144"/>
      <c r="AN49" s="144"/>
      <c r="AO49" s="144"/>
      <c r="AP49" s="144"/>
      <c r="AQ49" s="144"/>
    </row>
    <row r="50" spans="1:43" ht="12" customHeight="1">
      <c r="A50" s="131">
        <v>2021</v>
      </c>
      <c r="B50" s="148">
        <v>431</v>
      </c>
      <c r="C50" s="149" t="s">
        <v>3470</v>
      </c>
      <c r="D50" s="94">
        <f t="shared" si="0"/>
        <v>0</v>
      </c>
      <c r="E50" s="147">
        <f>SUMIFS('Plan rashoda za unos u SAP'!$I$3:$I$480,'Plan rashoda za unos u SAP'!$C$3:$C$480,"=11",'Plan rashoda za unos u SAP'!$M$3:$M$480,"=431")+SUMIFS('ANALITIKA EU PROJEKATA'!$G$3:$G$499,'ANALITIKA EU PROJEKATA'!$A$3:$A$499,"=11",'ANALITIKA EU PROJEKATA'!$P$3:$P$499,"=431")</f>
        <v>0</v>
      </c>
      <c r="F50" s="147">
        <f>SUMIFS('Plan rashoda za unos u SAP'!$I$3:$I$480,'Plan rashoda za unos u SAP'!$C$3:$C$480,"=12",'Plan rashoda za unos u SAP'!$M$3:$M$480,"=431")+SUMIFS('ANALITIKA EU PROJEKATA'!$G$3:$G$499,'ANALITIKA EU PROJEKATA'!$A$3:$A$499,"=12",'ANALITIKA EU PROJEKATA'!$P$3:$P$499,"=431")</f>
        <v>0</v>
      </c>
      <c r="G50" s="147">
        <f>SUMIFS('Plan rashoda za unos u SAP'!$I$3:$I$480,'Plan rashoda za unos u SAP'!$C$3:$C$480,"=31",'Plan rashoda za unos u SAP'!$M$3:$M$480,"=431")+SUMIFS('ANALITIKA EU PROJEKATA'!$G$3:$G$499,'ANALITIKA EU PROJEKATA'!$A$3:$A$499,"=31",'ANALITIKA EU PROJEKATA'!$P$3:$P$499,"=431")</f>
        <v>0</v>
      </c>
      <c r="H50" s="147">
        <f>SUMIFS('Plan rashoda za unos u SAP'!$I$3:$I$480,'Plan rashoda za unos u SAP'!$C$3:$C$480,"=41",'Plan rashoda za unos u SAP'!$M$3:$M$480,"=431")+SUMIFS('ANALITIKA EU PROJEKATA'!$G$3:$G$499,'ANALITIKA EU PROJEKATA'!$A$3:$A$499,"=41",'ANALITIKA EU PROJEKATA'!$P$3:$P$499,"=431")</f>
        <v>0</v>
      </c>
      <c r="I50" s="147">
        <f>SUMIFS('Plan rashoda za unos u SAP'!$I$3:$I$480,'Plan rashoda za unos u SAP'!$C$3:$C$480,"=43",'Plan rashoda za unos u SAP'!$M$3:$M$480,"=431")+SUMIFS('ANALITIKA EU PROJEKATA'!$G$3:$G$499,'ANALITIKA EU PROJEKATA'!$A$3:$A$499,"=43",'ANALITIKA EU PROJEKATA'!$P$3:$P$499,"=431")</f>
        <v>0</v>
      </c>
      <c r="J50" s="147">
        <f>SUMIFS('Plan rashoda za unos u SAP'!$I$3:$I$480,'Plan rashoda za unos u SAP'!$C$3:$C$480,"=51",'Plan rashoda za unos u SAP'!$M$3:$M$480,"=431")+SUMIFS('ANALITIKA EU PROJEKATA'!$G$3:$G$499,'ANALITIKA EU PROJEKATA'!$A$3:$A$499,"=51",'ANALITIKA EU PROJEKATA'!$P$3:$P$499,"=431")</f>
        <v>0</v>
      </c>
      <c r="K50" s="147">
        <f>SUMIFS('Plan rashoda za unos u SAP'!$I$3:$I$480,'Plan rashoda za unos u SAP'!$C$3:$C$480,"=52",'Plan rashoda za unos u SAP'!$M$3:$M$480,"=431")+SUMIFS('ANALITIKA EU PROJEKATA'!$G$3:$G$499,'ANALITIKA EU PROJEKATA'!$A$3:$A$499,"=52",'ANALITIKA EU PROJEKATA'!$P$3:$P$499,"=431")</f>
        <v>0</v>
      </c>
      <c r="L50" s="147">
        <f>SUMIFS('Plan rashoda za unos u SAP'!$I$3:$I$480,'Plan rashoda za unos u SAP'!$C$3:$C$480,"=552",'Plan rashoda za unos u SAP'!$M$3:$M$480,"=431")+SUMIFS('ANALITIKA EU PROJEKATA'!$G$3:$G$499,'ANALITIKA EU PROJEKATA'!$A$3:$A$499,"=552",'ANALITIKA EU PROJEKATA'!$P$3:$P$499,"=431")</f>
        <v>0</v>
      </c>
      <c r="M50" s="147">
        <f>SUMIFS('Plan rashoda za unos u SAP'!$I$3:$I$480,'Plan rashoda za unos u SAP'!$C$3:$C$480,"=559",'Plan rashoda za unos u SAP'!$M$3:$M$480,"=431")+SUMIFS('ANALITIKA EU PROJEKATA'!$G$3:$G$499,'ANALITIKA EU PROJEKATA'!$A$3:$A$499,"=559",'ANALITIKA EU PROJEKATA'!$P$3:$P$499,"=431")</f>
        <v>0</v>
      </c>
      <c r="N50" s="147">
        <f>SUMIFS('Plan rashoda za unos u SAP'!$I$3:$I$480,'Plan rashoda za unos u SAP'!$C$3:$C$480,"=561",'Plan rashoda za unos u SAP'!$M$3:$M$480,"=431")+SUMIFS('ANALITIKA EU PROJEKATA'!$G$3:$G$499,'ANALITIKA EU PROJEKATA'!$A$3:$A$499,"=561",'ANALITIKA EU PROJEKATA'!$P$3:$P$499,"=431")</f>
        <v>0</v>
      </c>
      <c r="O50" s="147">
        <f>SUMIFS('Plan rashoda za unos u SAP'!$I$3:$I$480,'Plan rashoda za unos u SAP'!$C$3:$C$480,"=563",'Plan rashoda za unos u SAP'!$M$3:$M$480,"=431")+SUMIFS('ANALITIKA EU PROJEKATA'!$G$3:$G$499,'ANALITIKA EU PROJEKATA'!$A$3:$A$499,"=563",'ANALITIKA EU PROJEKATA'!$P$3:$P$499,"=431")</f>
        <v>0</v>
      </c>
      <c r="P50" s="147">
        <f>SUMIFS('Plan rashoda za unos u SAP'!$I$3:$I$480,'Plan rashoda za unos u SAP'!$C$3:$C$480,"=573",'Plan rashoda za unos u SAP'!$M$3:$M$480,"=431")+SUMIFS('ANALITIKA EU PROJEKATA'!$G$3:$G$499,'ANALITIKA EU PROJEKATA'!$A$3:$A$499,"=573",'ANALITIKA EU PROJEKATA'!$P$3:$P$499,"=431")</f>
        <v>0</v>
      </c>
      <c r="Q50" s="147">
        <f>SUMIFS('Plan rashoda za unos u SAP'!$I$3:$I$480,'Plan rashoda za unos u SAP'!$C$3:$C$480,"=575",'Plan rashoda za unos u SAP'!$M$3:$M$480,"=431")+SUMIFS('ANALITIKA EU PROJEKATA'!$G$3:$G$499,'ANALITIKA EU PROJEKATA'!$A$3:$A$499,"=575",'ANALITIKA EU PROJEKATA'!$P$3:$P$499,"=431")</f>
        <v>0</v>
      </c>
      <c r="R50" s="147">
        <f>SUMIFS('Plan rashoda za unos u SAP'!$I$3:$I$480,'Plan rashoda za unos u SAP'!$C$3:$C$480,"=576",'Plan rashoda za unos u SAP'!$M$3:$M$480,"=431")+SUMIFS('ANALITIKA EU PROJEKATA'!$G$3:$G$499,'ANALITIKA EU PROJEKATA'!$A$3:$A$499,"=576",'ANALITIKA EU PROJEKATA'!$P$3:$P$499,"=431")</f>
        <v>0</v>
      </c>
      <c r="S50" s="147">
        <f>SUMIFS('Plan rashoda za unos u SAP'!$I$3:$I$480,'Plan rashoda za unos u SAP'!$C$3:$C$480,"=581",'Plan rashoda za unos u SAP'!$M$3:$M$480,"=431")+SUMIFS('ANALITIKA EU PROJEKATA'!$G$3:$G$499,'ANALITIKA EU PROJEKATA'!$A$3:$A$499,"=581",'ANALITIKA EU PROJEKATA'!$P$3:$P$499,"=431")</f>
        <v>0</v>
      </c>
      <c r="T50" s="147">
        <f>SUMIFS('Plan rashoda za unos u SAP'!$I$3:$I$480,'Plan rashoda za unos u SAP'!$C$3:$C$480,"=61",'Plan rashoda za unos u SAP'!$M$3:$M$480,"=431")+SUMIFS('ANALITIKA EU PROJEKATA'!$G$3:$G$499,'ANALITIKA EU PROJEKATA'!$A$3:$A$499,"=61",'ANALITIKA EU PROJEKATA'!$P$3:$P$499,"=431")</f>
        <v>0</v>
      </c>
      <c r="U50" s="147">
        <f>SUMIFS('Plan rashoda za unos u SAP'!$I$3:$I$480,'Plan rashoda za unos u SAP'!$C$3:$C$480,"=63",'Plan rashoda za unos u SAP'!$M$3:$M$480,"=431")+SUMIFS('ANALITIKA EU PROJEKATA'!$G$3:$G$499,'ANALITIKA EU PROJEKATA'!$A$3:$A$499,"=63",'ANALITIKA EU PROJEKATA'!$P$3:$P$499,"=431")</f>
        <v>0</v>
      </c>
      <c r="V50" s="147">
        <f>SUMIFS('Plan rashoda za unos u SAP'!$I$3:$I$480,'Plan rashoda za unos u SAP'!$C$3:$C$480,"=71",'Plan rashoda za unos u SAP'!$M$3:$M$480,"=431")+SUMIFS('ANALITIKA EU PROJEKATA'!$G$3:$G$499,'ANALITIKA EU PROJEKATA'!$A$3:$A$499,"=71",'ANALITIKA EU PROJEKATA'!$P$3:$P$499,"=431")</f>
        <v>0</v>
      </c>
      <c r="W50" s="147">
        <f>SUMIFS('Plan rashoda za unos u SAP'!$I$3:$I$480,'Plan rashoda za unos u SAP'!$C$3:$C$480,"=81",'Plan rashoda za unos u SAP'!$M$3:$M$480,"=431")+SUMIFS('ANALITIKA EU PROJEKATA'!$G$3:$G$499,'ANALITIKA EU PROJEKATA'!$A$3:$A$499,"=81",'ANALITIKA EU PROJEKATA'!$P$3:$P$499,"=431")</f>
        <v>0</v>
      </c>
      <c r="X50" s="129"/>
      <c r="Y50" s="129"/>
      <c r="Z50" s="129"/>
      <c r="AA50" s="129"/>
      <c r="AB50" s="129"/>
      <c r="AC50" s="129"/>
      <c r="AD50" s="129"/>
      <c r="AE50" s="129"/>
      <c r="AF50" s="129"/>
      <c r="AG50" s="129"/>
      <c r="AH50" s="129"/>
      <c r="AI50" s="129"/>
      <c r="AJ50" s="129"/>
      <c r="AK50" s="129"/>
      <c r="AL50" s="129"/>
      <c r="AM50" s="129"/>
      <c r="AN50" s="129"/>
      <c r="AO50" s="129"/>
      <c r="AP50" s="129"/>
      <c r="AQ50" s="129"/>
    </row>
    <row r="51" spans="1:43" ht="12" customHeight="1">
      <c r="A51" s="131">
        <v>2021</v>
      </c>
      <c r="B51" s="140">
        <v>44</v>
      </c>
      <c r="C51" s="141" t="s">
        <v>3470</v>
      </c>
      <c r="D51" s="108">
        <f t="shared" si="0"/>
        <v>0</v>
      </c>
      <c r="E51" s="143">
        <f t="shared" ref="E51:W51" si="14">SUM(E52)</f>
        <v>0</v>
      </c>
      <c r="F51" s="143">
        <f t="shared" si="14"/>
        <v>0</v>
      </c>
      <c r="G51" s="143">
        <f t="shared" si="14"/>
        <v>0</v>
      </c>
      <c r="H51" s="143">
        <f t="shared" si="14"/>
        <v>0</v>
      </c>
      <c r="I51" s="143">
        <f t="shared" si="14"/>
        <v>0</v>
      </c>
      <c r="J51" s="143">
        <f t="shared" si="14"/>
        <v>0</v>
      </c>
      <c r="K51" s="143">
        <f t="shared" si="14"/>
        <v>0</v>
      </c>
      <c r="L51" s="143">
        <f t="shared" si="14"/>
        <v>0</v>
      </c>
      <c r="M51" s="143">
        <f t="shared" si="14"/>
        <v>0</v>
      </c>
      <c r="N51" s="143">
        <f t="shared" si="14"/>
        <v>0</v>
      </c>
      <c r="O51" s="143">
        <f t="shared" si="14"/>
        <v>0</v>
      </c>
      <c r="P51" s="143">
        <f t="shared" si="14"/>
        <v>0</v>
      </c>
      <c r="Q51" s="143">
        <f t="shared" si="14"/>
        <v>0</v>
      </c>
      <c r="R51" s="143">
        <f t="shared" si="14"/>
        <v>0</v>
      </c>
      <c r="S51" s="143">
        <f t="shared" si="14"/>
        <v>0</v>
      </c>
      <c r="T51" s="143">
        <f t="shared" si="14"/>
        <v>0</v>
      </c>
      <c r="U51" s="143">
        <f t="shared" si="14"/>
        <v>0</v>
      </c>
      <c r="V51" s="143">
        <f t="shared" si="14"/>
        <v>0</v>
      </c>
      <c r="W51" s="143">
        <f t="shared" si="14"/>
        <v>0</v>
      </c>
      <c r="X51" s="144"/>
      <c r="Y51" s="144"/>
      <c r="Z51" s="144"/>
      <c r="AA51" s="144"/>
      <c r="AB51" s="144"/>
      <c r="AC51" s="144"/>
      <c r="AD51" s="144"/>
      <c r="AE51" s="144"/>
      <c r="AF51" s="144"/>
      <c r="AG51" s="144"/>
      <c r="AH51" s="144"/>
      <c r="AI51" s="144"/>
      <c r="AJ51" s="144"/>
      <c r="AK51" s="144"/>
      <c r="AL51" s="144"/>
      <c r="AM51" s="144"/>
      <c r="AN51" s="144"/>
      <c r="AO51" s="144"/>
      <c r="AP51" s="144"/>
      <c r="AQ51" s="144"/>
    </row>
    <row r="52" spans="1:43" ht="12" customHeight="1">
      <c r="A52" s="131">
        <v>2021</v>
      </c>
      <c r="B52" s="148">
        <v>441</v>
      </c>
      <c r="C52" s="153" t="s">
        <v>3471</v>
      </c>
      <c r="D52" s="94">
        <f t="shared" si="0"/>
        <v>0</v>
      </c>
      <c r="E52" s="147">
        <f>SUMIFS('Plan rashoda za unos u SAP'!$I$3:$I$480,'Plan rashoda za unos u SAP'!$C$3:$C$480,"=11",'Plan rashoda za unos u SAP'!$M$3:$M$480,"=441")+SUMIFS('ANALITIKA EU PROJEKATA'!$G$3:$G$499,'ANALITIKA EU PROJEKATA'!$A$3:$A$499,"=11",'ANALITIKA EU PROJEKATA'!$P$3:$P$499,"=441")</f>
        <v>0</v>
      </c>
      <c r="F52" s="147">
        <f>SUMIFS('Plan rashoda za unos u SAP'!$I$3:$I$480,'Plan rashoda za unos u SAP'!$C$3:$C$480,"=12",'Plan rashoda za unos u SAP'!$M$3:$M$480,"=441")+SUMIFS('ANALITIKA EU PROJEKATA'!$G$3:$G$499,'ANALITIKA EU PROJEKATA'!$A$3:$A$499,"=12",'ANALITIKA EU PROJEKATA'!$P$3:$P$499,"=441")</f>
        <v>0</v>
      </c>
      <c r="G52" s="147">
        <f>SUMIFS('Plan rashoda za unos u SAP'!$I$3:$I$480,'Plan rashoda za unos u SAP'!$C$3:$C$480,"=31",'Plan rashoda za unos u SAP'!$M$3:$M$480,"=441")+SUMIFS('ANALITIKA EU PROJEKATA'!$G$3:$G$499,'ANALITIKA EU PROJEKATA'!$A$3:$A$499,"=31",'ANALITIKA EU PROJEKATA'!$P$3:$P$499,"=441")</f>
        <v>0</v>
      </c>
      <c r="H52" s="147">
        <f>SUMIFS('Plan rashoda za unos u SAP'!$I$3:$I$480,'Plan rashoda za unos u SAP'!$C$3:$C$480,"=41",'Plan rashoda za unos u SAP'!$M$3:$M$480,"=441")+SUMIFS('ANALITIKA EU PROJEKATA'!$G$3:$G$499,'ANALITIKA EU PROJEKATA'!$A$3:$A$499,"=41",'ANALITIKA EU PROJEKATA'!$P$3:$P$499,"=441")</f>
        <v>0</v>
      </c>
      <c r="I52" s="147">
        <f>SUMIFS('Plan rashoda za unos u SAP'!$I$3:$I$480,'Plan rashoda za unos u SAP'!$C$3:$C$480,"=43",'Plan rashoda za unos u SAP'!$M$3:$M$480,"=441")+SUMIFS('ANALITIKA EU PROJEKATA'!$G$3:$G$499,'ANALITIKA EU PROJEKATA'!$A$3:$A$499,"=43",'ANALITIKA EU PROJEKATA'!$P$3:$P$499,"=441")</f>
        <v>0</v>
      </c>
      <c r="J52" s="147">
        <f>SUMIFS('Plan rashoda za unos u SAP'!$I$3:$I$480,'Plan rashoda za unos u SAP'!$C$3:$C$480,"=51",'Plan rashoda za unos u SAP'!$M$3:$M$480,"=441")+SUMIFS('ANALITIKA EU PROJEKATA'!$G$3:$G$499,'ANALITIKA EU PROJEKATA'!$A$3:$A$499,"=51",'ANALITIKA EU PROJEKATA'!$P$3:$P$499,"=441")</f>
        <v>0</v>
      </c>
      <c r="K52" s="147">
        <f>SUMIFS('Plan rashoda za unos u SAP'!$I$3:$I$480,'Plan rashoda za unos u SAP'!$C$3:$C$480,"=52",'Plan rashoda za unos u SAP'!$M$3:$M$480,"=441")+SUMIFS('ANALITIKA EU PROJEKATA'!$G$3:$G$499,'ANALITIKA EU PROJEKATA'!$A$3:$A$499,"=52",'ANALITIKA EU PROJEKATA'!$P$3:$P$499,"=441")</f>
        <v>0</v>
      </c>
      <c r="L52" s="147">
        <f>SUMIFS('Plan rashoda za unos u SAP'!$I$3:$I$480,'Plan rashoda za unos u SAP'!$C$3:$C$480,"=552",'Plan rashoda za unos u SAP'!$M$3:$M$480,"=441")+SUMIFS('ANALITIKA EU PROJEKATA'!$G$3:$G$499,'ANALITIKA EU PROJEKATA'!$A$3:$A$499,"=552",'ANALITIKA EU PROJEKATA'!$P$3:$P$499,"=441")</f>
        <v>0</v>
      </c>
      <c r="M52" s="147">
        <f>SUMIFS('Plan rashoda za unos u SAP'!$I$3:$I$480,'Plan rashoda za unos u SAP'!$C$3:$C$480,"=559",'Plan rashoda za unos u SAP'!$M$3:$M$480,"=441")+SUMIFS('ANALITIKA EU PROJEKATA'!$G$3:$G$499,'ANALITIKA EU PROJEKATA'!$A$3:$A$499,"=559",'ANALITIKA EU PROJEKATA'!$P$3:$P$499,"=441")</f>
        <v>0</v>
      </c>
      <c r="N52" s="147">
        <f>SUMIFS('Plan rashoda za unos u SAP'!$I$3:$I$480,'Plan rashoda za unos u SAP'!$C$3:$C$480,"=561",'Plan rashoda za unos u SAP'!$M$3:$M$480,"=441")+SUMIFS('ANALITIKA EU PROJEKATA'!$G$3:$G$499,'ANALITIKA EU PROJEKATA'!$A$3:$A$499,"=561",'ANALITIKA EU PROJEKATA'!$P$3:$P$499,"=441")</f>
        <v>0</v>
      </c>
      <c r="O52" s="147">
        <f>SUMIFS('Plan rashoda za unos u SAP'!$I$3:$I$480,'Plan rashoda za unos u SAP'!$C$3:$C$480,"=563",'Plan rashoda za unos u SAP'!$M$3:$M$480,"=441")+SUMIFS('ANALITIKA EU PROJEKATA'!$G$3:$G$499,'ANALITIKA EU PROJEKATA'!$A$3:$A$499,"=563",'ANALITIKA EU PROJEKATA'!$P$3:$P$499,"=441")</f>
        <v>0</v>
      </c>
      <c r="P52" s="147">
        <f>SUMIFS('Plan rashoda za unos u SAP'!$I$3:$I$480,'Plan rashoda za unos u SAP'!$C$3:$C$480,"=573",'Plan rashoda za unos u SAP'!$M$3:$M$480,"=441")+SUMIFS('ANALITIKA EU PROJEKATA'!$G$3:$G$499,'ANALITIKA EU PROJEKATA'!$A$3:$A$499,"=573",'ANALITIKA EU PROJEKATA'!$P$3:$P$499,"=441")</f>
        <v>0</v>
      </c>
      <c r="Q52" s="147">
        <f>SUMIFS('Plan rashoda za unos u SAP'!$I$3:$I$480,'Plan rashoda za unos u SAP'!$C$3:$C$480,"=575",'Plan rashoda za unos u SAP'!$M$3:$M$480,"=441")+SUMIFS('ANALITIKA EU PROJEKATA'!$G$3:$G$499,'ANALITIKA EU PROJEKATA'!$A$3:$A$499,"=575",'ANALITIKA EU PROJEKATA'!$P$3:$P$499,"=441")</f>
        <v>0</v>
      </c>
      <c r="R52" s="147">
        <f>SUMIFS('Plan rashoda za unos u SAP'!$I$3:$I$480,'Plan rashoda za unos u SAP'!$C$3:$C$480,"=576",'Plan rashoda za unos u SAP'!$M$3:$M$480,"=441")+SUMIFS('ANALITIKA EU PROJEKATA'!$G$3:$G$499,'ANALITIKA EU PROJEKATA'!$A$3:$A$499,"=576",'ANALITIKA EU PROJEKATA'!$P$3:$P$499,"=441")</f>
        <v>0</v>
      </c>
      <c r="S52" s="147">
        <f>SUMIFS('Plan rashoda za unos u SAP'!$I$3:$I$480,'Plan rashoda za unos u SAP'!$C$3:$C$480,"=581",'Plan rashoda za unos u SAP'!$M$3:$M$480,"=441")+SUMIFS('ANALITIKA EU PROJEKATA'!$G$3:$G$499,'ANALITIKA EU PROJEKATA'!$A$3:$A$499,"=581",'ANALITIKA EU PROJEKATA'!$P$3:$P$499,"=441")</f>
        <v>0</v>
      </c>
      <c r="T52" s="147">
        <f>SUMIFS('Plan rashoda za unos u SAP'!$I$3:$I$480,'Plan rashoda za unos u SAP'!$C$3:$C$480,"=61",'Plan rashoda za unos u SAP'!$M$3:$M$480,"=441")+SUMIFS('ANALITIKA EU PROJEKATA'!$G$3:$G$499,'ANALITIKA EU PROJEKATA'!$A$3:$A$499,"=61",'ANALITIKA EU PROJEKATA'!$P$3:$P$499,"=441")</f>
        <v>0</v>
      </c>
      <c r="U52" s="147">
        <f>SUMIFS('Plan rashoda za unos u SAP'!$I$3:$I$480,'Plan rashoda za unos u SAP'!$C$3:$C$480,"=63",'Plan rashoda za unos u SAP'!$M$3:$M$480,"=441")+SUMIFS('ANALITIKA EU PROJEKATA'!$G$3:$G$499,'ANALITIKA EU PROJEKATA'!$A$3:$A$499,"=63",'ANALITIKA EU PROJEKATA'!$P$3:$P$499,"=441")</f>
        <v>0</v>
      </c>
      <c r="V52" s="147">
        <f>SUMIFS('Plan rashoda za unos u SAP'!$I$3:$I$480,'Plan rashoda za unos u SAP'!$C$3:$C$480,"=71",'Plan rashoda za unos u SAP'!$M$3:$M$480,"=441")+SUMIFS('ANALITIKA EU PROJEKATA'!$G$3:$G$499,'ANALITIKA EU PROJEKATA'!$A$3:$A$499,"=71",'ANALITIKA EU PROJEKATA'!$P$3:$P$499,"=441")</f>
        <v>0</v>
      </c>
      <c r="W52" s="147">
        <f>SUMIFS('Plan rashoda za unos u SAP'!$I$3:$I$480,'Plan rashoda za unos u SAP'!$C$3:$C$480,"=81",'Plan rashoda za unos u SAP'!$M$3:$M$480,"=441")+SUMIFS('ANALITIKA EU PROJEKATA'!$G$3:$G$499,'ANALITIKA EU PROJEKATA'!$A$3:$A$499,"=81",'ANALITIKA EU PROJEKATA'!$P$3:$P$499,"=441")</f>
        <v>0</v>
      </c>
      <c r="X52" s="129"/>
      <c r="Y52" s="129"/>
      <c r="Z52" s="129"/>
      <c r="AA52" s="129"/>
      <c r="AB52" s="129"/>
      <c r="AC52" s="129"/>
      <c r="AD52" s="129"/>
      <c r="AE52" s="129"/>
      <c r="AF52" s="129"/>
      <c r="AG52" s="129"/>
      <c r="AH52" s="129"/>
      <c r="AI52" s="129"/>
      <c r="AJ52" s="129"/>
      <c r="AK52" s="129"/>
      <c r="AL52" s="129"/>
      <c r="AM52" s="129"/>
      <c r="AN52" s="129"/>
      <c r="AO52" s="129"/>
      <c r="AP52" s="129"/>
      <c r="AQ52" s="129"/>
    </row>
    <row r="53" spans="1:43" ht="12" customHeight="1">
      <c r="A53" s="131">
        <v>2021</v>
      </c>
      <c r="B53" s="150">
        <v>45</v>
      </c>
      <c r="C53" s="151" t="s">
        <v>3472</v>
      </c>
      <c r="D53" s="108">
        <f t="shared" si="0"/>
        <v>8467253</v>
      </c>
      <c r="E53" s="108">
        <f t="shared" ref="E53:W53" si="15">SUM(E54:E57)</f>
        <v>0</v>
      </c>
      <c r="F53" s="108">
        <f t="shared" si="15"/>
        <v>0</v>
      </c>
      <c r="G53" s="108">
        <f t="shared" si="15"/>
        <v>100000</v>
      </c>
      <c r="H53" s="108">
        <f t="shared" si="15"/>
        <v>0</v>
      </c>
      <c r="I53" s="108">
        <f t="shared" si="15"/>
        <v>0</v>
      </c>
      <c r="J53" s="108">
        <f t="shared" si="15"/>
        <v>0</v>
      </c>
      <c r="K53" s="108">
        <f t="shared" si="15"/>
        <v>0</v>
      </c>
      <c r="L53" s="108">
        <f t="shared" si="15"/>
        <v>0</v>
      </c>
      <c r="M53" s="108">
        <f t="shared" si="15"/>
        <v>0</v>
      </c>
      <c r="N53" s="108">
        <f t="shared" si="15"/>
        <v>0</v>
      </c>
      <c r="O53" s="108">
        <f t="shared" si="15"/>
        <v>0</v>
      </c>
      <c r="P53" s="108">
        <f t="shared" si="15"/>
        <v>0</v>
      </c>
      <c r="Q53" s="108">
        <f t="shared" si="15"/>
        <v>0</v>
      </c>
      <c r="R53" s="108">
        <f t="shared" si="15"/>
        <v>8367253</v>
      </c>
      <c r="S53" s="108">
        <f t="shared" si="15"/>
        <v>0</v>
      </c>
      <c r="T53" s="108">
        <f t="shared" si="15"/>
        <v>0</v>
      </c>
      <c r="U53" s="108">
        <f t="shared" si="15"/>
        <v>0</v>
      </c>
      <c r="V53" s="108">
        <f t="shared" si="15"/>
        <v>0</v>
      </c>
      <c r="W53" s="108">
        <f t="shared" si="15"/>
        <v>0</v>
      </c>
      <c r="X53" s="152"/>
      <c r="Y53" s="152"/>
      <c r="Z53" s="152"/>
      <c r="AA53" s="152"/>
      <c r="AB53" s="152"/>
      <c r="AC53" s="152"/>
      <c r="AD53" s="152"/>
      <c r="AE53" s="152"/>
      <c r="AF53" s="152"/>
      <c r="AG53" s="152"/>
      <c r="AH53" s="152"/>
      <c r="AI53" s="152"/>
      <c r="AJ53" s="152"/>
      <c r="AK53" s="152"/>
      <c r="AL53" s="152"/>
      <c r="AM53" s="152"/>
      <c r="AN53" s="152"/>
      <c r="AO53" s="152"/>
      <c r="AP53" s="152"/>
      <c r="AQ53" s="152"/>
    </row>
    <row r="54" spans="1:43" ht="12" customHeight="1">
      <c r="A54" s="131">
        <v>2021</v>
      </c>
      <c r="B54" s="148">
        <v>451</v>
      </c>
      <c r="C54" s="149" t="s">
        <v>930</v>
      </c>
      <c r="D54" s="94">
        <f t="shared" si="0"/>
        <v>0</v>
      </c>
      <c r="E54" s="147">
        <f>SUMIFS('Plan rashoda za unos u SAP'!$I$3:$I$480,'Plan rashoda za unos u SAP'!$C$3:$C$480,"=11",'Plan rashoda za unos u SAP'!$M$3:$M$480,"=451")+SUMIFS('ANALITIKA EU PROJEKATA'!$G$3:$G$499,'ANALITIKA EU PROJEKATA'!$A$3:$A$499,"=11",'ANALITIKA EU PROJEKATA'!$P$3:$P$499,"=451")</f>
        <v>0</v>
      </c>
      <c r="F54" s="147">
        <f>SUMIFS('Plan rashoda za unos u SAP'!$I$3:$I$480,'Plan rashoda za unos u SAP'!$C$3:$C$480,"=12",'Plan rashoda za unos u SAP'!$M$3:$M$480,"=451")+SUMIFS('ANALITIKA EU PROJEKATA'!$G$3:$G$499,'ANALITIKA EU PROJEKATA'!$A$3:$A$499,"=12",'ANALITIKA EU PROJEKATA'!$P$3:$P$499,"=451")</f>
        <v>0</v>
      </c>
      <c r="G54" s="147">
        <f>SUMIFS('Plan rashoda za unos u SAP'!$I$3:$I$480,'Plan rashoda za unos u SAP'!$C$3:$C$480,"=31",'Plan rashoda za unos u SAP'!$M$3:$M$480,"=451")+SUMIFS('ANALITIKA EU PROJEKATA'!$G$3:$G$499,'ANALITIKA EU PROJEKATA'!$A$3:$A$499,"=31",'ANALITIKA EU PROJEKATA'!$P$3:$P$499,"=451")</f>
        <v>0</v>
      </c>
      <c r="H54" s="147">
        <f>SUMIFS('Plan rashoda za unos u SAP'!$I$3:$I$480,'Plan rashoda za unos u SAP'!$C$3:$C$480,"=41",'Plan rashoda za unos u SAP'!$M$3:$M$480,"=451")+SUMIFS('ANALITIKA EU PROJEKATA'!$G$3:$G$499,'ANALITIKA EU PROJEKATA'!$A$3:$A$499,"=41",'ANALITIKA EU PROJEKATA'!$P$3:$P$499,"=451")</f>
        <v>0</v>
      </c>
      <c r="I54" s="147">
        <f>SUMIFS('Plan rashoda za unos u SAP'!$I$3:$I$480,'Plan rashoda za unos u SAP'!$C$3:$C$480,"=43",'Plan rashoda za unos u SAP'!$M$3:$M$480,"=451")+SUMIFS('ANALITIKA EU PROJEKATA'!$G$3:$G$499,'ANALITIKA EU PROJEKATA'!$A$3:$A$499,"=43",'ANALITIKA EU PROJEKATA'!$P$3:$P$499,"=451")</f>
        <v>0</v>
      </c>
      <c r="J54" s="147">
        <f>SUMIFS('Plan rashoda za unos u SAP'!$I$3:$I$480,'Plan rashoda za unos u SAP'!$C$3:$C$480,"=51",'Plan rashoda za unos u SAP'!$M$3:$M$480,"=451")+SUMIFS('ANALITIKA EU PROJEKATA'!$G$3:$G$499,'ANALITIKA EU PROJEKATA'!$A$3:$A$499,"=51",'ANALITIKA EU PROJEKATA'!$P$3:$P$499,"=451")</f>
        <v>0</v>
      </c>
      <c r="K54" s="147">
        <f>SUMIFS('Plan rashoda za unos u SAP'!$I$3:$I$480,'Plan rashoda za unos u SAP'!$C$3:$C$480,"=52",'Plan rashoda za unos u SAP'!$M$3:$M$480,"=451")+SUMIFS('ANALITIKA EU PROJEKATA'!$G$3:$G$499,'ANALITIKA EU PROJEKATA'!$A$3:$A$499,"=52",'ANALITIKA EU PROJEKATA'!$P$3:$P$499,"=451")</f>
        <v>0</v>
      </c>
      <c r="L54" s="147">
        <f>SUMIFS('Plan rashoda za unos u SAP'!$I$3:$I$480,'Plan rashoda za unos u SAP'!$C$3:$C$480,"=552",'Plan rashoda za unos u SAP'!$M$3:$M$480,"=451")+SUMIFS('ANALITIKA EU PROJEKATA'!$G$3:$G$499,'ANALITIKA EU PROJEKATA'!$A$3:$A$499,"=552",'ANALITIKA EU PROJEKATA'!$P$3:$P$499,"=451")</f>
        <v>0</v>
      </c>
      <c r="M54" s="147">
        <f>SUMIFS('Plan rashoda za unos u SAP'!$I$3:$I$480,'Plan rashoda za unos u SAP'!$C$3:$C$480,"=559",'Plan rashoda za unos u SAP'!$M$3:$M$480,"=451")+SUMIFS('ANALITIKA EU PROJEKATA'!$G$3:$G$499,'ANALITIKA EU PROJEKATA'!$A$3:$A$499,"=559",'ANALITIKA EU PROJEKATA'!$P$3:$P$499,"=451")</f>
        <v>0</v>
      </c>
      <c r="N54" s="147">
        <f>SUMIFS('Plan rashoda za unos u SAP'!$I$3:$I$480,'Plan rashoda za unos u SAP'!$C$3:$C$480,"=561",'Plan rashoda za unos u SAP'!$M$3:$M$480,"=451")+SUMIFS('ANALITIKA EU PROJEKATA'!$G$3:$G$499,'ANALITIKA EU PROJEKATA'!$A$3:$A$499,"=561",'ANALITIKA EU PROJEKATA'!$P$3:$P$499,"=451")</f>
        <v>0</v>
      </c>
      <c r="O54" s="147">
        <f>SUMIFS('Plan rashoda za unos u SAP'!$I$3:$I$480,'Plan rashoda za unos u SAP'!$C$3:$C$480,"=563",'Plan rashoda za unos u SAP'!$M$3:$M$480,"=451")+SUMIFS('ANALITIKA EU PROJEKATA'!$G$3:$G$499,'ANALITIKA EU PROJEKATA'!$A$3:$A$499,"=563",'ANALITIKA EU PROJEKATA'!$P$3:$P$499,"=451")</f>
        <v>0</v>
      </c>
      <c r="P54" s="147">
        <f>SUMIFS('Plan rashoda za unos u SAP'!$I$3:$I$480,'Plan rashoda za unos u SAP'!$C$3:$C$480,"=573",'Plan rashoda za unos u SAP'!$M$3:$M$480,"=451")+SUMIFS('ANALITIKA EU PROJEKATA'!$G$3:$G$499,'ANALITIKA EU PROJEKATA'!$A$3:$A$499,"=573",'ANALITIKA EU PROJEKATA'!$P$3:$P$499,"=451")</f>
        <v>0</v>
      </c>
      <c r="Q54" s="147">
        <f>SUMIFS('Plan rashoda za unos u SAP'!$I$3:$I$480,'Plan rashoda za unos u SAP'!$C$3:$C$480,"=575",'Plan rashoda za unos u SAP'!$M$3:$M$480,"=451")+SUMIFS('ANALITIKA EU PROJEKATA'!$G$3:$G$499,'ANALITIKA EU PROJEKATA'!$A$3:$A$499,"=575",'ANALITIKA EU PROJEKATA'!$P$3:$P$499,"=451")</f>
        <v>0</v>
      </c>
      <c r="R54" s="147">
        <f>SUMIFS('Plan rashoda za unos u SAP'!$I$3:$I$480,'Plan rashoda za unos u SAP'!$C$3:$C$480,"=576",'Plan rashoda za unos u SAP'!$M$3:$M$480,"=451")+SUMIFS('ANALITIKA EU PROJEKATA'!$G$3:$G$499,'ANALITIKA EU PROJEKATA'!$A$3:$A$499,"=576",'ANALITIKA EU PROJEKATA'!$P$3:$P$499,"=451")</f>
        <v>0</v>
      </c>
      <c r="S54" s="147">
        <f>SUMIFS('Plan rashoda za unos u SAP'!$I$3:$I$480,'Plan rashoda za unos u SAP'!$C$3:$C$480,"=581",'Plan rashoda za unos u SAP'!$M$3:$M$480,"=451")+SUMIFS('ANALITIKA EU PROJEKATA'!$G$3:$G$499,'ANALITIKA EU PROJEKATA'!$A$3:$A$499,"=581",'ANALITIKA EU PROJEKATA'!$P$3:$P$499,"=451")</f>
        <v>0</v>
      </c>
      <c r="T54" s="147">
        <f>SUMIFS('Plan rashoda za unos u SAP'!$I$3:$I$480,'Plan rashoda za unos u SAP'!$C$3:$C$480,"=61",'Plan rashoda za unos u SAP'!$M$3:$M$480,"=451")+SUMIFS('ANALITIKA EU PROJEKATA'!$G$3:$G$499,'ANALITIKA EU PROJEKATA'!$A$3:$A$499,"=61",'ANALITIKA EU PROJEKATA'!$P$3:$P$499,"=451")</f>
        <v>0</v>
      </c>
      <c r="U54" s="147">
        <f>SUMIFS('Plan rashoda za unos u SAP'!$I$3:$I$480,'Plan rashoda za unos u SAP'!$C$3:$C$480,"=63",'Plan rashoda za unos u SAP'!$M$3:$M$480,"=451")+SUMIFS('ANALITIKA EU PROJEKATA'!$G$3:$G$499,'ANALITIKA EU PROJEKATA'!$A$3:$A$499,"=63",'ANALITIKA EU PROJEKATA'!$P$3:$P$499,"=451")</f>
        <v>0</v>
      </c>
      <c r="V54" s="147">
        <f>SUMIFS('Plan rashoda za unos u SAP'!$I$3:$I$480,'Plan rashoda za unos u SAP'!$C$3:$C$480,"=71",'Plan rashoda za unos u SAP'!$M$3:$M$480,"=451")+SUMIFS('ANALITIKA EU PROJEKATA'!$G$3:$G$499,'ANALITIKA EU PROJEKATA'!$A$3:$A$499,"=71",'ANALITIKA EU PROJEKATA'!$P$3:$P$499,"=451")</f>
        <v>0</v>
      </c>
      <c r="W54" s="147">
        <f>SUMIFS('Plan rashoda za unos u SAP'!$I$3:$I$480,'Plan rashoda za unos u SAP'!$C$3:$C$480,"=81",'Plan rashoda za unos u SAP'!$M$3:$M$480,"=451")+SUMIFS('ANALITIKA EU PROJEKATA'!$G$3:$G$499,'ANALITIKA EU PROJEKATA'!$A$3:$A$499,"=81",'ANALITIKA EU PROJEKATA'!$P$3:$P$499,"=451")</f>
        <v>0</v>
      </c>
      <c r="X54" s="129"/>
      <c r="Y54" s="129"/>
      <c r="Z54" s="129"/>
      <c r="AA54" s="129"/>
      <c r="AB54" s="129"/>
      <c r="AC54" s="129"/>
      <c r="AD54" s="129"/>
      <c r="AE54" s="129"/>
      <c r="AF54" s="129"/>
      <c r="AG54" s="129"/>
      <c r="AH54" s="129"/>
      <c r="AI54" s="129"/>
      <c r="AJ54" s="129"/>
      <c r="AK54" s="129"/>
      <c r="AL54" s="129"/>
      <c r="AM54" s="129"/>
      <c r="AN54" s="129"/>
      <c r="AO54" s="129"/>
      <c r="AP54" s="129"/>
      <c r="AQ54" s="129"/>
    </row>
    <row r="55" spans="1:43" ht="12" customHeight="1">
      <c r="A55" s="131">
        <v>2021</v>
      </c>
      <c r="B55" s="148">
        <v>452</v>
      </c>
      <c r="C55" s="149" t="s">
        <v>933</v>
      </c>
      <c r="D55" s="94">
        <f t="shared" si="0"/>
        <v>0</v>
      </c>
      <c r="E55" s="147">
        <f>SUMIFS('Plan rashoda za unos u SAP'!$I$3:$I$480,'Plan rashoda za unos u SAP'!$C$3:$C$480,"=11",'Plan rashoda za unos u SAP'!$M$3:$M$480,"=452")+SUMIFS('ANALITIKA EU PROJEKATA'!$G$3:$G$499,'ANALITIKA EU PROJEKATA'!$A$3:$A$499,"=11",'ANALITIKA EU PROJEKATA'!$P$3:$P$499,"=452")</f>
        <v>0</v>
      </c>
      <c r="F55" s="147">
        <f>SUMIFS('Plan rashoda za unos u SAP'!$I$3:$I$480,'Plan rashoda za unos u SAP'!$C$3:$C$480,"=12",'Plan rashoda za unos u SAP'!$M$3:$M$480,"=452")+SUMIFS('ANALITIKA EU PROJEKATA'!$G$3:$G$499,'ANALITIKA EU PROJEKATA'!$A$3:$A$499,"=12",'ANALITIKA EU PROJEKATA'!$P$3:$P$499,"=452")</f>
        <v>0</v>
      </c>
      <c r="G55" s="147">
        <f>SUMIFS('Plan rashoda za unos u SAP'!$I$3:$I$480,'Plan rashoda za unos u SAP'!$C$3:$C$480,"=31",'Plan rashoda za unos u SAP'!$M$3:$M$480,"=452")+SUMIFS('ANALITIKA EU PROJEKATA'!$G$3:$G$499,'ANALITIKA EU PROJEKATA'!$A$3:$A$499,"=31",'ANALITIKA EU PROJEKATA'!$P$3:$P$499,"=452")</f>
        <v>0</v>
      </c>
      <c r="H55" s="147">
        <f>SUMIFS('Plan rashoda za unos u SAP'!$I$3:$I$480,'Plan rashoda za unos u SAP'!$C$3:$C$480,"=41",'Plan rashoda za unos u SAP'!$M$3:$M$480,"=452")+SUMIFS('ANALITIKA EU PROJEKATA'!$G$3:$G$499,'ANALITIKA EU PROJEKATA'!$A$3:$A$499,"=41",'ANALITIKA EU PROJEKATA'!$P$3:$P$499,"=452")</f>
        <v>0</v>
      </c>
      <c r="I55" s="147">
        <f>SUMIFS('Plan rashoda za unos u SAP'!$I$3:$I$480,'Plan rashoda za unos u SAP'!$C$3:$C$480,"=43",'Plan rashoda za unos u SAP'!$M$3:$M$480,"=452")+SUMIFS('ANALITIKA EU PROJEKATA'!$G$3:$G$499,'ANALITIKA EU PROJEKATA'!$A$3:$A$499,"=43",'ANALITIKA EU PROJEKATA'!$P$3:$P$499,"=452")</f>
        <v>0</v>
      </c>
      <c r="J55" s="147">
        <f>SUMIFS('Plan rashoda za unos u SAP'!$I$3:$I$480,'Plan rashoda za unos u SAP'!$C$3:$C$480,"=51",'Plan rashoda za unos u SAP'!$M$3:$M$480,"=452")+SUMIFS('ANALITIKA EU PROJEKATA'!$G$3:$G$499,'ANALITIKA EU PROJEKATA'!$A$3:$A$499,"=51",'ANALITIKA EU PROJEKATA'!$P$3:$P$499,"=452")</f>
        <v>0</v>
      </c>
      <c r="K55" s="147">
        <f>SUMIFS('Plan rashoda za unos u SAP'!$I$3:$I$480,'Plan rashoda za unos u SAP'!$C$3:$C$480,"=52",'Plan rashoda za unos u SAP'!$M$3:$M$480,"=452")+SUMIFS('ANALITIKA EU PROJEKATA'!$G$3:$G$499,'ANALITIKA EU PROJEKATA'!$A$3:$A$499,"=52",'ANALITIKA EU PROJEKATA'!$P$3:$P$499,"=452")</f>
        <v>0</v>
      </c>
      <c r="L55" s="147">
        <f>SUMIFS('Plan rashoda za unos u SAP'!$I$3:$I$480,'Plan rashoda za unos u SAP'!$C$3:$C$480,"=552",'Plan rashoda za unos u SAP'!$M$3:$M$480,"=452")+SUMIFS('ANALITIKA EU PROJEKATA'!$G$3:$G$499,'ANALITIKA EU PROJEKATA'!$A$3:$A$499,"=552",'ANALITIKA EU PROJEKATA'!$P$3:$P$499,"=452")</f>
        <v>0</v>
      </c>
      <c r="M55" s="147">
        <f>SUMIFS('Plan rashoda za unos u SAP'!$I$3:$I$480,'Plan rashoda za unos u SAP'!$C$3:$C$480,"=559",'Plan rashoda za unos u SAP'!$M$3:$M$480,"=452")+SUMIFS('ANALITIKA EU PROJEKATA'!$G$3:$G$499,'ANALITIKA EU PROJEKATA'!$A$3:$A$499,"=559",'ANALITIKA EU PROJEKATA'!$P$3:$P$499,"=452")</f>
        <v>0</v>
      </c>
      <c r="N55" s="147">
        <f>SUMIFS('Plan rashoda za unos u SAP'!$I$3:$I$480,'Plan rashoda za unos u SAP'!$C$3:$C$480,"=561",'Plan rashoda za unos u SAP'!$M$3:$M$480,"=452")+SUMIFS('ANALITIKA EU PROJEKATA'!$G$3:$G$499,'ANALITIKA EU PROJEKATA'!$A$3:$A$499,"=561",'ANALITIKA EU PROJEKATA'!$P$3:$P$499,"=452")</f>
        <v>0</v>
      </c>
      <c r="O55" s="147">
        <f>SUMIFS('Plan rashoda za unos u SAP'!$I$3:$I$480,'Plan rashoda za unos u SAP'!$C$3:$C$480,"=563",'Plan rashoda za unos u SAP'!$M$3:$M$480,"=452")+SUMIFS('ANALITIKA EU PROJEKATA'!$G$3:$G$499,'ANALITIKA EU PROJEKATA'!$A$3:$A$499,"=563",'ANALITIKA EU PROJEKATA'!$P$3:$P$499,"=452")</f>
        <v>0</v>
      </c>
      <c r="P55" s="147">
        <f>SUMIFS('Plan rashoda za unos u SAP'!$I$3:$I$480,'Plan rashoda za unos u SAP'!$C$3:$C$480,"=573",'Plan rashoda za unos u SAP'!$M$3:$M$480,"=452")+SUMIFS('ANALITIKA EU PROJEKATA'!$G$3:$G$499,'ANALITIKA EU PROJEKATA'!$A$3:$A$499,"=573",'ANALITIKA EU PROJEKATA'!$P$3:$P$499,"=452")</f>
        <v>0</v>
      </c>
      <c r="Q55" s="147">
        <f>SUMIFS('Plan rashoda za unos u SAP'!$I$3:$I$480,'Plan rashoda za unos u SAP'!$C$3:$C$480,"=575",'Plan rashoda za unos u SAP'!$M$3:$M$480,"=452")+SUMIFS('ANALITIKA EU PROJEKATA'!$G$3:$G$499,'ANALITIKA EU PROJEKATA'!$A$3:$A$499,"=575",'ANALITIKA EU PROJEKATA'!$P$3:$P$499,"=452")</f>
        <v>0</v>
      </c>
      <c r="R55" s="147">
        <f>SUMIFS('Plan rashoda za unos u SAP'!$I$3:$I$480,'Plan rashoda za unos u SAP'!$C$3:$C$480,"=576",'Plan rashoda za unos u SAP'!$M$3:$M$480,"=452")+SUMIFS('ANALITIKA EU PROJEKATA'!$G$3:$G$499,'ANALITIKA EU PROJEKATA'!$A$3:$A$499,"=576",'ANALITIKA EU PROJEKATA'!$P$3:$P$499,"=452")</f>
        <v>0</v>
      </c>
      <c r="S55" s="147">
        <f>SUMIFS('Plan rashoda za unos u SAP'!$I$3:$I$480,'Plan rashoda za unos u SAP'!$C$3:$C$480,"=581",'Plan rashoda za unos u SAP'!$M$3:$M$480,"=452")+SUMIFS('ANALITIKA EU PROJEKATA'!$G$3:$G$499,'ANALITIKA EU PROJEKATA'!$A$3:$A$499,"=581",'ANALITIKA EU PROJEKATA'!$P$3:$P$499,"=452")</f>
        <v>0</v>
      </c>
      <c r="T55" s="147">
        <f>SUMIFS('Plan rashoda za unos u SAP'!$I$3:$I$480,'Plan rashoda za unos u SAP'!$C$3:$C$480,"=61",'Plan rashoda za unos u SAP'!$M$3:$M$480,"=452")+SUMIFS('ANALITIKA EU PROJEKATA'!$G$3:$G$499,'ANALITIKA EU PROJEKATA'!$A$3:$A$499,"=61",'ANALITIKA EU PROJEKATA'!$P$3:$P$499,"=452")</f>
        <v>0</v>
      </c>
      <c r="U55" s="147">
        <f>SUMIFS('Plan rashoda za unos u SAP'!$I$3:$I$480,'Plan rashoda za unos u SAP'!$C$3:$C$480,"=63",'Plan rashoda za unos u SAP'!$M$3:$M$480,"=452")+SUMIFS('ANALITIKA EU PROJEKATA'!$G$3:$G$499,'ANALITIKA EU PROJEKATA'!$A$3:$A$499,"=63",'ANALITIKA EU PROJEKATA'!$P$3:$P$499,"=452")</f>
        <v>0</v>
      </c>
      <c r="V55" s="147">
        <f>SUMIFS('Plan rashoda za unos u SAP'!$I$3:$I$480,'Plan rashoda za unos u SAP'!$C$3:$C$480,"=71",'Plan rashoda za unos u SAP'!$M$3:$M$480,"=452")+SUMIFS('ANALITIKA EU PROJEKATA'!$G$3:$G$499,'ANALITIKA EU PROJEKATA'!$A$3:$A$499,"=71",'ANALITIKA EU PROJEKATA'!$P$3:$P$499,"=452")</f>
        <v>0</v>
      </c>
      <c r="W55" s="147">
        <f>SUMIFS('Plan rashoda za unos u SAP'!$I$3:$I$480,'Plan rashoda za unos u SAP'!$C$3:$C$480,"=81",'Plan rashoda za unos u SAP'!$M$3:$M$480,"=452")+SUMIFS('ANALITIKA EU PROJEKATA'!$G$3:$G$499,'ANALITIKA EU PROJEKATA'!$A$3:$A$499,"=81",'ANALITIKA EU PROJEKATA'!$P$3:$P$499,"=452")</f>
        <v>0</v>
      </c>
      <c r="X55" s="129"/>
      <c r="Y55" s="129"/>
      <c r="Z55" s="129"/>
      <c r="AA55" s="129"/>
      <c r="AB55" s="129"/>
      <c r="AC55" s="129"/>
      <c r="AD55" s="129"/>
      <c r="AE55" s="129"/>
      <c r="AF55" s="129"/>
      <c r="AG55" s="129"/>
      <c r="AH55" s="129"/>
      <c r="AI55" s="129"/>
      <c r="AJ55" s="129"/>
      <c r="AK55" s="129"/>
      <c r="AL55" s="129"/>
      <c r="AM55" s="129"/>
      <c r="AN55" s="129"/>
      <c r="AO55" s="129"/>
      <c r="AP55" s="129"/>
      <c r="AQ55" s="129"/>
    </row>
    <row r="56" spans="1:43" ht="12" customHeight="1">
      <c r="A56" s="131">
        <v>2021</v>
      </c>
      <c r="B56" s="148">
        <v>453</v>
      </c>
      <c r="C56" s="149" t="s">
        <v>936</v>
      </c>
      <c r="D56" s="94">
        <f t="shared" si="0"/>
        <v>0</v>
      </c>
      <c r="E56" s="147">
        <f>SUMIFS('Plan rashoda za unos u SAP'!$I$3:$I$480,'Plan rashoda za unos u SAP'!$C$3:$C$480,"=11",'Plan rashoda za unos u SAP'!$M$3:$M$480,"=453")+SUMIFS('ANALITIKA EU PROJEKATA'!$G$3:$G$499,'ANALITIKA EU PROJEKATA'!$A$3:$A$499,"=11",'ANALITIKA EU PROJEKATA'!$P$3:$P$499,"=453")</f>
        <v>0</v>
      </c>
      <c r="F56" s="147">
        <f>SUMIFS('Plan rashoda za unos u SAP'!$I$3:$I$480,'Plan rashoda za unos u SAP'!$C$3:$C$480,"=12",'Plan rashoda za unos u SAP'!$M$3:$M$480,"=453")+SUMIFS('ANALITIKA EU PROJEKATA'!$G$3:$G$499,'ANALITIKA EU PROJEKATA'!$A$3:$A$499,"=12",'ANALITIKA EU PROJEKATA'!$P$3:$P$499,"=453")</f>
        <v>0</v>
      </c>
      <c r="G56" s="147">
        <f>SUMIFS('Plan rashoda za unos u SAP'!$I$3:$I$480,'Plan rashoda za unos u SAP'!$C$3:$C$480,"=31",'Plan rashoda za unos u SAP'!$M$3:$M$480,"=453")+SUMIFS('ANALITIKA EU PROJEKATA'!$G$3:$G$499,'ANALITIKA EU PROJEKATA'!$A$3:$A$499,"=31",'ANALITIKA EU PROJEKATA'!$P$3:$P$499,"=453")</f>
        <v>0</v>
      </c>
      <c r="H56" s="147">
        <f>SUMIFS('Plan rashoda za unos u SAP'!$I$3:$I$480,'Plan rashoda za unos u SAP'!$C$3:$C$480,"=41",'Plan rashoda za unos u SAP'!$M$3:$M$480,"=453")+SUMIFS('ANALITIKA EU PROJEKATA'!$G$3:$G$499,'ANALITIKA EU PROJEKATA'!$A$3:$A$499,"=41",'ANALITIKA EU PROJEKATA'!$P$3:$P$499,"=453")</f>
        <v>0</v>
      </c>
      <c r="I56" s="147">
        <f>SUMIFS('Plan rashoda za unos u SAP'!$I$3:$I$480,'Plan rashoda za unos u SAP'!$C$3:$C$480,"=43",'Plan rashoda za unos u SAP'!$M$3:$M$480,"=453")+SUMIFS('ANALITIKA EU PROJEKATA'!$G$3:$G$499,'ANALITIKA EU PROJEKATA'!$A$3:$A$499,"=43",'ANALITIKA EU PROJEKATA'!$P$3:$P$499,"=453")</f>
        <v>0</v>
      </c>
      <c r="J56" s="147">
        <f>SUMIFS('Plan rashoda za unos u SAP'!$I$3:$I$480,'Plan rashoda za unos u SAP'!$C$3:$C$480,"=51",'Plan rashoda za unos u SAP'!$M$3:$M$480,"=453")+SUMIFS('ANALITIKA EU PROJEKATA'!$G$3:$G$499,'ANALITIKA EU PROJEKATA'!$A$3:$A$499,"=51",'ANALITIKA EU PROJEKATA'!$P$3:$P$499,"=453")</f>
        <v>0</v>
      </c>
      <c r="K56" s="147">
        <f>SUMIFS('Plan rashoda za unos u SAP'!$I$3:$I$480,'Plan rashoda za unos u SAP'!$C$3:$C$480,"=52",'Plan rashoda za unos u SAP'!$M$3:$M$480,"=453")+SUMIFS('ANALITIKA EU PROJEKATA'!$G$3:$G$499,'ANALITIKA EU PROJEKATA'!$A$3:$A$499,"=52",'ANALITIKA EU PROJEKATA'!$P$3:$P$499,"=453")</f>
        <v>0</v>
      </c>
      <c r="L56" s="147">
        <f>SUMIFS('Plan rashoda za unos u SAP'!$I$3:$I$480,'Plan rashoda za unos u SAP'!$C$3:$C$480,"=552",'Plan rashoda za unos u SAP'!$M$3:$M$480,"=453")+SUMIFS('ANALITIKA EU PROJEKATA'!$G$3:$G$499,'ANALITIKA EU PROJEKATA'!$A$3:$A$499,"=552",'ANALITIKA EU PROJEKATA'!$P$3:$P$499,"=453")</f>
        <v>0</v>
      </c>
      <c r="M56" s="147">
        <f>SUMIFS('Plan rashoda za unos u SAP'!$I$3:$I$480,'Plan rashoda za unos u SAP'!$C$3:$C$480,"=559",'Plan rashoda za unos u SAP'!$M$3:$M$480,"=453")+SUMIFS('ANALITIKA EU PROJEKATA'!$G$3:$G$499,'ANALITIKA EU PROJEKATA'!$A$3:$A$499,"=559",'ANALITIKA EU PROJEKATA'!$P$3:$P$499,"=453")</f>
        <v>0</v>
      </c>
      <c r="N56" s="147">
        <f>SUMIFS('Plan rashoda za unos u SAP'!$I$3:$I$480,'Plan rashoda za unos u SAP'!$C$3:$C$480,"=561",'Plan rashoda za unos u SAP'!$M$3:$M$480,"=453")+SUMIFS('ANALITIKA EU PROJEKATA'!$G$3:$G$499,'ANALITIKA EU PROJEKATA'!$A$3:$A$499,"=561",'ANALITIKA EU PROJEKATA'!$P$3:$P$499,"=453")</f>
        <v>0</v>
      </c>
      <c r="O56" s="147">
        <f>SUMIFS('Plan rashoda za unos u SAP'!$I$3:$I$480,'Plan rashoda za unos u SAP'!$C$3:$C$480,"=563",'Plan rashoda za unos u SAP'!$M$3:$M$480,"=453")+SUMIFS('ANALITIKA EU PROJEKATA'!$G$3:$G$499,'ANALITIKA EU PROJEKATA'!$A$3:$A$499,"=563",'ANALITIKA EU PROJEKATA'!$P$3:$P$499,"=453")</f>
        <v>0</v>
      </c>
      <c r="P56" s="147">
        <f>SUMIFS('Plan rashoda za unos u SAP'!$I$3:$I$480,'Plan rashoda za unos u SAP'!$C$3:$C$480,"=573",'Plan rashoda za unos u SAP'!$M$3:$M$480,"=453")+SUMIFS('ANALITIKA EU PROJEKATA'!$G$3:$G$499,'ANALITIKA EU PROJEKATA'!$A$3:$A$499,"=573",'ANALITIKA EU PROJEKATA'!$P$3:$P$499,"=453")</f>
        <v>0</v>
      </c>
      <c r="Q56" s="147">
        <f>SUMIFS('Plan rashoda za unos u SAP'!$I$3:$I$480,'Plan rashoda za unos u SAP'!$C$3:$C$480,"=575",'Plan rashoda za unos u SAP'!$M$3:$M$480,"=453")+SUMIFS('ANALITIKA EU PROJEKATA'!$G$3:$G$499,'ANALITIKA EU PROJEKATA'!$A$3:$A$499,"=575",'ANALITIKA EU PROJEKATA'!$P$3:$P$499,"=453")</f>
        <v>0</v>
      </c>
      <c r="R56" s="147">
        <f>SUMIFS('Plan rashoda za unos u SAP'!$I$3:$I$480,'Plan rashoda za unos u SAP'!$C$3:$C$480,"=576",'Plan rashoda za unos u SAP'!$M$3:$M$480,"=453")+SUMIFS('ANALITIKA EU PROJEKATA'!$G$3:$G$499,'ANALITIKA EU PROJEKATA'!$A$3:$A$499,"=576",'ANALITIKA EU PROJEKATA'!$P$3:$P$499,"=453")</f>
        <v>0</v>
      </c>
      <c r="S56" s="147">
        <f>SUMIFS('Plan rashoda za unos u SAP'!$I$3:$I$480,'Plan rashoda za unos u SAP'!$C$3:$C$480,"=581",'Plan rashoda za unos u SAP'!$M$3:$M$480,"=453")+SUMIFS('ANALITIKA EU PROJEKATA'!$G$3:$G$499,'ANALITIKA EU PROJEKATA'!$A$3:$A$499,"=581",'ANALITIKA EU PROJEKATA'!$P$3:$P$499,"=453")</f>
        <v>0</v>
      </c>
      <c r="T56" s="147">
        <f>SUMIFS('Plan rashoda za unos u SAP'!$I$3:$I$480,'Plan rashoda za unos u SAP'!$C$3:$C$480,"=61",'Plan rashoda za unos u SAP'!$M$3:$M$480,"=453")+SUMIFS('ANALITIKA EU PROJEKATA'!$G$3:$G$499,'ANALITIKA EU PROJEKATA'!$A$3:$A$499,"=61",'ANALITIKA EU PROJEKATA'!$P$3:$P$499,"=453")</f>
        <v>0</v>
      </c>
      <c r="U56" s="147">
        <f>SUMIFS('Plan rashoda za unos u SAP'!$I$3:$I$480,'Plan rashoda za unos u SAP'!$C$3:$C$480,"=63",'Plan rashoda za unos u SAP'!$M$3:$M$480,"=453")+SUMIFS('ANALITIKA EU PROJEKATA'!$G$3:$G$499,'ANALITIKA EU PROJEKATA'!$A$3:$A$499,"=63",'ANALITIKA EU PROJEKATA'!$P$3:$P$499,"=453")</f>
        <v>0</v>
      </c>
      <c r="V56" s="147">
        <f>SUMIFS('Plan rashoda za unos u SAP'!$I$3:$I$480,'Plan rashoda za unos u SAP'!$C$3:$C$480,"=71",'Plan rashoda za unos u SAP'!$M$3:$M$480,"=453")+SUMIFS('ANALITIKA EU PROJEKATA'!$G$3:$G$499,'ANALITIKA EU PROJEKATA'!$A$3:$A$499,"=71",'ANALITIKA EU PROJEKATA'!$P$3:$P$499,"=453")</f>
        <v>0</v>
      </c>
      <c r="W56" s="147">
        <f>SUMIFS('Plan rashoda za unos u SAP'!$I$3:$I$480,'Plan rashoda za unos u SAP'!$C$3:$C$480,"=81",'Plan rashoda za unos u SAP'!$M$3:$M$480,"=453")+SUMIFS('ANALITIKA EU PROJEKATA'!$G$3:$G$499,'ANALITIKA EU PROJEKATA'!$A$3:$A$499,"=81",'ANALITIKA EU PROJEKATA'!$P$3:$P$499,"=453")</f>
        <v>0</v>
      </c>
      <c r="X56" s="129"/>
      <c r="Y56" s="129"/>
      <c r="Z56" s="129"/>
      <c r="AA56" s="129"/>
      <c r="AB56" s="129"/>
      <c r="AC56" s="129"/>
      <c r="AD56" s="129"/>
      <c r="AE56" s="129"/>
      <c r="AF56" s="129"/>
      <c r="AG56" s="129"/>
      <c r="AH56" s="129"/>
      <c r="AI56" s="129"/>
      <c r="AJ56" s="129"/>
      <c r="AK56" s="129"/>
      <c r="AL56" s="129"/>
      <c r="AM56" s="129"/>
      <c r="AN56" s="129"/>
      <c r="AO56" s="129"/>
      <c r="AP56" s="129"/>
      <c r="AQ56" s="129"/>
    </row>
    <row r="57" spans="1:43" ht="12" customHeight="1">
      <c r="A57" s="131">
        <v>2021</v>
      </c>
      <c r="B57" s="148">
        <v>454</v>
      </c>
      <c r="C57" s="153" t="s">
        <v>939</v>
      </c>
      <c r="D57" s="94">
        <f t="shared" si="0"/>
        <v>8467253</v>
      </c>
      <c r="E57" s="147">
        <f>SUMIFS('Plan rashoda za unos u SAP'!$I$3:$I$480,'Plan rashoda za unos u SAP'!$C$3:$C$480,"=11",'Plan rashoda za unos u SAP'!$M$3:$M$480,"=454")+SUMIFS('ANALITIKA EU PROJEKATA'!$G$3:$G$499,'ANALITIKA EU PROJEKATA'!$A$3:$A$499,"=11",'ANALITIKA EU PROJEKATA'!$P$3:$P$499,"=454")</f>
        <v>0</v>
      </c>
      <c r="F57" s="147">
        <f>SUMIFS('Plan rashoda za unos u SAP'!$I$3:$I$480,'Plan rashoda za unos u SAP'!$C$3:$C$480,"=12",'Plan rashoda za unos u SAP'!$M$3:$M$480,"=454")+SUMIFS('ANALITIKA EU PROJEKATA'!$G$3:$G$499,'ANALITIKA EU PROJEKATA'!$A$3:$A$499,"=12",'ANALITIKA EU PROJEKATA'!$P$3:$P$499,"=454")</f>
        <v>0</v>
      </c>
      <c r="G57" s="147">
        <f>SUMIFS('Plan rashoda za unos u SAP'!$I$3:$I$480,'Plan rashoda za unos u SAP'!$C$3:$C$480,"=31",'Plan rashoda za unos u SAP'!$M$3:$M$480,"=454")+SUMIFS('ANALITIKA EU PROJEKATA'!$G$3:$G$499,'ANALITIKA EU PROJEKATA'!$A$3:$A$499,"=31",'ANALITIKA EU PROJEKATA'!$P$3:$P$499,"=454")</f>
        <v>100000</v>
      </c>
      <c r="H57" s="147">
        <f>SUMIFS('Plan rashoda za unos u SAP'!$I$3:$I$480,'Plan rashoda za unos u SAP'!$C$3:$C$480,"=41",'Plan rashoda za unos u SAP'!$M$3:$M$480,"=454")+SUMIFS('ANALITIKA EU PROJEKATA'!$G$3:$G$499,'ANALITIKA EU PROJEKATA'!$A$3:$A$499,"=41",'ANALITIKA EU PROJEKATA'!$P$3:$P$499,"=454")</f>
        <v>0</v>
      </c>
      <c r="I57" s="147">
        <f>SUMIFS('Plan rashoda za unos u SAP'!$I$3:$I$480,'Plan rashoda za unos u SAP'!$C$3:$C$480,"=43",'Plan rashoda za unos u SAP'!$M$3:$M$480,"=454")+SUMIFS('ANALITIKA EU PROJEKATA'!$G$3:$G$499,'ANALITIKA EU PROJEKATA'!$A$3:$A$499,"=43",'ANALITIKA EU PROJEKATA'!$P$3:$P$499,"=454")</f>
        <v>0</v>
      </c>
      <c r="J57" s="147">
        <f>SUMIFS('Plan rashoda za unos u SAP'!$I$3:$I$480,'Plan rashoda za unos u SAP'!$C$3:$C$480,"=51",'Plan rashoda za unos u SAP'!$M$3:$M$480,"=454")+SUMIFS('ANALITIKA EU PROJEKATA'!$G$3:$G$499,'ANALITIKA EU PROJEKATA'!$A$3:$A$499,"=51",'ANALITIKA EU PROJEKATA'!$P$3:$P$499,"=454")</f>
        <v>0</v>
      </c>
      <c r="K57" s="147">
        <f>SUMIFS('Plan rashoda za unos u SAP'!$I$3:$I$480,'Plan rashoda za unos u SAP'!$C$3:$C$480,"=52",'Plan rashoda za unos u SAP'!$M$3:$M$480,"=454")+SUMIFS('ANALITIKA EU PROJEKATA'!$G$3:$G$499,'ANALITIKA EU PROJEKATA'!$A$3:$A$499,"=52",'ANALITIKA EU PROJEKATA'!$P$3:$P$499,"=454")</f>
        <v>0</v>
      </c>
      <c r="L57" s="147">
        <f>SUMIFS('Plan rashoda za unos u SAP'!$I$3:$I$480,'Plan rashoda za unos u SAP'!$C$3:$C$480,"=552",'Plan rashoda za unos u SAP'!$M$3:$M$480,"=454")+SUMIFS('ANALITIKA EU PROJEKATA'!$G$3:$G$499,'ANALITIKA EU PROJEKATA'!$A$3:$A$499,"=552",'ANALITIKA EU PROJEKATA'!$P$3:$P$499,"=454")</f>
        <v>0</v>
      </c>
      <c r="M57" s="147">
        <f>SUMIFS('Plan rashoda za unos u SAP'!$I$3:$I$480,'Plan rashoda za unos u SAP'!$C$3:$C$480,"=559",'Plan rashoda za unos u SAP'!$M$3:$M$480,"=454")+SUMIFS('ANALITIKA EU PROJEKATA'!$G$3:$G$499,'ANALITIKA EU PROJEKATA'!$A$3:$A$499,"=559",'ANALITIKA EU PROJEKATA'!$P$3:$P$499,"=454")</f>
        <v>0</v>
      </c>
      <c r="N57" s="147">
        <f>SUMIFS('Plan rashoda za unos u SAP'!$I$3:$I$480,'Plan rashoda za unos u SAP'!$C$3:$C$480,"=561",'Plan rashoda za unos u SAP'!$M$3:$M$480,"=454")+SUMIFS('ANALITIKA EU PROJEKATA'!$G$3:$G$499,'ANALITIKA EU PROJEKATA'!$A$3:$A$499,"=561",'ANALITIKA EU PROJEKATA'!$P$3:$P$499,"=454")</f>
        <v>0</v>
      </c>
      <c r="O57" s="147">
        <f>SUMIFS('Plan rashoda za unos u SAP'!$I$3:$I$480,'Plan rashoda za unos u SAP'!$C$3:$C$480,"=563",'Plan rashoda za unos u SAP'!$M$3:$M$480,"=454")+SUMIFS('ANALITIKA EU PROJEKATA'!$G$3:$G$499,'ANALITIKA EU PROJEKATA'!$A$3:$A$499,"=563",'ANALITIKA EU PROJEKATA'!$P$3:$P$499,"=454")</f>
        <v>0</v>
      </c>
      <c r="P57" s="147">
        <f>SUMIFS('Plan rashoda za unos u SAP'!$I$3:$I$480,'Plan rashoda za unos u SAP'!$C$3:$C$480,"=573",'Plan rashoda za unos u SAP'!$M$3:$M$480,"=454")+SUMIFS('ANALITIKA EU PROJEKATA'!$G$3:$G$499,'ANALITIKA EU PROJEKATA'!$A$3:$A$499,"=573",'ANALITIKA EU PROJEKATA'!$P$3:$P$499,"=454")</f>
        <v>0</v>
      </c>
      <c r="Q57" s="147">
        <f>SUMIFS('Plan rashoda za unos u SAP'!$I$3:$I$480,'Plan rashoda za unos u SAP'!$C$3:$C$480,"=575",'Plan rashoda za unos u SAP'!$M$3:$M$480,"=454")+SUMIFS('ANALITIKA EU PROJEKATA'!$G$3:$G$499,'ANALITIKA EU PROJEKATA'!$A$3:$A$499,"=575",'ANALITIKA EU PROJEKATA'!$P$3:$P$499,"=454")</f>
        <v>0</v>
      </c>
      <c r="R57" s="147">
        <f>SUMIFS('Plan rashoda za unos u SAP'!$I$3:$I$480,'Plan rashoda za unos u SAP'!$C$3:$C$480,"=576",'Plan rashoda za unos u SAP'!$M$3:$M$480,"=454")+SUMIFS('ANALITIKA EU PROJEKATA'!$G$3:$G$499,'ANALITIKA EU PROJEKATA'!$A$3:$A$499,"=576",'ANALITIKA EU PROJEKATA'!$P$3:$P$499,"=454")</f>
        <v>8367253</v>
      </c>
      <c r="S57" s="147">
        <f>SUMIFS('Plan rashoda za unos u SAP'!$I$3:$I$480,'Plan rashoda za unos u SAP'!$C$3:$C$480,"=581",'Plan rashoda za unos u SAP'!$M$3:$M$480,"=454")+SUMIFS('ANALITIKA EU PROJEKATA'!$G$3:$G$499,'ANALITIKA EU PROJEKATA'!$A$3:$A$499,"=581",'ANALITIKA EU PROJEKATA'!$P$3:$P$499,"=454")</f>
        <v>0</v>
      </c>
      <c r="T57" s="147">
        <f>SUMIFS('Plan rashoda za unos u SAP'!$I$3:$I$480,'Plan rashoda za unos u SAP'!$C$3:$C$480,"=61",'Plan rashoda za unos u SAP'!$M$3:$M$480,"=454")+SUMIFS('ANALITIKA EU PROJEKATA'!$G$3:$G$499,'ANALITIKA EU PROJEKATA'!$A$3:$A$499,"=61",'ANALITIKA EU PROJEKATA'!$P$3:$P$499,"=454")</f>
        <v>0</v>
      </c>
      <c r="U57" s="147">
        <f>SUMIFS('Plan rashoda za unos u SAP'!$I$3:$I$480,'Plan rashoda za unos u SAP'!$C$3:$C$480,"=63",'Plan rashoda za unos u SAP'!$M$3:$M$480,"=454")+SUMIFS('ANALITIKA EU PROJEKATA'!$G$3:$G$499,'ANALITIKA EU PROJEKATA'!$A$3:$A$499,"=63",'ANALITIKA EU PROJEKATA'!$P$3:$P$499,"=454")</f>
        <v>0</v>
      </c>
      <c r="V57" s="147">
        <f>SUMIFS('Plan rashoda za unos u SAP'!$I$3:$I$480,'Plan rashoda za unos u SAP'!$C$3:$C$480,"=71",'Plan rashoda za unos u SAP'!$M$3:$M$480,"=454")+SUMIFS('ANALITIKA EU PROJEKATA'!$G$3:$G$499,'ANALITIKA EU PROJEKATA'!$A$3:$A$499,"=71",'ANALITIKA EU PROJEKATA'!$P$3:$P$499,"=454")</f>
        <v>0</v>
      </c>
      <c r="W57" s="147">
        <f>SUMIFS('Plan rashoda za unos u SAP'!$I$3:$I$480,'Plan rashoda za unos u SAP'!$C$3:$C$480,"=81",'Plan rashoda za unos u SAP'!$M$3:$M$480,"=454")+SUMIFS('ANALITIKA EU PROJEKATA'!$G$3:$G$499,'ANALITIKA EU PROJEKATA'!$A$3:$A$499,"=81",'ANALITIKA EU PROJEKATA'!$P$3:$P$499,"=454")</f>
        <v>0</v>
      </c>
      <c r="X57" s="129"/>
      <c r="Y57" s="129"/>
      <c r="Z57" s="129"/>
      <c r="AA57" s="129"/>
      <c r="AB57" s="129"/>
      <c r="AC57" s="129"/>
      <c r="AD57" s="129"/>
      <c r="AE57" s="129"/>
      <c r="AF57" s="129"/>
      <c r="AG57" s="129"/>
      <c r="AH57" s="129"/>
      <c r="AI57" s="129"/>
      <c r="AJ57" s="129"/>
      <c r="AK57" s="129"/>
      <c r="AL57" s="129"/>
      <c r="AM57" s="129"/>
      <c r="AN57" s="129"/>
      <c r="AO57" s="129"/>
      <c r="AP57" s="129"/>
      <c r="AQ57" s="129"/>
    </row>
    <row r="58" spans="1:43" ht="12" customHeight="1">
      <c r="A58" s="131">
        <v>2021</v>
      </c>
      <c r="B58" s="136">
        <v>5</v>
      </c>
      <c r="C58" s="137" t="s">
        <v>118</v>
      </c>
      <c r="D58" s="158">
        <f t="shared" si="0"/>
        <v>0</v>
      </c>
      <c r="E58" s="139">
        <f t="shared" ref="E58:W58" si="16">+E59+E63</f>
        <v>0</v>
      </c>
      <c r="F58" s="139">
        <f t="shared" si="16"/>
        <v>0</v>
      </c>
      <c r="G58" s="139">
        <f t="shared" si="16"/>
        <v>0</v>
      </c>
      <c r="H58" s="139">
        <f t="shared" si="16"/>
        <v>0</v>
      </c>
      <c r="I58" s="139">
        <f t="shared" si="16"/>
        <v>0</v>
      </c>
      <c r="J58" s="139">
        <f t="shared" si="16"/>
        <v>0</v>
      </c>
      <c r="K58" s="139">
        <f t="shared" si="16"/>
        <v>0</v>
      </c>
      <c r="L58" s="139">
        <f t="shared" si="16"/>
        <v>0</v>
      </c>
      <c r="M58" s="139">
        <f t="shared" si="16"/>
        <v>0</v>
      </c>
      <c r="N58" s="139">
        <f t="shared" si="16"/>
        <v>0</v>
      </c>
      <c r="O58" s="139">
        <f t="shared" si="16"/>
        <v>0</v>
      </c>
      <c r="P58" s="139">
        <f t="shared" si="16"/>
        <v>0</v>
      </c>
      <c r="Q58" s="139">
        <f t="shared" si="16"/>
        <v>0</v>
      </c>
      <c r="R58" s="139">
        <f t="shared" si="16"/>
        <v>0</v>
      </c>
      <c r="S58" s="139">
        <f t="shared" si="16"/>
        <v>0</v>
      </c>
      <c r="T58" s="139">
        <f t="shared" si="16"/>
        <v>0</v>
      </c>
      <c r="U58" s="139">
        <f t="shared" si="16"/>
        <v>0</v>
      </c>
      <c r="V58" s="139">
        <f t="shared" si="16"/>
        <v>0</v>
      </c>
      <c r="W58" s="139">
        <f t="shared" si="16"/>
        <v>0</v>
      </c>
      <c r="X58" s="129"/>
      <c r="Y58" s="129"/>
      <c r="Z58" s="129"/>
      <c r="AA58" s="129"/>
      <c r="AB58" s="129"/>
      <c r="AC58" s="129"/>
      <c r="AD58" s="129"/>
      <c r="AE58" s="129"/>
      <c r="AF58" s="129"/>
      <c r="AG58" s="129"/>
      <c r="AH58" s="129"/>
      <c r="AI58" s="129"/>
      <c r="AJ58" s="129"/>
      <c r="AK58" s="129"/>
      <c r="AL58" s="129"/>
      <c r="AM58" s="129"/>
      <c r="AN58" s="129"/>
      <c r="AO58" s="129"/>
      <c r="AP58" s="129"/>
      <c r="AQ58" s="129"/>
    </row>
    <row r="59" spans="1:43" ht="12" customHeight="1">
      <c r="A59" s="131">
        <v>2021</v>
      </c>
      <c r="B59" s="140">
        <v>51</v>
      </c>
      <c r="C59" s="141" t="s">
        <v>3473</v>
      </c>
      <c r="D59" s="142">
        <f t="shared" si="0"/>
        <v>0</v>
      </c>
      <c r="E59" s="143">
        <f t="shared" ref="E59:W59" si="17">SUM(E60:E62)</f>
        <v>0</v>
      </c>
      <c r="F59" s="143">
        <f t="shared" si="17"/>
        <v>0</v>
      </c>
      <c r="G59" s="143">
        <f t="shared" si="17"/>
        <v>0</v>
      </c>
      <c r="H59" s="143">
        <f t="shared" si="17"/>
        <v>0</v>
      </c>
      <c r="I59" s="143">
        <f t="shared" si="17"/>
        <v>0</v>
      </c>
      <c r="J59" s="143">
        <f t="shared" si="17"/>
        <v>0</v>
      </c>
      <c r="K59" s="143">
        <f t="shared" si="17"/>
        <v>0</v>
      </c>
      <c r="L59" s="143">
        <f t="shared" si="17"/>
        <v>0</v>
      </c>
      <c r="M59" s="143">
        <f t="shared" si="17"/>
        <v>0</v>
      </c>
      <c r="N59" s="143">
        <f t="shared" si="17"/>
        <v>0</v>
      </c>
      <c r="O59" s="143">
        <f t="shared" si="17"/>
        <v>0</v>
      </c>
      <c r="P59" s="143">
        <f t="shared" si="17"/>
        <v>0</v>
      </c>
      <c r="Q59" s="143">
        <f t="shared" si="17"/>
        <v>0</v>
      </c>
      <c r="R59" s="143">
        <f t="shared" si="17"/>
        <v>0</v>
      </c>
      <c r="S59" s="143">
        <f t="shared" si="17"/>
        <v>0</v>
      </c>
      <c r="T59" s="143">
        <f t="shared" si="17"/>
        <v>0</v>
      </c>
      <c r="U59" s="143">
        <f t="shared" si="17"/>
        <v>0</v>
      </c>
      <c r="V59" s="143">
        <f t="shared" si="17"/>
        <v>0</v>
      </c>
      <c r="W59" s="143">
        <f t="shared" si="17"/>
        <v>0</v>
      </c>
      <c r="X59" s="144"/>
      <c r="Y59" s="144"/>
      <c r="Z59" s="144"/>
      <c r="AA59" s="144"/>
      <c r="AB59" s="144"/>
      <c r="AC59" s="144"/>
      <c r="AD59" s="144"/>
      <c r="AE59" s="144"/>
      <c r="AF59" s="144"/>
      <c r="AG59" s="144"/>
      <c r="AH59" s="144"/>
      <c r="AI59" s="144"/>
      <c r="AJ59" s="144"/>
      <c r="AK59" s="144"/>
      <c r="AL59" s="144"/>
      <c r="AM59" s="144"/>
      <c r="AN59" s="144"/>
      <c r="AO59" s="144"/>
      <c r="AP59" s="144"/>
      <c r="AQ59" s="144"/>
    </row>
    <row r="60" spans="1:43" ht="12" customHeight="1">
      <c r="A60" s="131">
        <v>2021</v>
      </c>
      <c r="B60" s="159">
        <v>512</v>
      </c>
      <c r="C60" s="145" t="s">
        <v>3474</v>
      </c>
      <c r="D60" s="142">
        <f t="shared" si="0"/>
        <v>0</v>
      </c>
      <c r="E60" s="147">
        <f>SUMIFS('Plan rashoda za unos u SAP'!$I$3:$I$480,'Plan rashoda za unos u SAP'!$C$3:$C$480,"=11",'Plan rashoda za unos u SAP'!$M$3:$M$480,"=512")+SUMIFS('ANALITIKA EU PROJEKATA'!$G$3:$G$499,'ANALITIKA EU PROJEKATA'!$A$3:$A$499,"=11",'ANALITIKA EU PROJEKATA'!$P$3:$P$499,"=512")</f>
        <v>0</v>
      </c>
      <c r="F60" s="147">
        <f>SUMIFS('Plan rashoda za unos u SAP'!$I$3:$I$480,'Plan rashoda za unos u SAP'!$C$3:$C$480,"=12",'Plan rashoda za unos u SAP'!$M$3:$M$480,"=512")+SUMIFS('ANALITIKA EU PROJEKATA'!$G$3:$G$499,'ANALITIKA EU PROJEKATA'!$A$3:$A$499,"=12",'ANALITIKA EU PROJEKATA'!$P$3:$P$499,"=512")</f>
        <v>0</v>
      </c>
      <c r="G60" s="147">
        <f>SUMIFS('Plan rashoda za unos u SAP'!$I$3:$I$480,'Plan rashoda za unos u SAP'!$C$3:$C$480,"=31",'Plan rashoda za unos u SAP'!$M$3:$M$480,"=512")+SUMIFS('ANALITIKA EU PROJEKATA'!$G$3:$G$499,'ANALITIKA EU PROJEKATA'!$A$3:$A$499,"=31",'ANALITIKA EU PROJEKATA'!$P$3:$P$499,"=512")</f>
        <v>0</v>
      </c>
      <c r="H60" s="147">
        <f>SUMIFS('Plan rashoda za unos u SAP'!$I$3:$I$480,'Plan rashoda za unos u SAP'!$C$3:$C$480,"=41",'Plan rashoda za unos u SAP'!$M$3:$M$480,"=512")+SUMIFS('ANALITIKA EU PROJEKATA'!$G$3:$G$499,'ANALITIKA EU PROJEKATA'!$A$3:$A$499,"=41",'ANALITIKA EU PROJEKATA'!$P$3:$P$499,"=512")</f>
        <v>0</v>
      </c>
      <c r="I60" s="147">
        <f>SUMIFS('Plan rashoda za unos u SAP'!$I$3:$I$480,'Plan rashoda za unos u SAP'!$C$3:$C$480,"=43",'Plan rashoda za unos u SAP'!$M$3:$M$480,"=512")+SUMIFS('ANALITIKA EU PROJEKATA'!$G$3:$G$499,'ANALITIKA EU PROJEKATA'!$A$3:$A$499,"=43",'ANALITIKA EU PROJEKATA'!$P$3:$P$499,"=512")</f>
        <v>0</v>
      </c>
      <c r="J60" s="147">
        <f>SUMIFS('Plan rashoda za unos u SAP'!$I$3:$I$480,'Plan rashoda za unos u SAP'!$C$3:$C$480,"=51",'Plan rashoda za unos u SAP'!$M$3:$M$480,"=512")+SUMIFS('ANALITIKA EU PROJEKATA'!$G$3:$G$499,'ANALITIKA EU PROJEKATA'!$A$3:$A$499,"=51",'ANALITIKA EU PROJEKATA'!$P$3:$P$499,"=512")</f>
        <v>0</v>
      </c>
      <c r="K60" s="147">
        <f>SUMIFS('Plan rashoda za unos u SAP'!$I$3:$I$480,'Plan rashoda za unos u SAP'!$C$3:$C$480,"=52",'Plan rashoda za unos u SAP'!$M$3:$M$480,"=512")+SUMIFS('ANALITIKA EU PROJEKATA'!$G$3:$G$499,'ANALITIKA EU PROJEKATA'!$A$3:$A$499,"=52",'ANALITIKA EU PROJEKATA'!$P$3:$P$499,"=512")</f>
        <v>0</v>
      </c>
      <c r="L60" s="147">
        <f>SUMIFS('Plan rashoda za unos u SAP'!$I$3:$I$480,'Plan rashoda za unos u SAP'!$C$3:$C$480,"=552",'Plan rashoda za unos u SAP'!$M$3:$M$480,"=512")+SUMIFS('ANALITIKA EU PROJEKATA'!$G$3:$G$499,'ANALITIKA EU PROJEKATA'!$A$3:$A$499,"=552",'ANALITIKA EU PROJEKATA'!$P$3:$P$499,"=512")</f>
        <v>0</v>
      </c>
      <c r="M60" s="147">
        <f>SUMIFS('Plan rashoda za unos u SAP'!$I$3:$I$480,'Plan rashoda za unos u SAP'!$C$3:$C$480,"=559",'Plan rashoda za unos u SAP'!$M$3:$M$480,"=512")+SUMIFS('ANALITIKA EU PROJEKATA'!$G$3:$G$499,'ANALITIKA EU PROJEKATA'!$A$3:$A$499,"=559",'ANALITIKA EU PROJEKATA'!$P$3:$P$499,"=512")</f>
        <v>0</v>
      </c>
      <c r="N60" s="147">
        <f>SUMIFS('Plan rashoda za unos u SAP'!$I$3:$I$480,'Plan rashoda za unos u SAP'!$C$3:$C$480,"=561",'Plan rashoda za unos u SAP'!$M$3:$M$480,"=512")+SUMIFS('ANALITIKA EU PROJEKATA'!$G$3:$G$499,'ANALITIKA EU PROJEKATA'!$A$3:$A$499,"=561",'ANALITIKA EU PROJEKATA'!$P$3:$P$499,"=512")</f>
        <v>0</v>
      </c>
      <c r="O60" s="147">
        <f>SUMIFS('Plan rashoda za unos u SAP'!$I$3:$I$480,'Plan rashoda za unos u SAP'!$C$3:$C$480,"=563",'Plan rashoda za unos u SAP'!$M$3:$M$480,"=512")+SUMIFS('ANALITIKA EU PROJEKATA'!$G$3:$G$499,'ANALITIKA EU PROJEKATA'!$A$3:$A$499,"=563",'ANALITIKA EU PROJEKATA'!$P$3:$P$499,"=512")</f>
        <v>0</v>
      </c>
      <c r="P60" s="147">
        <f>SUMIFS('Plan rashoda za unos u SAP'!$I$3:$I$480,'Plan rashoda za unos u SAP'!$C$3:$C$480,"=573",'Plan rashoda za unos u SAP'!$M$3:$M$480,"=512")+SUMIFS('ANALITIKA EU PROJEKATA'!$G$3:$G$499,'ANALITIKA EU PROJEKATA'!$A$3:$A$499,"=573",'ANALITIKA EU PROJEKATA'!$P$3:$P$499,"=512")</f>
        <v>0</v>
      </c>
      <c r="Q60" s="147">
        <f>SUMIFS('Plan rashoda za unos u SAP'!$I$3:$I$480,'Plan rashoda za unos u SAP'!$C$3:$C$480,"=575",'Plan rashoda za unos u SAP'!$M$3:$M$480,"=512")+SUMIFS('ANALITIKA EU PROJEKATA'!$G$3:$G$499,'ANALITIKA EU PROJEKATA'!$A$3:$A$499,"=575",'ANALITIKA EU PROJEKATA'!$P$3:$P$499,"=512")</f>
        <v>0</v>
      </c>
      <c r="R60" s="147">
        <f>SUMIFS('Plan rashoda za unos u SAP'!$I$3:$I$480,'Plan rashoda za unos u SAP'!$C$3:$C$480,"=576",'Plan rashoda za unos u SAP'!$M$3:$M$480,"=512")+SUMIFS('ANALITIKA EU PROJEKATA'!$G$3:$G$499,'ANALITIKA EU PROJEKATA'!$A$3:$A$499,"=576",'ANALITIKA EU PROJEKATA'!$P$3:$P$499,"=512")</f>
        <v>0</v>
      </c>
      <c r="S60" s="147">
        <f>SUMIFS('Plan rashoda za unos u SAP'!$I$3:$I$480,'Plan rashoda za unos u SAP'!$C$3:$C$480,"=581",'Plan rashoda za unos u SAP'!$M$3:$M$480,"=512")+SUMIFS('ANALITIKA EU PROJEKATA'!$G$3:$G$499,'ANALITIKA EU PROJEKATA'!$A$3:$A$499,"=581",'ANALITIKA EU PROJEKATA'!$P$3:$P$499,"=512")</f>
        <v>0</v>
      </c>
      <c r="T60" s="147">
        <f>SUMIFS('Plan rashoda za unos u SAP'!$I$3:$I$480,'Plan rashoda za unos u SAP'!$C$3:$C$480,"=61",'Plan rashoda za unos u SAP'!$M$3:$M$480,"=512")+SUMIFS('ANALITIKA EU PROJEKATA'!$G$3:$G$499,'ANALITIKA EU PROJEKATA'!$A$3:$A$499,"=61",'ANALITIKA EU PROJEKATA'!$P$3:$P$499,"=512")</f>
        <v>0</v>
      </c>
      <c r="U60" s="147">
        <f>SUMIFS('Plan rashoda za unos u SAP'!$I$3:$I$480,'Plan rashoda za unos u SAP'!$C$3:$C$480,"=63",'Plan rashoda za unos u SAP'!$M$3:$M$480,"=512")+SUMIFS('ANALITIKA EU PROJEKATA'!$G$3:$G$499,'ANALITIKA EU PROJEKATA'!$A$3:$A$499,"=63",'ANALITIKA EU PROJEKATA'!$P$3:$P$499,"=512")</f>
        <v>0</v>
      </c>
      <c r="V60" s="147">
        <f>SUMIFS('Plan rashoda za unos u SAP'!$I$3:$I$480,'Plan rashoda za unos u SAP'!$C$3:$C$480,"=71",'Plan rashoda za unos u SAP'!$M$3:$M$480,"=512")+SUMIFS('ANALITIKA EU PROJEKATA'!$G$3:$G$499,'ANALITIKA EU PROJEKATA'!$A$3:$A$499,"=71",'ANALITIKA EU PROJEKATA'!$P$3:$P$499,"=512")</f>
        <v>0</v>
      </c>
      <c r="W60" s="147">
        <f>SUMIFS('Plan rashoda za unos u SAP'!$I$3:$I$480,'Plan rashoda za unos u SAP'!$C$3:$C$480,"=81",'Plan rashoda za unos u SAP'!$M$3:$M$480,"=512")+SUMIFS('ANALITIKA EU PROJEKATA'!$G$3:$G$499,'ANALITIKA EU PROJEKATA'!$A$3:$A$499,"=81",'ANALITIKA EU PROJEKATA'!$P$3:$P$499,"=512")</f>
        <v>0</v>
      </c>
      <c r="X60" s="129"/>
      <c r="Y60" s="129"/>
      <c r="Z60" s="129"/>
      <c r="AA60" s="129"/>
      <c r="AB60" s="129"/>
      <c r="AC60" s="129"/>
      <c r="AD60" s="129"/>
      <c r="AE60" s="129"/>
      <c r="AF60" s="129"/>
      <c r="AG60" s="129"/>
      <c r="AH60" s="129"/>
      <c r="AI60" s="129"/>
      <c r="AJ60" s="129"/>
      <c r="AK60" s="129"/>
      <c r="AL60" s="129"/>
      <c r="AM60" s="129"/>
      <c r="AN60" s="129"/>
      <c r="AO60" s="129"/>
      <c r="AP60" s="129"/>
      <c r="AQ60" s="129"/>
    </row>
    <row r="61" spans="1:43" ht="12" customHeight="1">
      <c r="A61" s="131">
        <v>2021</v>
      </c>
      <c r="B61" s="159">
        <v>514</v>
      </c>
      <c r="C61" s="145" t="s">
        <v>3475</v>
      </c>
      <c r="D61" s="142">
        <f t="shared" si="0"/>
        <v>0</v>
      </c>
      <c r="E61" s="147">
        <f>SUMIFS('Plan rashoda za unos u SAP'!$I$3:$I$480,'Plan rashoda za unos u SAP'!$C$3:$C$480,"=11",'Plan rashoda za unos u SAP'!$M$3:$M$480,"=514")+SUMIFS('ANALITIKA EU PROJEKATA'!$G$3:$G$499,'ANALITIKA EU PROJEKATA'!$A$3:$A$499,"=11",'ANALITIKA EU PROJEKATA'!$P$3:$P$499,"=514")</f>
        <v>0</v>
      </c>
      <c r="F61" s="147">
        <f>SUMIFS('Plan rashoda za unos u SAP'!$I$3:$I$480,'Plan rashoda za unos u SAP'!$C$3:$C$480,"=12",'Plan rashoda za unos u SAP'!$M$3:$M$480,"=514")+SUMIFS('ANALITIKA EU PROJEKATA'!$G$3:$G$499,'ANALITIKA EU PROJEKATA'!$A$3:$A$499,"=12",'ANALITIKA EU PROJEKATA'!$P$3:$P$499,"=514")</f>
        <v>0</v>
      </c>
      <c r="G61" s="147">
        <f>SUMIFS('Plan rashoda za unos u SAP'!$I$3:$I$480,'Plan rashoda za unos u SAP'!$C$3:$C$480,"=31",'Plan rashoda za unos u SAP'!$M$3:$M$480,"=514")+SUMIFS('ANALITIKA EU PROJEKATA'!$G$3:$G$499,'ANALITIKA EU PROJEKATA'!$A$3:$A$499,"=31",'ANALITIKA EU PROJEKATA'!$P$3:$P$499,"=514")</f>
        <v>0</v>
      </c>
      <c r="H61" s="147">
        <f>SUMIFS('Plan rashoda za unos u SAP'!$I$3:$I$480,'Plan rashoda za unos u SAP'!$C$3:$C$480,"=41",'Plan rashoda za unos u SAP'!$M$3:$M$480,"=514")+SUMIFS('ANALITIKA EU PROJEKATA'!$G$3:$G$499,'ANALITIKA EU PROJEKATA'!$A$3:$A$499,"=41",'ANALITIKA EU PROJEKATA'!$P$3:$P$499,"=514")</f>
        <v>0</v>
      </c>
      <c r="I61" s="147">
        <f>SUMIFS('Plan rashoda za unos u SAP'!$I$3:$I$480,'Plan rashoda za unos u SAP'!$C$3:$C$480,"=43",'Plan rashoda za unos u SAP'!$M$3:$M$480,"=514")+SUMIFS('ANALITIKA EU PROJEKATA'!$G$3:$G$499,'ANALITIKA EU PROJEKATA'!$A$3:$A$499,"=43",'ANALITIKA EU PROJEKATA'!$P$3:$P$499,"=514")</f>
        <v>0</v>
      </c>
      <c r="J61" s="147">
        <f>SUMIFS('Plan rashoda za unos u SAP'!$I$3:$I$480,'Plan rashoda za unos u SAP'!$C$3:$C$480,"=51",'Plan rashoda za unos u SAP'!$M$3:$M$480,"=514")+SUMIFS('ANALITIKA EU PROJEKATA'!$G$3:$G$499,'ANALITIKA EU PROJEKATA'!$A$3:$A$499,"=51",'ANALITIKA EU PROJEKATA'!$P$3:$P$499,"=514")</f>
        <v>0</v>
      </c>
      <c r="K61" s="147">
        <f>SUMIFS('Plan rashoda za unos u SAP'!$I$3:$I$480,'Plan rashoda za unos u SAP'!$C$3:$C$480,"=52",'Plan rashoda za unos u SAP'!$M$3:$M$480,"=514")+SUMIFS('ANALITIKA EU PROJEKATA'!$G$3:$G$499,'ANALITIKA EU PROJEKATA'!$A$3:$A$499,"=52",'ANALITIKA EU PROJEKATA'!$P$3:$P$499,"=514")</f>
        <v>0</v>
      </c>
      <c r="L61" s="147">
        <f>SUMIFS('Plan rashoda za unos u SAP'!$I$3:$I$480,'Plan rashoda za unos u SAP'!$C$3:$C$480,"=552",'Plan rashoda za unos u SAP'!$M$3:$M$480,"=514")+SUMIFS('ANALITIKA EU PROJEKATA'!$G$3:$G$499,'ANALITIKA EU PROJEKATA'!$A$3:$A$499,"=552",'ANALITIKA EU PROJEKATA'!$P$3:$P$499,"=514")</f>
        <v>0</v>
      </c>
      <c r="M61" s="147">
        <f>SUMIFS('Plan rashoda za unos u SAP'!$I$3:$I$480,'Plan rashoda za unos u SAP'!$C$3:$C$480,"=559",'Plan rashoda za unos u SAP'!$M$3:$M$480,"=514")+SUMIFS('ANALITIKA EU PROJEKATA'!$G$3:$G$499,'ANALITIKA EU PROJEKATA'!$A$3:$A$499,"=559",'ANALITIKA EU PROJEKATA'!$P$3:$P$499,"=514")</f>
        <v>0</v>
      </c>
      <c r="N61" s="147">
        <f>SUMIFS('Plan rashoda za unos u SAP'!$I$3:$I$480,'Plan rashoda za unos u SAP'!$C$3:$C$480,"=561",'Plan rashoda za unos u SAP'!$M$3:$M$480,"=514")+SUMIFS('ANALITIKA EU PROJEKATA'!$G$3:$G$499,'ANALITIKA EU PROJEKATA'!$A$3:$A$499,"=561",'ANALITIKA EU PROJEKATA'!$P$3:$P$499,"=514")</f>
        <v>0</v>
      </c>
      <c r="O61" s="147">
        <f>SUMIFS('Plan rashoda za unos u SAP'!$I$3:$I$480,'Plan rashoda za unos u SAP'!$C$3:$C$480,"=563",'Plan rashoda za unos u SAP'!$M$3:$M$480,"=514")+SUMIFS('ANALITIKA EU PROJEKATA'!$G$3:$G$499,'ANALITIKA EU PROJEKATA'!$A$3:$A$499,"=563",'ANALITIKA EU PROJEKATA'!$P$3:$P$499,"=514")</f>
        <v>0</v>
      </c>
      <c r="P61" s="147">
        <f>SUMIFS('Plan rashoda za unos u SAP'!$I$3:$I$480,'Plan rashoda za unos u SAP'!$C$3:$C$480,"=573",'Plan rashoda za unos u SAP'!$M$3:$M$480,"=514")+SUMIFS('ANALITIKA EU PROJEKATA'!$G$3:$G$499,'ANALITIKA EU PROJEKATA'!$A$3:$A$499,"=573",'ANALITIKA EU PROJEKATA'!$P$3:$P$499,"=514")</f>
        <v>0</v>
      </c>
      <c r="Q61" s="147">
        <f>SUMIFS('Plan rashoda za unos u SAP'!$I$3:$I$480,'Plan rashoda za unos u SAP'!$C$3:$C$480,"=575",'Plan rashoda za unos u SAP'!$M$3:$M$480,"=514")+SUMIFS('ANALITIKA EU PROJEKATA'!$G$3:$G$499,'ANALITIKA EU PROJEKATA'!$A$3:$A$499,"=575",'ANALITIKA EU PROJEKATA'!$P$3:$P$499,"=514")</f>
        <v>0</v>
      </c>
      <c r="R61" s="147">
        <f>SUMIFS('Plan rashoda za unos u SAP'!$I$3:$I$480,'Plan rashoda za unos u SAP'!$C$3:$C$480,"=576",'Plan rashoda za unos u SAP'!$M$3:$M$480,"=514")+SUMIFS('ANALITIKA EU PROJEKATA'!$G$3:$G$499,'ANALITIKA EU PROJEKATA'!$A$3:$A$499,"=576",'ANALITIKA EU PROJEKATA'!$P$3:$P$499,"=514")</f>
        <v>0</v>
      </c>
      <c r="S61" s="147">
        <f>SUMIFS('Plan rashoda za unos u SAP'!$I$3:$I$480,'Plan rashoda za unos u SAP'!$C$3:$C$480,"=581",'Plan rashoda za unos u SAP'!$M$3:$M$480,"=514")+SUMIFS('ANALITIKA EU PROJEKATA'!$G$3:$G$499,'ANALITIKA EU PROJEKATA'!$A$3:$A$499,"=581",'ANALITIKA EU PROJEKATA'!$P$3:$P$499,"=514")</f>
        <v>0</v>
      </c>
      <c r="T61" s="147">
        <f>SUMIFS('Plan rashoda za unos u SAP'!$I$3:$I$480,'Plan rashoda za unos u SAP'!$C$3:$C$480,"=61",'Plan rashoda za unos u SAP'!$M$3:$M$480,"=514")+SUMIFS('ANALITIKA EU PROJEKATA'!$G$3:$G$499,'ANALITIKA EU PROJEKATA'!$A$3:$A$499,"=61",'ANALITIKA EU PROJEKATA'!$P$3:$P$499,"=514")</f>
        <v>0</v>
      </c>
      <c r="U61" s="147">
        <f>SUMIFS('Plan rashoda za unos u SAP'!$I$3:$I$480,'Plan rashoda za unos u SAP'!$C$3:$C$480,"=63",'Plan rashoda za unos u SAP'!$M$3:$M$480,"=514")+SUMIFS('ANALITIKA EU PROJEKATA'!$G$3:$G$499,'ANALITIKA EU PROJEKATA'!$A$3:$A$499,"=63",'ANALITIKA EU PROJEKATA'!$P$3:$P$499,"=514")</f>
        <v>0</v>
      </c>
      <c r="V61" s="147">
        <f>SUMIFS('Plan rashoda za unos u SAP'!$I$3:$I$480,'Plan rashoda za unos u SAP'!$C$3:$C$480,"=71",'Plan rashoda za unos u SAP'!$M$3:$M$480,"=514")+SUMIFS('ANALITIKA EU PROJEKATA'!$G$3:$G$499,'ANALITIKA EU PROJEKATA'!$A$3:$A$499,"=71",'ANALITIKA EU PROJEKATA'!$P$3:$P$499,"=514")</f>
        <v>0</v>
      </c>
      <c r="W61" s="147">
        <f>SUMIFS('Plan rashoda za unos u SAP'!$I$3:$I$480,'Plan rashoda za unos u SAP'!$C$3:$C$480,"=81",'Plan rashoda za unos u SAP'!$M$3:$M$480,"=514")+SUMIFS('ANALITIKA EU PROJEKATA'!$G$3:$G$499,'ANALITIKA EU PROJEKATA'!$A$3:$A$499,"=81",'ANALITIKA EU PROJEKATA'!$P$3:$P$499,"=514")</f>
        <v>0</v>
      </c>
      <c r="X61" s="129"/>
      <c r="Y61" s="129"/>
      <c r="Z61" s="129"/>
      <c r="AA61" s="129"/>
      <c r="AB61" s="129"/>
      <c r="AC61" s="129"/>
      <c r="AD61" s="129"/>
      <c r="AE61" s="129"/>
      <c r="AF61" s="129"/>
      <c r="AG61" s="129"/>
      <c r="AH61" s="129"/>
      <c r="AI61" s="129"/>
      <c r="AJ61" s="129"/>
      <c r="AK61" s="129"/>
      <c r="AL61" s="129"/>
      <c r="AM61" s="129"/>
      <c r="AN61" s="129"/>
      <c r="AO61" s="129"/>
      <c r="AP61" s="129"/>
      <c r="AQ61" s="129"/>
    </row>
    <row r="62" spans="1:43" ht="12" customHeight="1">
      <c r="A62" s="131">
        <v>2021</v>
      </c>
      <c r="B62" s="159">
        <v>518</v>
      </c>
      <c r="C62" s="145" t="s">
        <v>3476</v>
      </c>
      <c r="D62" s="142">
        <f t="shared" si="0"/>
        <v>0</v>
      </c>
      <c r="E62" s="147">
        <f>SUMIFS('Plan rashoda za unos u SAP'!$I$3:$I$480,'Plan rashoda za unos u SAP'!$C$3:$C$480,"=11",'Plan rashoda za unos u SAP'!$M$3:$M$480,"=518")+SUMIFS('ANALITIKA EU PROJEKATA'!$G$3:$G$499,'ANALITIKA EU PROJEKATA'!$A$3:$A$499,"=11",'ANALITIKA EU PROJEKATA'!$P$3:$P$499,"=518")</f>
        <v>0</v>
      </c>
      <c r="F62" s="147">
        <f>SUMIFS('Plan rashoda za unos u SAP'!$I$3:$I$480,'Plan rashoda za unos u SAP'!$C$3:$C$480,"=12",'Plan rashoda za unos u SAP'!$M$3:$M$480,"=518")+SUMIFS('ANALITIKA EU PROJEKATA'!$G$3:$G$499,'ANALITIKA EU PROJEKATA'!$A$3:$A$499,"=12",'ANALITIKA EU PROJEKATA'!$P$3:$P$499,"=518")</f>
        <v>0</v>
      </c>
      <c r="G62" s="147">
        <f>SUMIFS('Plan rashoda za unos u SAP'!$I$3:$I$480,'Plan rashoda za unos u SAP'!$C$3:$C$480,"=31",'Plan rashoda za unos u SAP'!$M$3:$M$480,"=518")+SUMIFS('ANALITIKA EU PROJEKATA'!$G$3:$G$499,'ANALITIKA EU PROJEKATA'!$A$3:$A$499,"=31",'ANALITIKA EU PROJEKATA'!$P$3:$P$499,"=518")</f>
        <v>0</v>
      </c>
      <c r="H62" s="147">
        <f>SUMIFS('Plan rashoda za unos u SAP'!$I$3:$I$480,'Plan rashoda za unos u SAP'!$C$3:$C$480,"=41",'Plan rashoda za unos u SAP'!$M$3:$M$480,"=518")+SUMIFS('ANALITIKA EU PROJEKATA'!$G$3:$G$499,'ANALITIKA EU PROJEKATA'!$A$3:$A$499,"=41",'ANALITIKA EU PROJEKATA'!$P$3:$P$499,"=518")</f>
        <v>0</v>
      </c>
      <c r="I62" s="147">
        <f>SUMIFS('Plan rashoda za unos u SAP'!$I$3:$I$480,'Plan rashoda za unos u SAP'!$C$3:$C$480,"=43",'Plan rashoda za unos u SAP'!$M$3:$M$480,"=518")+SUMIFS('ANALITIKA EU PROJEKATA'!$G$3:$G$499,'ANALITIKA EU PROJEKATA'!$A$3:$A$499,"=43",'ANALITIKA EU PROJEKATA'!$P$3:$P$499,"=518")</f>
        <v>0</v>
      </c>
      <c r="J62" s="147">
        <f>SUMIFS('Plan rashoda za unos u SAP'!$I$3:$I$480,'Plan rashoda za unos u SAP'!$C$3:$C$480,"=51",'Plan rashoda za unos u SAP'!$M$3:$M$480,"=518")+SUMIFS('ANALITIKA EU PROJEKATA'!$G$3:$G$499,'ANALITIKA EU PROJEKATA'!$A$3:$A$499,"=51",'ANALITIKA EU PROJEKATA'!$P$3:$P$499,"=518")</f>
        <v>0</v>
      </c>
      <c r="K62" s="147">
        <f>SUMIFS('Plan rashoda za unos u SAP'!$I$3:$I$480,'Plan rashoda za unos u SAP'!$C$3:$C$480,"=52",'Plan rashoda za unos u SAP'!$M$3:$M$480,"=518")+SUMIFS('ANALITIKA EU PROJEKATA'!$G$3:$G$499,'ANALITIKA EU PROJEKATA'!$A$3:$A$499,"=52",'ANALITIKA EU PROJEKATA'!$P$3:$P$499,"=518")</f>
        <v>0</v>
      </c>
      <c r="L62" s="147">
        <f>SUMIFS('Plan rashoda za unos u SAP'!$I$3:$I$480,'Plan rashoda za unos u SAP'!$C$3:$C$480,"=552",'Plan rashoda za unos u SAP'!$M$3:$M$480,"=518")+SUMIFS('ANALITIKA EU PROJEKATA'!$G$3:$G$499,'ANALITIKA EU PROJEKATA'!$A$3:$A$499,"=552",'ANALITIKA EU PROJEKATA'!$P$3:$P$499,"=518")</f>
        <v>0</v>
      </c>
      <c r="M62" s="147">
        <f>SUMIFS('Plan rashoda za unos u SAP'!$I$3:$I$480,'Plan rashoda za unos u SAP'!$C$3:$C$480,"=559",'Plan rashoda za unos u SAP'!$M$3:$M$480,"=518")+SUMIFS('ANALITIKA EU PROJEKATA'!$G$3:$G$499,'ANALITIKA EU PROJEKATA'!$A$3:$A$499,"=559",'ANALITIKA EU PROJEKATA'!$P$3:$P$499,"=518")</f>
        <v>0</v>
      </c>
      <c r="N62" s="147">
        <f>SUMIFS('Plan rashoda za unos u SAP'!$I$3:$I$480,'Plan rashoda za unos u SAP'!$C$3:$C$480,"=561",'Plan rashoda za unos u SAP'!$M$3:$M$480,"=518")+SUMIFS('ANALITIKA EU PROJEKATA'!$G$3:$G$499,'ANALITIKA EU PROJEKATA'!$A$3:$A$499,"=561",'ANALITIKA EU PROJEKATA'!$P$3:$P$499,"=518")</f>
        <v>0</v>
      </c>
      <c r="O62" s="147">
        <f>SUMIFS('Plan rashoda za unos u SAP'!$I$3:$I$480,'Plan rashoda za unos u SAP'!$C$3:$C$480,"=563",'Plan rashoda za unos u SAP'!$M$3:$M$480,"=518")+SUMIFS('ANALITIKA EU PROJEKATA'!$G$3:$G$499,'ANALITIKA EU PROJEKATA'!$A$3:$A$499,"=563",'ANALITIKA EU PROJEKATA'!$P$3:$P$499,"=518")</f>
        <v>0</v>
      </c>
      <c r="P62" s="147">
        <f>SUMIFS('Plan rashoda za unos u SAP'!$I$3:$I$480,'Plan rashoda za unos u SAP'!$C$3:$C$480,"=573",'Plan rashoda za unos u SAP'!$M$3:$M$480,"=518")+SUMIFS('ANALITIKA EU PROJEKATA'!$G$3:$G$499,'ANALITIKA EU PROJEKATA'!$A$3:$A$499,"=573",'ANALITIKA EU PROJEKATA'!$P$3:$P$499,"=518")</f>
        <v>0</v>
      </c>
      <c r="Q62" s="147">
        <f>SUMIFS('Plan rashoda za unos u SAP'!$I$3:$I$480,'Plan rashoda za unos u SAP'!$C$3:$C$480,"=575",'Plan rashoda za unos u SAP'!$M$3:$M$480,"=518")+SUMIFS('ANALITIKA EU PROJEKATA'!$G$3:$G$499,'ANALITIKA EU PROJEKATA'!$A$3:$A$499,"=575",'ANALITIKA EU PROJEKATA'!$P$3:$P$499,"=518")</f>
        <v>0</v>
      </c>
      <c r="R62" s="147">
        <f>SUMIFS('Plan rashoda za unos u SAP'!$I$3:$I$480,'Plan rashoda za unos u SAP'!$C$3:$C$480,"=576",'Plan rashoda za unos u SAP'!$M$3:$M$480,"=518")+SUMIFS('ANALITIKA EU PROJEKATA'!$G$3:$G$499,'ANALITIKA EU PROJEKATA'!$A$3:$A$499,"=576",'ANALITIKA EU PROJEKATA'!$P$3:$P$499,"=518")</f>
        <v>0</v>
      </c>
      <c r="S62" s="147">
        <f>SUMIFS('Plan rashoda za unos u SAP'!$I$3:$I$480,'Plan rashoda za unos u SAP'!$C$3:$C$480,"=581",'Plan rashoda za unos u SAP'!$M$3:$M$480,"=518")+SUMIFS('ANALITIKA EU PROJEKATA'!$G$3:$G$499,'ANALITIKA EU PROJEKATA'!$A$3:$A$499,"=581",'ANALITIKA EU PROJEKATA'!$P$3:$P$499,"=518")</f>
        <v>0</v>
      </c>
      <c r="T62" s="147">
        <f>SUMIFS('Plan rashoda za unos u SAP'!$I$3:$I$480,'Plan rashoda za unos u SAP'!$C$3:$C$480,"=61",'Plan rashoda za unos u SAP'!$M$3:$M$480,"=518")+SUMIFS('ANALITIKA EU PROJEKATA'!$G$3:$G$499,'ANALITIKA EU PROJEKATA'!$A$3:$A$499,"=61",'ANALITIKA EU PROJEKATA'!$P$3:$P$499,"=518")</f>
        <v>0</v>
      </c>
      <c r="U62" s="147">
        <f>SUMIFS('Plan rashoda za unos u SAP'!$I$3:$I$480,'Plan rashoda za unos u SAP'!$C$3:$C$480,"=63",'Plan rashoda za unos u SAP'!$M$3:$M$480,"=518")+SUMIFS('ANALITIKA EU PROJEKATA'!$G$3:$G$499,'ANALITIKA EU PROJEKATA'!$A$3:$A$499,"=63",'ANALITIKA EU PROJEKATA'!$P$3:$P$499,"=518")</f>
        <v>0</v>
      </c>
      <c r="V62" s="147">
        <f>SUMIFS('Plan rashoda za unos u SAP'!$I$3:$I$480,'Plan rashoda za unos u SAP'!$C$3:$C$480,"=71",'Plan rashoda za unos u SAP'!$M$3:$M$480,"=518")+SUMIFS('ANALITIKA EU PROJEKATA'!$G$3:$G$499,'ANALITIKA EU PROJEKATA'!$A$3:$A$499,"=71",'ANALITIKA EU PROJEKATA'!$P$3:$P$499,"=518")</f>
        <v>0</v>
      </c>
      <c r="W62" s="147">
        <f>SUMIFS('Plan rashoda za unos u SAP'!$I$3:$I$480,'Plan rashoda za unos u SAP'!$C$3:$C$480,"=81",'Plan rashoda za unos u SAP'!$M$3:$M$480,"=518")+SUMIFS('ANALITIKA EU PROJEKATA'!$G$3:$G$499,'ANALITIKA EU PROJEKATA'!$A$3:$A$499,"=81",'ANALITIKA EU PROJEKATA'!$P$3:$P$499,"=518")</f>
        <v>0</v>
      </c>
      <c r="X62" s="129"/>
      <c r="Y62" s="129"/>
      <c r="Z62" s="129"/>
      <c r="AA62" s="129"/>
      <c r="AB62" s="129"/>
      <c r="AC62" s="129"/>
      <c r="AD62" s="129"/>
      <c r="AE62" s="129"/>
      <c r="AF62" s="129"/>
      <c r="AG62" s="129"/>
      <c r="AH62" s="129"/>
      <c r="AI62" s="129"/>
      <c r="AJ62" s="129"/>
      <c r="AK62" s="129"/>
      <c r="AL62" s="129"/>
      <c r="AM62" s="129"/>
      <c r="AN62" s="129"/>
      <c r="AO62" s="129"/>
      <c r="AP62" s="129"/>
      <c r="AQ62" s="129"/>
    </row>
    <row r="63" spans="1:43" ht="12" customHeight="1">
      <c r="A63" s="131">
        <v>2021</v>
      </c>
      <c r="B63" s="140">
        <v>54</v>
      </c>
      <c r="C63" s="141" t="s">
        <v>3477</v>
      </c>
      <c r="D63" s="142">
        <f t="shared" si="0"/>
        <v>0</v>
      </c>
      <c r="E63" s="143">
        <f t="shared" ref="E63:W63" si="18">SUM(E64:E68)</f>
        <v>0</v>
      </c>
      <c r="F63" s="143">
        <f t="shared" si="18"/>
        <v>0</v>
      </c>
      <c r="G63" s="143">
        <f t="shared" si="18"/>
        <v>0</v>
      </c>
      <c r="H63" s="143">
        <f t="shared" si="18"/>
        <v>0</v>
      </c>
      <c r="I63" s="143">
        <f t="shared" si="18"/>
        <v>0</v>
      </c>
      <c r="J63" s="143">
        <f t="shared" si="18"/>
        <v>0</v>
      </c>
      <c r="K63" s="143">
        <f t="shared" si="18"/>
        <v>0</v>
      </c>
      <c r="L63" s="143">
        <f t="shared" si="18"/>
        <v>0</v>
      </c>
      <c r="M63" s="143">
        <f t="shared" si="18"/>
        <v>0</v>
      </c>
      <c r="N63" s="143">
        <f t="shared" si="18"/>
        <v>0</v>
      </c>
      <c r="O63" s="143">
        <f t="shared" si="18"/>
        <v>0</v>
      </c>
      <c r="P63" s="143">
        <f t="shared" si="18"/>
        <v>0</v>
      </c>
      <c r="Q63" s="143">
        <f t="shared" si="18"/>
        <v>0</v>
      </c>
      <c r="R63" s="143">
        <f t="shared" si="18"/>
        <v>0</v>
      </c>
      <c r="S63" s="143">
        <f t="shared" si="18"/>
        <v>0</v>
      </c>
      <c r="T63" s="143">
        <f t="shared" si="18"/>
        <v>0</v>
      </c>
      <c r="U63" s="143">
        <f t="shared" si="18"/>
        <v>0</v>
      </c>
      <c r="V63" s="143">
        <f t="shared" si="18"/>
        <v>0</v>
      </c>
      <c r="W63" s="143">
        <f t="shared" si="18"/>
        <v>0</v>
      </c>
      <c r="X63" s="144"/>
      <c r="Y63" s="144"/>
      <c r="Z63" s="144"/>
      <c r="AA63" s="144"/>
      <c r="AB63" s="144"/>
      <c r="AC63" s="144"/>
      <c r="AD63" s="144"/>
      <c r="AE63" s="144"/>
      <c r="AF63" s="144"/>
      <c r="AG63" s="144"/>
      <c r="AH63" s="144"/>
      <c r="AI63" s="144"/>
      <c r="AJ63" s="144"/>
      <c r="AK63" s="144"/>
      <c r="AL63" s="144"/>
      <c r="AM63" s="144"/>
      <c r="AN63" s="144"/>
      <c r="AO63" s="144"/>
      <c r="AP63" s="144"/>
      <c r="AQ63" s="144"/>
    </row>
    <row r="64" spans="1:43" ht="12" customHeight="1">
      <c r="A64" s="131">
        <v>2021</v>
      </c>
      <c r="B64" s="148">
        <v>542</v>
      </c>
      <c r="C64" s="149" t="s">
        <v>3478</v>
      </c>
      <c r="D64" s="142">
        <f t="shared" si="0"/>
        <v>0</v>
      </c>
      <c r="E64" s="147">
        <f>SUMIFS('Plan rashoda za unos u SAP'!$I$3:$I$480,'Plan rashoda za unos u SAP'!$C$3:$C$480,"=11",'Plan rashoda za unos u SAP'!$M$3:$M$480,"=542")+SUMIFS('ANALITIKA EU PROJEKATA'!$G$3:$G$499,'ANALITIKA EU PROJEKATA'!$A$3:$A$499,"=11",'ANALITIKA EU PROJEKATA'!$P$3:$P$499,"=542")</f>
        <v>0</v>
      </c>
      <c r="F64" s="147">
        <f>SUMIFS('Plan rashoda za unos u SAP'!$I$3:$I$480,'Plan rashoda za unos u SAP'!$C$3:$C$480,"=12",'Plan rashoda za unos u SAP'!$M$3:$M$480,"=542")+SUMIFS('ANALITIKA EU PROJEKATA'!$G$3:$G$499,'ANALITIKA EU PROJEKATA'!$A$3:$A$499,"=12",'ANALITIKA EU PROJEKATA'!$P$3:$P$499,"=542")</f>
        <v>0</v>
      </c>
      <c r="G64" s="147">
        <f>SUMIFS('Plan rashoda za unos u SAP'!$I$3:$I$480,'Plan rashoda za unos u SAP'!$C$3:$C$480,"=31",'Plan rashoda za unos u SAP'!$M$3:$M$480,"=542")+SUMIFS('ANALITIKA EU PROJEKATA'!$G$3:$G$499,'ANALITIKA EU PROJEKATA'!$A$3:$A$499,"=31",'ANALITIKA EU PROJEKATA'!$P$3:$P$499,"=542")</f>
        <v>0</v>
      </c>
      <c r="H64" s="147">
        <f>SUMIFS('Plan rashoda za unos u SAP'!$I$3:$I$480,'Plan rashoda za unos u SAP'!$C$3:$C$480,"=41",'Plan rashoda za unos u SAP'!$M$3:$M$480,"=542")+SUMIFS('ANALITIKA EU PROJEKATA'!$G$3:$G$499,'ANALITIKA EU PROJEKATA'!$A$3:$A$499,"=41",'ANALITIKA EU PROJEKATA'!$P$3:$P$499,"=542")</f>
        <v>0</v>
      </c>
      <c r="I64" s="147">
        <f>SUMIFS('Plan rashoda za unos u SAP'!$I$3:$I$480,'Plan rashoda za unos u SAP'!$C$3:$C$480,"=43",'Plan rashoda za unos u SAP'!$M$3:$M$480,"=542")+SUMIFS('ANALITIKA EU PROJEKATA'!$G$3:$G$499,'ANALITIKA EU PROJEKATA'!$A$3:$A$499,"=43",'ANALITIKA EU PROJEKATA'!$P$3:$P$499,"=542")</f>
        <v>0</v>
      </c>
      <c r="J64" s="147">
        <f>SUMIFS('Plan rashoda za unos u SAP'!$I$3:$I$480,'Plan rashoda za unos u SAP'!$C$3:$C$480,"=51",'Plan rashoda za unos u SAP'!$M$3:$M$480,"=542")+SUMIFS('ANALITIKA EU PROJEKATA'!$G$3:$G$499,'ANALITIKA EU PROJEKATA'!$A$3:$A$499,"=51",'ANALITIKA EU PROJEKATA'!$P$3:$P$499,"=542")</f>
        <v>0</v>
      </c>
      <c r="K64" s="147">
        <f>SUMIFS('Plan rashoda za unos u SAP'!$I$3:$I$480,'Plan rashoda za unos u SAP'!$C$3:$C$480,"=52",'Plan rashoda za unos u SAP'!$M$3:$M$480,"=542")+SUMIFS('ANALITIKA EU PROJEKATA'!$G$3:$G$499,'ANALITIKA EU PROJEKATA'!$A$3:$A$499,"=52",'ANALITIKA EU PROJEKATA'!$P$3:$P$499,"=542")</f>
        <v>0</v>
      </c>
      <c r="L64" s="147">
        <f>SUMIFS('Plan rashoda za unos u SAP'!$I$3:$I$480,'Plan rashoda za unos u SAP'!$C$3:$C$480,"=552",'Plan rashoda za unos u SAP'!$M$3:$M$480,"=542")+SUMIFS('ANALITIKA EU PROJEKATA'!$G$3:$G$499,'ANALITIKA EU PROJEKATA'!$A$3:$A$499,"=552",'ANALITIKA EU PROJEKATA'!$P$3:$P$499,"=542")</f>
        <v>0</v>
      </c>
      <c r="M64" s="147">
        <f>SUMIFS('Plan rashoda za unos u SAP'!$I$3:$I$480,'Plan rashoda za unos u SAP'!$C$3:$C$480,"=559",'Plan rashoda za unos u SAP'!$M$3:$M$480,"=542")+SUMIFS('ANALITIKA EU PROJEKATA'!$G$3:$G$499,'ANALITIKA EU PROJEKATA'!$A$3:$A$499,"=559",'ANALITIKA EU PROJEKATA'!$P$3:$P$499,"=542")</f>
        <v>0</v>
      </c>
      <c r="N64" s="147">
        <f>SUMIFS('Plan rashoda za unos u SAP'!$I$3:$I$480,'Plan rashoda za unos u SAP'!$C$3:$C$480,"=561",'Plan rashoda za unos u SAP'!$M$3:$M$480,"=542")+SUMIFS('ANALITIKA EU PROJEKATA'!$G$3:$G$499,'ANALITIKA EU PROJEKATA'!$A$3:$A$499,"=561",'ANALITIKA EU PROJEKATA'!$P$3:$P$499,"=542")</f>
        <v>0</v>
      </c>
      <c r="O64" s="147">
        <f>SUMIFS('Plan rashoda za unos u SAP'!$I$3:$I$480,'Plan rashoda za unos u SAP'!$C$3:$C$480,"=563",'Plan rashoda za unos u SAP'!$M$3:$M$480,"=542")+SUMIFS('ANALITIKA EU PROJEKATA'!$G$3:$G$499,'ANALITIKA EU PROJEKATA'!$A$3:$A$499,"=563",'ANALITIKA EU PROJEKATA'!$P$3:$P$499,"=542")</f>
        <v>0</v>
      </c>
      <c r="P64" s="147">
        <f>SUMIFS('Plan rashoda za unos u SAP'!$I$3:$I$480,'Plan rashoda za unos u SAP'!$C$3:$C$480,"=573",'Plan rashoda za unos u SAP'!$M$3:$M$480,"=542")+SUMIFS('ANALITIKA EU PROJEKATA'!$G$3:$G$499,'ANALITIKA EU PROJEKATA'!$A$3:$A$499,"=573",'ANALITIKA EU PROJEKATA'!$P$3:$P$499,"=542")</f>
        <v>0</v>
      </c>
      <c r="Q64" s="147">
        <f>SUMIFS('Plan rashoda za unos u SAP'!$I$3:$I$480,'Plan rashoda za unos u SAP'!$C$3:$C$480,"=575",'Plan rashoda za unos u SAP'!$M$3:$M$480,"=542")+SUMIFS('ANALITIKA EU PROJEKATA'!$G$3:$G$499,'ANALITIKA EU PROJEKATA'!$A$3:$A$499,"=575",'ANALITIKA EU PROJEKATA'!$P$3:$P$499,"=542")</f>
        <v>0</v>
      </c>
      <c r="R64" s="147">
        <f>SUMIFS('Plan rashoda za unos u SAP'!$I$3:$I$480,'Plan rashoda za unos u SAP'!$C$3:$C$480,"=576",'Plan rashoda za unos u SAP'!$M$3:$M$480,"=542")+SUMIFS('ANALITIKA EU PROJEKATA'!$G$3:$G$499,'ANALITIKA EU PROJEKATA'!$A$3:$A$499,"=576",'ANALITIKA EU PROJEKATA'!$P$3:$P$499,"=542")</f>
        <v>0</v>
      </c>
      <c r="S64" s="147">
        <f>SUMIFS('Plan rashoda za unos u SAP'!$I$3:$I$480,'Plan rashoda za unos u SAP'!$C$3:$C$480,"=581",'Plan rashoda za unos u SAP'!$M$3:$M$480,"=542")+SUMIFS('ANALITIKA EU PROJEKATA'!$G$3:$G$499,'ANALITIKA EU PROJEKATA'!$A$3:$A$499,"=581",'ANALITIKA EU PROJEKATA'!$P$3:$P$499,"=542")</f>
        <v>0</v>
      </c>
      <c r="T64" s="147">
        <f>SUMIFS('Plan rashoda za unos u SAP'!$I$3:$I$480,'Plan rashoda za unos u SAP'!$C$3:$C$480,"=61",'Plan rashoda za unos u SAP'!$M$3:$M$480,"=542")+SUMIFS('ANALITIKA EU PROJEKATA'!$G$3:$G$499,'ANALITIKA EU PROJEKATA'!$A$3:$A$499,"=61",'ANALITIKA EU PROJEKATA'!$P$3:$P$499,"=542")</f>
        <v>0</v>
      </c>
      <c r="U64" s="147">
        <f>SUMIFS('Plan rashoda za unos u SAP'!$I$3:$I$480,'Plan rashoda za unos u SAP'!$C$3:$C$480,"=63",'Plan rashoda za unos u SAP'!$M$3:$M$480,"=542")+SUMIFS('ANALITIKA EU PROJEKATA'!$G$3:$G$499,'ANALITIKA EU PROJEKATA'!$A$3:$A$499,"=63",'ANALITIKA EU PROJEKATA'!$P$3:$P$499,"=542")</f>
        <v>0</v>
      </c>
      <c r="V64" s="147">
        <f>SUMIFS('Plan rashoda za unos u SAP'!$I$3:$I$480,'Plan rashoda za unos u SAP'!$C$3:$C$480,"=71",'Plan rashoda za unos u SAP'!$M$3:$M$480,"=542")+SUMIFS('ANALITIKA EU PROJEKATA'!$G$3:$G$499,'ANALITIKA EU PROJEKATA'!$A$3:$A$499,"=71",'ANALITIKA EU PROJEKATA'!$P$3:$P$499,"=542")</f>
        <v>0</v>
      </c>
      <c r="W64" s="147">
        <f>SUMIFS('Plan rashoda za unos u SAP'!$I$3:$I$480,'Plan rashoda za unos u SAP'!$C$3:$C$480,"=81",'Plan rashoda za unos u SAP'!$M$3:$M$480,"=542")+SUMIFS('ANALITIKA EU PROJEKATA'!$G$3:$G$499,'ANALITIKA EU PROJEKATA'!$A$3:$A$499,"=81",'ANALITIKA EU PROJEKATA'!$P$3:$P$499,"=542")</f>
        <v>0</v>
      </c>
      <c r="X64" s="129"/>
      <c r="Y64" s="129"/>
      <c r="Z64" s="129"/>
      <c r="AA64" s="129"/>
      <c r="AB64" s="129"/>
      <c r="AC64" s="129"/>
      <c r="AD64" s="129"/>
      <c r="AE64" s="129"/>
      <c r="AF64" s="129"/>
      <c r="AG64" s="129"/>
      <c r="AH64" s="129"/>
      <c r="AI64" s="129"/>
      <c r="AJ64" s="129"/>
      <c r="AK64" s="129"/>
      <c r="AL64" s="129"/>
      <c r="AM64" s="129"/>
      <c r="AN64" s="129"/>
      <c r="AO64" s="129"/>
      <c r="AP64" s="129"/>
      <c r="AQ64" s="129"/>
    </row>
    <row r="65" spans="1:43" ht="12" customHeight="1">
      <c r="A65" s="131">
        <v>2021</v>
      </c>
      <c r="B65" s="148">
        <v>543</v>
      </c>
      <c r="C65" s="149" t="s">
        <v>966</v>
      </c>
      <c r="D65" s="142">
        <f t="shared" si="0"/>
        <v>0</v>
      </c>
      <c r="E65" s="147">
        <f>SUMIFS('Plan rashoda za unos u SAP'!$I$3:$I$480,'Plan rashoda za unos u SAP'!$C$3:$C$480,"=11",'Plan rashoda za unos u SAP'!$M$3:$M$480,"=543")+SUMIFS('ANALITIKA EU PROJEKATA'!$G$3:$G$499,'ANALITIKA EU PROJEKATA'!$A$3:$A$499,"=11",'ANALITIKA EU PROJEKATA'!$P$3:$P$499,"=543")</f>
        <v>0</v>
      </c>
      <c r="F65" s="147">
        <f>SUMIFS('Plan rashoda za unos u SAP'!$I$3:$I$480,'Plan rashoda za unos u SAP'!$C$3:$C$480,"=12",'Plan rashoda za unos u SAP'!$M$3:$M$480,"=543")+SUMIFS('ANALITIKA EU PROJEKATA'!$G$3:$G$499,'ANALITIKA EU PROJEKATA'!$A$3:$A$499,"=12",'ANALITIKA EU PROJEKATA'!$P$3:$P$499,"=543")</f>
        <v>0</v>
      </c>
      <c r="G65" s="147">
        <f>SUMIFS('Plan rashoda za unos u SAP'!$I$3:$I$480,'Plan rashoda za unos u SAP'!$C$3:$C$480,"=31",'Plan rashoda za unos u SAP'!$M$3:$M$480,"=543")+SUMIFS('ANALITIKA EU PROJEKATA'!$G$3:$G$499,'ANALITIKA EU PROJEKATA'!$A$3:$A$499,"=31",'ANALITIKA EU PROJEKATA'!$P$3:$P$499,"=543")</f>
        <v>0</v>
      </c>
      <c r="H65" s="147">
        <f>SUMIFS('Plan rashoda za unos u SAP'!$I$3:$I$480,'Plan rashoda za unos u SAP'!$C$3:$C$480,"=41",'Plan rashoda za unos u SAP'!$M$3:$M$480,"=543")+SUMIFS('ANALITIKA EU PROJEKATA'!$G$3:$G$499,'ANALITIKA EU PROJEKATA'!$A$3:$A$499,"=41",'ANALITIKA EU PROJEKATA'!$P$3:$P$499,"=543")</f>
        <v>0</v>
      </c>
      <c r="I65" s="147">
        <f>SUMIFS('Plan rashoda za unos u SAP'!$I$3:$I$480,'Plan rashoda za unos u SAP'!$C$3:$C$480,"=43",'Plan rashoda za unos u SAP'!$M$3:$M$480,"=543")+SUMIFS('ANALITIKA EU PROJEKATA'!$G$3:$G$499,'ANALITIKA EU PROJEKATA'!$A$3:$A$499,"=43",'ANALITIKA EU PROJEKATA'!$P$3:$P$499,"=543")</f>
        <v>0</v>
      </c>
      <c r="J65" s="147">
        <f>SUMIFS('Plan rashoda za unos u SAP'!$I$3:$I$480,'Plan rashoda za unos u SAP'!$C$3:$C$480,"=51",'Plan rashoda za unos u SAP'!$M$3:$M$480,"=543")+SUMIFS('ANALITIKA EU PROJEKATA'!$G$3:$G$499,'ANALITIKA EU PROJEKATA'!$A$3:$A$499,"=51",'ANALITIKA EU PROJEKATA'!$P$3:$P$499,"=543")</f>
        <v>0</v>
      </c>
      <c r="K65" s="147">
        <f>SUMIFS('Plan rashoda za unos u SAP'!$I$3:$I$480,'Plan rashoda za unos u SAP'!$C$3:$C$480,"=52",'Plan rashoda za unos u SAP'!$M$3:$M$480,"=543")+SUMIFS('ANALITIKA EU PROJEKATA'!$G$3:$G$499,'ANALITIKA EU PROJEKATA'!$A$3:$A$499,"=52",'ANALITIKA EU PROJEKATA'!$P$3:$P$499,"=543")</f>
        <v>0</v>
      </c>
      <c r="L65" s="147">
        <f>SUMIFS('Plan rashoda za unos u SAP'!$I$3:$I$480,'Plan rashoda za unos u SAP'!$C$3:$C$480,"=552",'Plan rashoda za unos u SAP'!$M$3:$M$480,"=543")+SUMIFS('ANALITIKA EU PROJEKATA'!$G$3:$G$499,'ANALITIKA EU PROJEKATA'!$A$3:$A$499,"=552",'ANALITIKA EU PROJEKATA'!$P$3:$P$499,"=543")</f>
        <v>0</v>
      </c>
      <c r="M65" s="147">
        <f>SUMIFS('Plan rashoda za unos u SAP'!$I$3:$I$480,'Plan rashoda za unos u SAP'!$C$3:$C$480,"=559",'Plan rashoda za unos u SAP'!$M$3:$M$480,"=543")+SUMIFS('ANALITIKA EU PROJEKATA'!$G$3:$G$499,'ANALITIKA EU PROJEKATA'!$A$3:$A$499,"=559",'ANALITIKA EU PROJEKATA'!$P$3:$P$499,"=543")</f>
        <v>0</v>
      </c>
      <c r="N65" s="147">
        <f>SUMIFS('Plan rashoda za unos u SAP'!$I$3:$I$480,'Plan rashoda za unos u SAP'!$C$3:$C$480,"=561",'Plan rashoda za unos u SAP'!$M$3:$M$480,"=543")+SUMIFS('ANALITIKA EU PROJEKATA'!$G$3:$G$499,'ANALITIKA EU PROJEKATA'!$A$3:$A$499,"=561",'ANALITIKA EU PROJEKATA'!$P$3:$P$499,"=543")</f>
        <v>0</v>
      </c>
      <c r="O65" s="147">
        <f>SUMIFS('Plan rashoda za unos u SAP'!$I$3:$I$480,'Plan rashoda za unos u SAP'!$C$3:$C$480,"=563",'Plan rashoda za unos u SAP'!$M$3:$M$480,"=543")+SUMIFS('ANALITIKA EU PROJEKATA'!$G$3:$G$499,'ANALITIKA EU PROJEKATA'!$A$3:$A$499,"=563",'ANALITIKA EU PROJEKATA'!$P$3:$P$499,"=543")</f>
        <v>0</v>
      </c>
      <c r="P65" s="147">
        <f>SUMIFS('Plan rashoda za unos u SAP'!$I$3:$I$480,'Plan rashoda za unos u SAP'!$C$3:$C$480,"=573",'Plan rashoda za unos u SAP'!$M$3:$M$480,"=543")+SUMIFS('ANALITIKA EU PROJEKATA'!$G$3:$G$499,'ANALITIKA EU PROJEKATA'!$A$3:$A$499,"=573",'ANALITIKA EU PROJEKATA'!$P$3:$P$499,"=543")</f>
        <v>0</v>
      </c>
      <c r="Q65" s="147">
        <f>SUMIFS('Plan rashoda za unos u SAP'!$I$3:$I$480,'Plan rashoda za unos u SAP'!$C$3:$C$480,"=575",'Plan rashoda za unos u SAP'!$M$3:$M$480,"=543")+SUMIFS('ANALITIKA EU PROJEKATA'!$G$3:$G$499,'ANALITIKA EU PROJEKATA'!$A$3:$A$499,"=575",'ANALITIKA EU PROJEKATA'!$P$3:$P$499,"=543")</f>
        <v>0</v>
      </c>
      <c r="R65" s="147">
        <f>SUMIFS('Plan rashoda za unos u SAP'!$I$3:$I$480,'Plan rashoda za unos u SAP'!$C$3:$C$480,"=576",'Plan rashoda za unos u SAP'!$M$3:$M$480,"=543")+SUMIFS('ANALITIKA EU PROJEKATA'!$G$3:$G$499,'ANALITIKA EU PROJEKATA'!$A$3:$A$499,"=576",'ANALITIKA EU PROJEKATA'!$P$3:$P$499,"=543")</f>
        <v>0</v>
      </c>
      <c r="S65" s="147">
        <f>SUMIFS('Plan rashoda za unos u SAP'!$I$3:$I$480,'Plan rashoda za unos u SAP'!$C$3:$C$480,"=581",'Plan rashoda za unos u SAP'!$M$3:$M$480,"=543")+SUMIFS('ANALITIKA EU PROJEKATA'!$G$3:$G$499,'ANALITIKA EU PROJEKATA'!$A$3:$A$499,"=581",'ANALITIKA EU PROJEKATA'!$P$3:$P$499,"=543")</f>
        <v>0</v>
      </c>
      <c r="T65" s="147">
        <f>SUMIFS('Plan rashoda za unos u SAP'!$I$3:$I$480,'Plan rashoda za unos u SAP'!$C$3:$C$480,"=61",'Plan rashoda za unos u SAP'!$M$3:$M$480,"=543")+SUMIFS('ANALITIKA EU PROJEKATA'!$G$3:$G$499,'ANALITIKA EU PROJEKATA'!$A$3:$A$499,"=61",'ANALITIKA EU PROJEKATA'!$P$3:$P$499,"=543")</f>
        <v>0</v>
      </c>
      <c r="U65" s="147">
        <f>SUMIFS('Plan rashoda za unos u SAP'!$I$3:$I$480,'Plan rashoda za unos u SAP'!$C$3:$C$480,"=63",'Plan rashoda za unos u SAP'!$M$3:$M$480,"=543")+SUMIFS('ANALITIKA EU PROJEKATA'!$G$3:$G$499,'ANALITIKA EU PROJEKATA'!$A$3:$A$499,"=63",'ANALITIKA EU PROJEKATA'!$P$3:$P$499,"=543")</f>
        <v>0</v>
      </c>
      <c r="V65" s="147">
        <f>SUMIFS('Plan rashoda za unos u SAP'!$I$3:$I$480,'Plan rashoda za unos u SAP'!$C$3:$C$480,"=71",'Plan rashoda za unos u SAP'!$M$3:$M$480,"=543")+SUMIFS('ANALITIKA EU PROJEKATA'!$G$3:$G$499,'ANALITIKA EU PROJEKATA'!$A$3:$A$499,"=71",'ANALITIKA EU PROJEKATA'!$P$3:$P$499,"=543")</f>
        <v>0</v>
      </c>
      <c r="W65" s="147">
        <f>SUMIFS('Plan rashoda za unos u SAP'!$I$3:$I$480,'Plan rashoda za unos u SAP'!$C$3:$C$480,"=81",'Plan rashoda za unos u SAP'!$M$3:$M$480,"=543")+SUMIFS('ANALITIKA EU PROJEKATA'!$G$3:$G$499,'ANALITIKA EU PROJEKATA'!$A$3:$A$499,"=81",'ANALITIKA EU PROJEKATA'!$P$3:$P$499,"=543")</f>
        <v>0</v>
      </c>
      <c r="X65" s="129"/>
      <c r="Y65" s="129"/>
      <c r="Z65" s="129"/>
      <c r="AA65" s="129"/>
      <c r="AB65" s="129"/>
      <c r="AC65" s="129"/>
      <c r="AD65" s="129"/>
      <c r="AE65" s="129"/>
      <c r="AF65" s="129"/>
      <c r="AG65" s="129"/>
      <c r="AH65" s="129"/>
      <c r="AI65" s="129"/>
      <c r="AJ65" s="129"/>
      <c r="AK65" s="129"/>
      <c r="AL65" s="129"/>
      <c r="AM65" s="129"/>
      <c r="AN65" s="129"/>
      <c r="AO65" s="129"/>
      <c r="AP65" s="129"/>
      <c r="AQ65" s="129"/>
    </row>
    <row r="66" spans="1:43" ht="12" customHeight="1">
      <c r="A66" s="131">
        <v>2021</v>
      </c>
      <c r="B66" s="148">
        <v>544</v>
      </c>
      <c r="C66" s="149" t="s">
        <v>3479</v>
      </c>
      <c r="D66" s="142">
        <f t="shared" si="0"/>
        <v>0</v>
      </c>
      <c r="E66" s="147">
        <f>SUMIFS('Plan rashoda za unos u SAP'!$I$3:$I$480,'Plan rashoda za unos u SAP'!$C$3:$C$480,"=11",'Plan rashoda za unos u SAP'!$M$3:$M$480,"=544")+SUMIFS('ANALITIKA EU PROJEKATA'!$G$3:$G$499,'ANALITIKA EU PROJEKATA'!$A$3:$A$499,"=11",'ANALITIKA EU PROJEKATA'!$P$3:$P$499,"=544")</f>
        <v>0</v>
      </c>
      <c r="F66" s="147">
        <f>SUMIFS('Plan rashoda za unos u SAP'!$I$3:$I$480,'Plan rashoda za unos u SAP'!$C$3:$C$480,"=12",'Plan rashoda za unos u SAP'!$M$3:$M$480,"=544")+SUMIFS('ANALITIKA EU PROJEKATA'!$G$3:$G$499,'ANALITIKA EU PROJEKATA'!$A$3:$A$499,"=12",'ANALITIKA EU PROJEKATA'!$P$3:$P$499,"=544")</f>
        <v>0</v>
      </c>
      <c r="G66" s="147">
        <f>SUMIFS('Plan rashoda za unos u SAP'!$I$3:$I$480,'Plan rashoda za unos u SAP'!$C$3:$C$480,"=31",'Plan rashoda za unos u SAP'!$M$3:$M$480,"=544")+SUMIFS('ANALITIKA EU PROJEKATA'!$G$3:$G$499,'ANALITIKA EU PROJEKATA'!$A$3:$A$499,"=31",'ANALITIKA EU PROJEKATA'!$P$3:$P$499,"=544")</f>
        <v>0</v>
      </c>
      <c r="H66" s="147">
        <f>SUMIFS('Plan rashoda za unos u SAP'!$I$3:$I$480,'Plan rashoda za unos u SAP'!$C$3:$C$480,"=41",'Plan rashoda za unos u SAP'!$M$3:$M$480,"=544")+SUMIFS('ANALITIKA EU PROJEKATA'!$G$3:$G$499,'ANALITIKA EU PROJEKATA'!$A$3:$A$499,"=41",'ANALITIKA EU PROJEKATA'!$P$3:$P$499,"=544")</f>
        <v>0</v>
      </c>
      <c r="I66" s="147">
        <f>SUMIFS('Plan rashoda za unos u SAP'!$I$3:$I$480,'Plan rashoda za unos u SAP'!$C$3:$C$480,"=43",'Plan rashoda za unos u SAP'!$M$3:$M$480,"=544")+SUMIFS('ANALITIKA EU PROJEKATA'!$G$3:$G$499,'ANALITIKA EU PROJEKATA'!$A$3:$A$499,"=43",'ANALITIKA EU PROJEKATA'!$P$3:$P$499,"=544")</f>
        <v>0</v>
      </c>
      <c r="J66" s="147">
        <f>SUMIFS('Plan rashoda za unos u SAP'!$I$3:$I$480,'Plan rashoda za unos u SAP'!$C$3:$C$480,"=51",'Plan rashoda za unos u SAP'!$M$3:$M$480,"=544")+SUMIFS('ANALITIKA EU PROJEKATA'!$G$3:$G$499,'ANALITIKA EU PROJEKATA'!$A$3:$A$499,"=51",'ANALITIKA EU PROJEKATA'!$P$3:$P$499,"=544")</f>
        <v>0</v>
      </c>
      <c r="K66" s="147">
        <f>SUMIFS('Plan rashoda za unos u SAP'!$I$3:$I$480,'Plan rashoda za unos u SAP'!$C$3:$C$480,"=52",'Plan rashoda za unos u SAP'!$M$3:$M$480,"=544")+SUMIFS('ANALITIKA EU PROJEKATA'!$G$3:$G$499,'ANALITIKA EU PROJEKATA'!$A$3:$A$499,"=52",'ANALITIKA EU PROJEKATA'!$P$3:$P$499,"=544")</f>
        <v>0</v>
      </c>
      <c r="L66" s="147">
        <f>SUMIFS('Plan rashoda za unos u SAP'!$I$3:$I$480,'Plan rashoda za unos u SAP'!$C$3:$C$480,"=552",'Plan rashoda za unos u SAP'!$M$3:$M$480,"=544")+SUMIFS('ANALITIKA EU PROJEKATA'!$G$3:$G$499,'ANALITIKA EU PROJEKATA'!$A$3:$A$499,"=552",'ANALITIKA EU PROJEKATA'!$P$3:$P$499,"=544")</f>
        <v>0</v>
      </c>
      <c r="M66" s="147">
        <f>SUMIFS('Plan rashoda za unos u SAP'!$I$3:$I$480,'Plan rashoda za unos u SAP'!$C$3:$C$480,"=559",'Plan rashoda za unos u SAP'!$M$3:$M$480,"=544")+SUMIFS('ANALITIKA EU PROJEKATA'!$G$3:$G$499,'ANALITIKA EU PROJEKATA'!$A$3:$A$499,"=559",'ANALITIKA EU PROJEKATA'!$P$3:$P$499,"=544")</f>
        <v>0</v>
      </c>
      <c r="N66" s="147">
        <f>SUMIFS('Plan rashoda za unos u SAP'!$I$3:$I$480,'Plan rashoda za unos u SAP'!$C$3:$C$480,"=561",'Plan rashoda za unos u SAP'!$M$3:$M$480,"=544")+SUMIFS('ANALITIKA EU PROJEKATA'!$G$3:$G$499,'ANALITIKA EU PROJEKATA'!$A$3:$A$499,"=561",'ANALITIKA EU PROJEKATA'!$P$3:$P$499,"=544")</f>
        <v>0</v>
      </c>
      <c r="O66" s="147">
        <f>SUMIFS('Plan rashoda za unos u SAP'!$I$3:$I$480,'Plan rashoda za unos u SAP'!$C$3:$C$480,"=563",'Plan rashoda za unos u SAP'!$M$3:$M$480,"=544")+SUMIFS('ANALITIKA EU PROJEKATA'!$G$3:$G$499,'ANALITIKA EU PROJEKATA'!$A$3:$A$499,"=563",'ANALITIKA EU PROJEKATA'!$P$3:$P$499,"=544")</f>
        <v>0</v>
      </c>
      <c r="P66" s="147">
        <f>SUMIFS('Plan rashoda za unos u SAP'!$I$3:$I$480,'Plan rashoda za unos u SAP'!$C$3:$C$480,"=573",'Plan rashoda za unos u SAP'!$M$3:$M$480,"=544")+SUMIFS('ANALITIKA EU PROJEKATA'!$G$3:$G$499,'ANALITIKA EU PROJEKATA'!$A$3:$A$499,"=573",'ANALITIKA EU PROJEKATA'!$P$3:$P$499,"=544")</f>
        <v>0</v>
      </c>
      <c r="Q66" s="147">
        <f>SUMIFS('Plan rashoda za unos u SAP'!$I$3:$I$480,'Plan rashoda za unos u SAP'!$C$3:$C$480,"=575",'Plan rashoda za unos u SAP'!$M$3:$M$480,"=544")+SUMIFS('ANALITIKA EU PROJEKATA'!$G$3:$G$499,'ANALITIKA EU PROJEKATA'!$A$3:$A$499,"=575",'ANALITIKA EU PROJEKATA'!$P$3:$P$499,"=544")</f>
        <v>0</v>
      </c>
      <c r="R66" s="147">
        <f>SUMIFS('Plan rashoda za unos u SAP'!$I$3:$I$480,'Plan rashoda za unos u SAP'!$C$3:$C$480,"=576",'Plan rashoda za unos u SAP'!$M$3:$M$480,"=544")+SUMIFS('ANALITIKA EU PROJEKATA'!$G$3:$G$499,'ANALITIKA EU PROJEKATA'!$A$3:$A$499,"=576",'ANALITIKA EU PROJEKATA'!$P$3:$P$499,"=544")</f>
        <v>0</v>
      </c>
      <c r="S66" s="147">
        <f>SUMIFS('Plan rashoda za unos u SAP'!$I$3:$I$480,'Plan rashoda za unos u SAP'!$C$3:$C$480,"=581",'Plan rashoda za unos u SAP'!$M$3:$M$480,"=544")+SUMIFS('ANALITIKA EU PROJEKATA'!$G$3:$G$499,'ANALITIKA EU PROJEKATA'!$A$3:$A$499,"=581",'ANALITIKA EU PROJEKATA'!$P$3:$P$499,"=544")</f>
        <v>0</v>
      </c>
      <c r="T66" s="147">
        <f>SUMIFS('Plan rashoda za unos u SAP'!$I$3:$I$480,'Plan rashoda za unos u SAP'!$C$3:$C$480,"=61",'Plan rashoda za unos u SAP'!$M$3:$M$480,"=544")+SUMIFS('ANALITIKA EU PROJEKATA'!$G$3:$G$499,'ANALITIKA EU PROJEKATA'!$A$3:$A$499,"=61",'ANALITIKA EU PROJEKATA'!$P$3:$P$499,"=544")</f>
        <v>0</v>
      </c>
      <c r="U66" s="147">
        <f>SUMIFS('Plan rashoda za unos u SAP'!$I$3:$I$480,'Plan rashoda za unos u SAP'!$C$3:$C$480,"=63",'Plan rashoda za unos u SAP'!$M$3:$M$480,"=544")+SUMIFS('ANALITIKA EU PROJEKATA'!$G$3:$G$499,'ANALITIKA EU PROJEKATA'!$A$3:$A$499,"=63",'ANALITIKA EU PROJEKATA'!$P$3:$P$499,"=544")</f>
        <v>0</v>
      </c>
      <c r="V66" s="147">
        <f>SUMIFS('Plan rashoda za unos u SAP'!$I$3:$I$480,'Plan rashoda za unos u SAP'!$C$3:$C$480,"=71",'Plan rashoda za unos u SAP'!$M$3:$M$480,"=544")+SUMIFS('ANALITIKA EU PROJEKATA'!$G$3:$G$499,'ANALITIKA EU PROJEKATA'!$A$3:$A$499,"=71",'ANALITIKA EU PROJEKATA'!$P$3:$P$499,"=544")</f>
        <v>0</v>
      </c>
      <c r="W66" s="147">
        <f>SUMIFS('Plan rashoda za unos u SAP'!$I$3:$I$480,'Plan rashoda za unos u SAP'!$C$3:$C$480,"=81",'Plan rashoda za unos u SAP'!$M$3:$M$480,"=544")+SUMIFS('ANALITIKA EU PROJEKATA'!$G$3:$G$499,'ANALITIKA EU PROJEKATA'!$A$3:$A$499,"=81",'ANALITIKA EU PROJEKATA'!$P$3:$P$499,"=544")</f>
        <v>0</v>
      </c>
      <c r="X66" s="129"/>
      <c r="Y66" s="129"/>
      <c r="Z66" s="129"/>
      <c r="AA66" s="129"/>
      <c r="AB66" s="129"/>
      <c r="AC66" s="129"/>
      <c r="AD66" s="129"/>
      <c r="AE66" s="129"/>
      <c r="AF66" s="129"/>
      <c r="AG66" s="129"/>
      <c r="AH66" s="129"/>
      <c r="AI66" s="129"/>
      <c r="AJ66" s="129"/>
      <c r="AK66" s="129"/>
      <c r="AL66" s="129"/>
      <c r="AM66" s="129"/>
      <c r="AN66" s="129"/>
      <c r="AO66" s="129"/>
      <c r="AP66" s="129"/>
      <c r="AQ66" s="129"/>
    </row>
    <row r="67" spans="1:43" ht="12" customHeight="1">
      <c r="A67" s="131">
        <v>2021</v>
      </c>
      <c r="B67" s="148">
        <v>545</v>
      </c>
      <c r="C67" s="149" t="s">
        <v>3480</v>
      </c>
      <c r="D67" s="142">
        <f t="shared" si="0"/>
        <v>0</v>
      </c>
      <c r="E67" s="147">
        <f>SUMIFS('Plan rashoda za unos u SAP'!$I$3:$I$480,'Plan rashoda za unos u SAP'!$C$3:$C$480,"=11",'Plan rashoda za unos u SAP'!$M$3:$M$480,"=545")+SUMIFS('ANALITIKA EU PROJEKATA'!$G$3:$G$499,'ANALITIKA EU PROJEKATA'!$A$3:$A$499,"=11",'ANALITIKA EU PROJEKATA'!$P$3:$P$499,"=545")</f>
        <v>0</v>
      </c>
      <c r="F67" s="147">
        <f>SUMIFS('Plan rashoda za unos u SAP'!$I$3:$I$480,'Plan rashoda za unos u SAP'!$C$3:$C$480,"=12",'Plan rashoda za unos u SAP'!$M$3:$M$480,"=545")+SUMIFS('ANALITIKA EU PROJEKATA'!$G$3:$G$499,'ANALITIKA EU PROJEKATA'!$A$3:$A$499,"=12",'ANALITIKA EU PROJEKATA'!$P$3:$P$499,"=545")</f>
        <v>0</v>
      </c>
      <c r="G67" s="147">
        <f>SUMIFS('Plan rashoda za unos u SAP'!$I$3:$I$480,'Plan rashoda za unos u SAP'!$C$3:$C$480,"=31",'Plan rashoda za unos u SAP'!$M$3:$M$480,"=545")+SUMIFS('ANALITIKA EU PROJEKATA'!$G$3:$G$499,'ANALITIKA EU PROJEKATA'!$A$3:$A$499,"=31",'ANALITIKA EU PROJEKATA'!$P$3:$P$499,"=545")</f>
        <v>0</v>
      </c>
      <c r="H67" s="147">
        <f>SUMIFS('Plan rashoda za unos u SAP'!$I$3:$I$480,'Plan rashoda za unos u SAP'!$C$3:$C$480,"=41",'Plan rashoda za unos u SAP'!$M$3:$M$480,"=545")+SUMIFS('ANALITIKA EU PROJEKATA'!$G$3:$G$499,'ANALITIKA EU PROJEKATA'!$A$3:$A$499,"=41",'ANALITIKA EU PROJEKATA'!$P$3:$P$499,"=545")</f>
        <v>0</v>
      </c>
      <c r="I67" s="147">
        <f>SUMIFS('Plan rashoda za unos u SAP'!$I$3:$I$480,'Plan rashoda za unos u SAP'!$C$3:$C$480,"=43",'Plan rashoda za unos u SAP'!$M$3:$M$480,"=545")+SUMIFS('ANALITIKA EU PROJEKATA'!$G$3:$G$499,'ANALITIKA EU PROJEKATA'!$A$3:$A$499,"=43",'ANALITIKA EU PROJEKATA'!$P$3:$P$499,"=545")</f>
        <v>0</v>
      </c>
      <c r="J67" s="147">
        <f>SUMIFS('Plan rashoda za unos u SAP'!$I$3:$I$480,'Plan rashoda za unos u SAP'!$C$3:$C$480,"=51",'Plan rashoda za unos u SAP'!$M$3:$M$480,"=545")+SUMIFS('ANALITIKA EU PROJEKATA'!$G$3:$G$499,'ANALITIKA EU PROJEKATA'!$A$3:$A$499,"=51",'ANALITIKA EU PROJEKATA'!$P$3:$P$499,"=545")</f>
        <v>0</v>
      </c>
      <c r="K67" s="147">
        <f>SUMIFS('Plan rashoda za unos u SAP'!$I$3:$I$480,'Plan rashoda za unos u SAP'!$C$3:$C$480,"=52",'Plan rashoda za unos u SAP'!$M$3:$M$480,"=545")+SUMIFS('ANALITIKA EU PROJEKATA'!$G$3:$G$499,'ANALITIKA EU PROJEKATA'!$A$3:$A$499,"=52",'ANALITIKA EU PROJEKATA'!$P$3:$P$499,"=545")</f>
        <v>0</v>
      </c>
      <c r="L67" s="147">
        <f>SUMIFS('Plan rashoda za unos u SAP'!$I$3:$I$480,'Plan rashoda za unos u SAP'!$C$3:$C$480,"=552",'Plan rashoda za unos u SAP'!$M$3:$M$480,"=545")+SUMIFS('ANALITIKA EU PROJEKATA'!$G$3:$G$499,'ANALITIKA EU PROJEKATA'!$A$3:$A$499,"=552",'ANALITIKA EU PROJEKATA'!$P$3:$P$499,"=545")</f>
        <v>0</v>
      </c>
      <c r="M67" s="147">
        <f>SUMIFS('Plan rashoda za unos u SAP'!$I$3:$I$480,'Plan rashoda za unos u SAP'!$C$3:$C$480,"=559",'Plan rashoda za unos u SAP'!$M$3:$M$480,"=545")+SUMIFS('ANALITIKA EU PROJEKATA'!$G$3:$G$499,'ANALITIKA EU PROJEKATA'!$A$3:$A$499,"=559",'ANALITIKA EU PROJEKATA'!$P$3:$P$499,"=545")</f>
        <v>0</v>
      </c>
      <c r="N67" s="147">
        <f>SUMIFS('Plan rashoda za unos u SAP'!$I$3:$I$480,'Plan rashoda za unos u SAP'!$C$3:$C$480,"=561",'Plan rashoda za unos u SAP'!$M$3:$M$480,"=545")+SUMIFS('ANALITIKA EU PROJEKATA'!$G$3:$G$499,'ANALITIKA EU PROJEKATA'!$A$3:$A$499,"=561",'ANALITIKA EU PROJEKATA'!$P$3:$P$499,"=545")</f>
        <v>0</v>
      </c>
      <c r="O67" s="147">
        <f>SUMIFS('Plan rashoda za unos u SAP'!$I$3:$I$480,'Plan rashoda za unos u SAP'!$C$3:$C$480,"=563",'Plan rashoda za unos u SAP'!$M$3:$M$480,"=545")+SUMIFS('ANALITIKA EU PROJEKATA'!$G$3:$G$499,'ANALITIKA EU PROJEKATA'!$A$3:$A$499,"=563",'ANALITIKA EU PROJEKATA'!$P$3:$P$499,"=545")</f>
        <v>0</v>
      </c>
      <c r="P67" s="147">
        <f>SUMIFS('Plan rashoda za unos u SAP'!$I$3:$I$480,'Plan rashoda za unos u SAP'!$C$3:$C$480,"=573",'Plan rashoda za unos u SAP'!$M$3:$M$480,"=545")+SUMIFS('ANALITIKA EU PROJEKATA'!$G$3:$G$499,'ANALITIKA EU PROJEKATA'!$A$3:$A$499,"=573",'ANALITIKA EU PROJEKATA'!$P$3:$P$499,"=545")</f>
        <v>0</v>
      </c>
      <c r="Q67" s="147">
        <f>SUMIFS('Plan rashoda za unos u SAP'!$I$3:$I$480,'Plan rashoda za unos u SAP'!$C$3:$C$480,"=575",'Plan rashoda za unos u SAP'!$M$3:$M$480,"=545")+SUMIFS('ANALITIKA EU PROJEKATA'!$G$3:$G$499,'ANALITIKA EU PROJEKATA'!$A$3:$A$499,"=575",'ANALITIKA EU PROJEKATA'!$P$3:$P$499,"=545")</f>
        <v>0</v>
      </c>
      <c r="R67" s="147">
        <f>SUMIFS('Plan rashoda za unos u SAP'!$I$3:$I$480,'Plan rashoda za unos u SAP'!$C$3:$C$480,"=576",'Plan rashoda za unos u SAP'!$M$3:$M$480,"=545")+SUMIFS('ANALITIKA EU PROJEKATA'!$G$3:$G$499,'ANALITIKA EU PROJEKATA'!$A$3:$A$499,"=576",'ANALITIKA EU PROJEKATA'!$P$3:$P$499,"=545")</f>
        <v>0</v>
      </c>
      <c r="S67" s="147">
        <f>SUMIFS('Plan rashoda za unos u SAP'!$I$3:$I$480,'Plan rashoda za unos u SAP'!$C$3:$C$480,"=581",'Plan rashoda za unos u SAP'!$M$3:$M$480,"=545")+SUMIFS('ANALITIKA EU PROJEKATA'!$G$3:$G$499,'ANALITIKA EU PROJEKATA'!$A$3:$A$499,"=581",'ANALITIKA EU PROJEKATA'!$P$3:$P$499,"=545")</f>
        <v>0</v>
      </c>
      <c r="T67" s="147">
        <f>SUMIFS('Plan rashoda za unos u SAP'!$I$3:$I$480,'Plan rashoda za unos u SAP'!$C$3:$C$480,"=61",'Plan rashoda za unos u SAP'!$M$3:$M$480,"=545")+SUMIFS('ANALITIKA EU PROJEKATA'!$G$3:$G$499,'ANALITIKA EU PROJEKATA'!$A$3:$A$499,"=61",'ANALITIKA EU PROJEKATA'!$P$3:$P$499,"=545")</f>
        <v>0</v>
      </c>
      <c r="U67" s="147">
        <f>SUMIFS('Plan rashoda za unos u SAP'!$I$3:$I$480,'Plan rashoda za unos u SAP'!$C$3:$C$480,"=63",'Plan rashoda za unos u SAP'!$M$3:$M$480,"=545")+SUMIFS('ANALITIKA EU PROJEKATA'!$G$3:$G$499,'ANALITIKA EU PROJEKATA'!$A$3:$A$499,"=63",'ANALITIKA EU PROJEKATA'!$P$3:$P$499,"=545")</f>
        <v>0</v>
      </c>
      <c r="V67" s="147">
        <f>SUMIFS('Plan rashoda za unos u SAP'!$I$3:$I$480,'Plan rashoda za unos u SAP'!$C$3:$C$480,"=71",'Plan rashoda za unos u SAP'!$M$3:$M$480,"=545")+SUMIFS('ANALITIKA EU PROJEKATA'!$G$3:$G$499,'ANALITIKA EU PROJEKATA'!$A$3:$A$499,"=71",'ANALITIKA EU PROJEKATA'!$P$3:$P$499,"=545")</f>
        <v>0</v>
      </c>
      <c r="W67" s="147">
        <f>SUMIFS('Plan rashoda za unos u SAP'!$I$3:$I$480,'Plan rashoda za unos u SAP'!$C$3:$C$480,"=81",'Plan rashoda za unos u SAP'!$M$3:$M$480,"=545")+SUMIFS('ANALITIKA EU PROJEKATA'!$G$3:$G$499,'ANALITIKA EU PROJEKATA'!$A$3:$A$499,"=81",'ANALITIKA EU PROJEKATA'!$P$3:$P$499,"=545")</f>
        <v>0</v>
      </c>
      <c r="X67" s="129"/>
      <c r="Y67" s="129"/>
      <c r="Z67" s="129"/>
      <c r="AA67" s="129"/>
      <c r="AB67" s="129"/>
      <c r="AC67" s="129"/>
      <c r="AD67" s="129"/>
      <c r="AE67" s="129"/>
      <c r="AF67" s="129"/>
      <c r="AG67" s="129"/>
      <c r="AH67" s="129"/>
      <c r="AI67" s="129"/>
      <c r="AJ67" s="129"/>
      <c r="AK67" s="129"/>
      <c r="AL67" s="129"/>
      <c r="AM67" s="129"/>
      <c r="AN67" s="129"/>
      <c r="AO67" s="129"/>
      <c r="AP67" s="129"/>
      <c r="AQ67" s="129"/>
    </row>
    <row r="68" spans="1:43" ht="12" customHeight="1">
      <c r="A68" s="131">
        <v>2021</v>
      </c>
      <c r="B68" s="148">
        <v>547</v>
      </c>
      <c r="C68" s="149" t="s">
        <v>3481</v>
      </c>
      <c r="D68" s="142">
        <f t="shared" si="0"/>
        <v>0</v>
      </c>
      <c r="E68" s="147">
        <f>SUMIFS('Plan rashoda za unos u SAP'!$I$3:$I$480,'Plan rashoda za unos u SAP'!$C$3:$C$480,"=11",'Plan rashoda za unos u SAP'!$M$3:$M$480,"=547")+SUMIFS('ANALITIKA EU PROJEKATA'!$G$3:$G$499,'ANALITIKA EU PROJEKATA'!$A$3:$A$499,"=11",'ANALITIKA EU PROJEKATA'!$P$3:$P$499,"=547")</f>
        <v>0</v>
      </c>
      <c r="F68" s="147">
        <f>SUMIFS('Plan rashoda za unos u SAP'!$I$3:$I$480,'Plan rashoda za unos u SAP'!$C$3:$C$480,"=12",'Plan rashoda za unos u SAP'!$M$3:$M$480,"=547")+SUMIFS('ANALITIKA EU PROJEKATA'!$G$3:$G$499,'ANALITIKA EU PROJEKATA'!$A$3:$A$499,"=12",'ANALITIKA EU PROJEKATA'!$P$3:$P$499,"=547")</f>
        <v>0</v>
      </c>
      <c r="G68" s="147">
        <f>SUMIFS('Plan rashoda za unos u SAP'!$I$3:$I$480,'Plan rashoda za unos u SAP'!$C$3:$C$480,"=31",'Plan rashoda za unos u SAP'!$M$3:$M$480,"=547")+SUMIFS('ANALITIKA EU PROJEKATA'!$G$3:$G$499,'ANALITIKA EU PROJEKATA'!$A$3:$A$499,"=31",'ANALITIKA EU PROJEKATA'!$P$3:$P$499,"=547")</f>
        <v>0</v>
      </c>
      <c r="H68" s="147">
        <f>SUMIFS('Plan rashoda za unos u SAP'!$I$3:$I$480,'Plan rashoda za unos u SAP'!$C$3:$C$480,"=41",'Plan rashoda za unos u SAP'!$M$3:$M$480,"=547")+SUMIFS('ANALITIKA EU PROJEKATA'!$G$3:$G$499,'ANALITIKA EU PROJEKATA'!$A$3:$A$499,"=41",'ANALITIKA EU PROJEKATA'!$P$3:$P$499,"=547")</f>
        <v>0</v>
      </c>
      <c r="I68" s="147">
        <f>SUMIFS('Plan rashoda za unos u SAP'!$I$3:$I$480,'Plan rashoda za unos u SAP'!$C$3:$C$480,"=43",'Plan rashoda za unos u SAP'!$M$3:$M$480,"=547")+SUMIFS('ANALITIKA EU PROJEKATA'!$G$3:$G$499,'ANALITIKA EU PROJEKATA'!$A$3:$A$499,"=43",'ANALITIKA EU PROJEKATA'!$P$3:$P$499,"=547")</f>
        <v>0</v>
      </c>
      <c r="J68" s="147">
        <f>SUMIFS('Plan rashoda za unos u SAP'!$I$3:$I$480,'Plan rashoda za unos u SAP'!$C$3:$C$480,"=51",'Plan rashoda za unos u SAP'!$M$3:$M$480,"=547")+SUMIFS('ANALITIKA EU PROJEKATA'!$G$3:$G$499,'ANALITIKA EU PROJEKATA'!$A$3:$A$499,"=51",'ANALITIKA EU PROJEKATA'!$P$3:$P$499,"=547")</f>
        <v>0</v>
      </c>
      <c r="K68" s="147">
        <f>SUMIFS('Plan rashoda za unos u SAP'!$I$3:$I$480,'Plan rashoda za unos u SAP'!$C$3:$C$480,"=52",'Plan rashoda za unos u SAP'!$M$3:$M$480,"=547")+SUMIFS('ANALITIKA EU PROJEKATA'!$G$3:$G$499,'ANALITIKA EU PROJEKATA'!$A$3:$A$499,"=52",'ANALITIKA EU PROJEKATA'!$P$3:$P$499,"=547")</f>
        <v>0</v>
      </c>
      <c r="L68" s="147">
        <f>SUMIFS('Plan rashoda za unos u SAP'!$I$3:$I$480,'Plan rashoda za unos u SAP'!$C$3:$C$480,"=552",'Plan rashoda za unos u SAP'!$M$3:$M$480,"=547")+SUMIFS('ANALITIKA EU PROJEKATA'!$G$3:$G$499,'ANALITIKA EU PROJEKATA'!$A$3:$A$499,"=552",'ANALITIKA EU PROJEKATA'!$P$3:$P$499,"=547")</f>
        <v>0</v>
      </c>
      <c r="M68" s="147">
        <f>SUMIFS('Plan rashoda za unos u SAP'!$I$3:$I$480,'Plan rashoda za unos u SAP'!$C$3:$C$480,"=559",'Plan rashoda za unos u SAP'!$M$3:$M$480,"=547")+SUMIFS('ANALITIKA EU PROJEKATA'!$G$3:$G$499,'ANALITIKA EU PROJEKATA'!$A$3:$A$499,"=559",'ANALITIKA EU PROJEKATA'!$P$3:$P$499,"=547")</f>
        <v>0</v>
      </c>
      <c r="N68" s="147">
        <f>SUMIFS('Plan rashoda za unos u SAP'!$I$3:$I$480,'Plan rashoda za unos u SAP'!$C$3:$C$480,"=561",'Plan rashoda za unos u SAP'!$M$3:$M$480,"=547")+SUMIFS('ANALITIKA EU PROJEKATA'!$G$3:$G$499,'ANALITIKA EU PROJEKATA'!$A$3:$A$499,"=561",'ANALITIKA EU PROJEKATA'!$P$3:$P$499,"=547")</f>
        <v>0</v>
      </c>
      <c r="O68" s="147">
        <f>SUMIFS('Plan rashoda za unos u SAP'!$I$3:$I$480,'Plan rashoda za unos u SAP'!$C$3:$C$480,"=563",'Plan rashoda za unos u SAP'!$M$3:$M$480,"=547")+SUMIFS('ANALITIKA EU PROJEKATA'!$G$3:$G$499,'ANALITIKA EU PROJEKATA'!$A$3:$A$499,"=563",'ANALITIKA EU PROJEKATA'!$P$3:$P$499,"=547")</f>
        <v>0</v>
      </c>
      <c r="P68" s="147">
        <f>SUMIFS('Plan rashoda za unos u SAP'!$I$3:$I$480,'Plan rashoda za unos u SAP'!$C$3:$C$480,"=573",'Plan rashoda za unos u SAP'!$M$3:$M$480,"=547")+SUMIFS('ANALITIKA EU PROJEKATA'!$G$3:$G$499,'ANALITIKA EU PROJEKATA'!$A$3:$A$499,"=573",'ANALITIKA EU PROJEKATA'!$P$3:$P$499,"=547")</f>
        <v>0</v>
      </c>
      <c r="Q68" s="147">
        <f>SUMIFS('Plan rashoda za unos u SAP'!$I$3:$I$480,'Plan rashoda za unos u SAP'!$C$3:$C$480,"=575",'Plan rashoda za unos u SAP'!$M$3:$M$480,"=547")+SUMIFS('ANALITIKA EU PROJEKATA'!$G$3:$G$499,'ANALITIKA EU PROJEKATA'!$A$3:$A$499,"=575",'ANALITIKA EU PROJEKATA'!$P$3:$P$499,"=547")</f>
        <v>0</v>
      </c>
      <c r="R68" s="147">
        <f>SUMIFS('Plan rashoda za unos u SAP'!$I$3:$I$480,'Plan rashoda za unos u SAP'!$C$3:$C$480,"=576",'Plan rashoda za unos u SAP'!$M$3:$M$480,"=547")+SUMIFS('ANALITIKA EU PROJEKATA'!$G$3:$G$499,'ANALITIKA EU PROJEKATA'!$A$3:$A$499,"=576",'ANALITIKA EU PROJEKATA'!$P$3:$P$499,"=547")</f>
        <v>0</v>
      </c>
      <c r="S68" s="147">
        <f>SUMIFS('Plan rashoda za unos u SAP'!$I$3:$I$480,'Plan rashoda za unos u SAP'!$C$3:$C$480,"=581",'Plan rashoda za unos u SAP'!$M$3:$M$480,"=547")+SUMIFS('ANALITIKA EU PROJEKATA'!$G$3:$G$499,'ANALITIKA EU PROJEKATA'!$A$3:$A$499,"=581",'ANALITIKA EU PROJEKATA'!$P$3:$P$499,"=547")</f>
        <v>0</v>
      </c>
      <c r="T68" s="147">
        <f>SUMIFS('Plan rashoda za unos u SAP'!$I$3:$I$480,'Plan rashoda za unos u SAP'!$C$3:$C$480,"=61",'Plan rashoda za unos u SAP'!$M$3:$M$480,"=547")+SUMIFS('ANALITIKA EU PROJEKATA'!$G$3:$G$499,'ANALITIKA EU PROJEKATA'!$A$3:$A$499,"=61",'ANALITIKA EU PROJEKATA'!$P$3:$P$499,"=547")</f>
        <v>0</v>
      </c>
      <c r="U68" s="147">
        <f>SUMIFS('Plan rashoda za unos u SAP'!$I$3:$I$480,'Plan rashoda za unos u SAP'!$C$3:$C$480,"=63",'Plan rashoda za unos u SAP'!$M$3:$M$480,"=547")+SUMIFS('ANALITIKA EU PROJEKATA'!$G$3:$G$499,'ANALITIKA EU PROJEKATA'!$A$3:$A$499,"=63",'ANALITIKA EU PROJEKATA'!$P$3:$P$499,"=547")</f>
        <v>0</v>
      </c>
      <c r="V68" s="147">
        <f>SUMIFS('Plan rashoda za unos u SAP'!$I$3:$I$480,'Plan rashoda za unos u SAP'!$C$3:$C$480,"=71",'Plan rashoda za unos u SAP'!$M$3:$M$480,"=547")+SUMIFS('ANALITIKA EU PROJEKATA'!$G$3:$G$499,'ANALITIKA EU PROJEKATA'!$A$3:$A$499,"=71",'ANALITIKA EU PROJEKATA'!$P$3:$P$499,"=547")</f>
        <v>0</v>
      </c>
      <c r="W68" s="147">
        <f>SUMIFS('Plan rashoda za unos u SAP'!$I$3:$I$480,'Plan rashoda za unos u SAP'!$C$3:$C$480,"=81",'Plan rashoda za unos u SAP'!$M$3:$M$480,"=547")+SUMIFS('ANALITIKA EU PROJEKATA'!$G$3:$G$499,'ANALITIKA EU PROJEKATA'!$A$3:$A$499,"=81",'ANALITIKA EU PROJEKATA'!$P$3:$P$499,"=547")</f>
        <v>0</v>
      </c>
      <c r="X68" s="129"/>
      <c r="Y68" s="129"/>
      <c r="Z68" s="129"/>
      <c r="AA68" s="129"/>
      <c r="AB68" s="129"/>
      <c r="AC68" s="129"/>
      <c r="AD68" s="129"/>
      <c r="AE68" s="129"/>
      <c r="AF68" s="129"/>
      <c r="AG68" s="129"/>
      <c r="AH68" s="129"/>
      <c r="AI68" s="129"/>
      <c r="AJ68" s="129"/>
      <c r="AK68" s="129"/>
      <c r="AL68" s="129"/>
      <c r="AM68" s="129"/>
      <c r="AN68" s="129"/>
      <c r="AO68" s="129"/>
      <c r="AP68" s="129"/>
      <c r="AQ68" s="129"/>
    </row>
    <row r="69" spans="1:43" ht="12.75" customHeight="1">
      <c r="A69" s="129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129"/>
      <c r="Y69" s="129"/>
      <c r="Z69" s="129"/>
      <c r="AA69" s="129"/>
      <c r="AB69" s="129"/>
      <c r="AC69" s="129"/>
      <c r="AD69" s="129"/>
      <c r="AE69" s="129"/>
      <c r="AF69" s="129"/>
      <c r="AG69" s="129"/>
      <c r="AH69" s="129"/>
      <c r="AI69" s="129"/>
      <c r="AJ69" s="129"/>
      <c r="AK69" s="129"/>
      <c r="AL69" s="129"/>
      <c r="AM69" s="129"/>
      <c r="AN69" s="129"/>
      <c r="AO69" s="129"/>
      <c r="AP69" s="129"/>
      <c r="AQ69" s="129"/>
    </row>
    <row r="70" spans="1:43" ht="71.25" customHeight="1">
      <c r="A70" s="87" t="s">
        <v>3338</v>
      </c>
      <c r="B70" s="87" t="s">
        <v>3424</v>
      </c>
      <c r="C70" s="87" t="s">
        <v>3425</v>
      </c>
      <c r="D70" s="87" t="s">
        <v>3482</v>
      </c>
      <c r="E70" s="87" t="s">
        <v>3427</v>
      </c>
      <c r="F70" s="87" t="s">
        <v>3343</v>
      </c>
      <c r="G70" s="87" t="s">
        <v>3344</v>
      </c>
      <c r="H70" s="87" t="s">
        <v>3345</v>
      </c>
      <c r="I70" s="87" t="s">
        <v>3346</v>
      </c>
      <c r="J70" s="87" t="s">
        <v>3347</v>
      </c>
      <c r="K70" s="87" t="s">
        <v>3348</v>
      </c>
      <c r="L70" s="87" t="s">
        <v>3349</v>
      </c>
      <c r="M70" s="87" t="s">
        <v>3350</v>
      </c>
      <c r="N70" s="87" t="s">
        <v>3351</v>
      </c>
      <c r="O70" s="87" t="s">
        <v>3352</v>
      </c>
      <c r="P70" s="87" t="s">
        <v>3353</v>
      </c>
      <c r="Q70" s="87" t="s">
        <v>3354</v>
      </c>
      <c r="R70" s="87" t="s">
        <v>3355</v>
      </c>
      <c r="S70" s="87" t="s">
        <v>3356</v>
      </c>
      <c r="T70" s="87" t="s">
        <v>3357</v>
      </c>
      <c r="U70" s="87" t="s">
        <v>3358</v>
      </c>
      <c r="V70" s="87" t="s">
        <v>3428</v>
      </c>
      <c r="W70" s="87" t="s">
        <v>3360</v>
      </c>
      <c r="X70" s="130"/>
      <c r="Y70" s="130"/>
      <c r="Z70" s="130"/>
      <c r="AA70" s="130"/>
      <c r="AB70" s="130"/>
      <c r="AC70" s="130"/>
      <c r="AD70" s="130"/>
      <c r="AE70" s="130"/>
      <c r="AF70" s="130"/>
      <c r="AG70" s="130"/>
      <c r="AH70" s="130"/>
      <c r="AI70" s="130"/>
      <c r="AJ70" s="130"/>
      <c r="AK70" s="130"/>
      <c r="AL70" s="130"/>
      <c r="AM70" s="130"/>
      <c r="AN70" s="130"/>
      <c r="AO70" s="130"/>
      <c r="AP70" s="130"/>
      <c r="AQ70" s="130"/>
    </row>
    <row r="71" spans="1:43" ht="19.5" customHeight="1">
      <c r="A71" s="131">
        <v>2022</v>
      </c>
      <c r="B71" s="132"/>
      <c r="C71" s="132" t="s">
        <v>3429</v>
      </c>
      <c r="D71" s="133">
        <f t="shared" ref="D71:D88" si="19">SUM(E71:W71)</f>
        <v>190770103.60080001</v>
      </c>
      <c r="E71" s="134">
        <f t="shared" ref="E71:W71" si="20">+E72+E80+E86</f>
        <v>139302798</v>
      </c>
      <c r="F71" s="134">
        <f t="shared" si="20"/>
        <v>0</v>
      </c>
      <c r="G71" s="134">
        <f t="shared" si="20"/>
        <v>13616409.699999999</v>
      </c>
      <c r="H71" s="134">
        <f t="shared" si="20"/>
        <v>0</v>
      </c>
      <c r="I71" s="134">
        <f t="shared" si="20"/>
        <v>24862119.301600002</v>
      </c>
      <c r="J71" s="134">
        <f t="shared" si="20"/>
        <v>651979</v>
      </c>
      <c r="K71" s="134">
        <f t="shared" si="20"/>
        <v>10645379.599200001</v>
      </c>
      <c r="L71" s="134">
        <f t="shared" si="20"/>
        <v>0</v>
      </c>
      <c r="M71" s="134">
        <f t="shared" si="20"/>
        <v>0</v>
      </c>
      <c r="N71" s="134">
        <f t="shared" si="20"/>
        <v>0</v>
      </c>
      <c r="O71" s="134">
        <f t="shared" si="20"/>
        <v>1033173</v>
      </c>
      <c r="P71" s="134">
        <f t="shared" si="20"/>
        <v>0</v>
      </c>
      <c r="Q71" s="134">
        <f t="shared" si="20"/>
        <v>0</v>
      </c>
      <c r="R71" s="134">
        <f t="shared" si="20"/>
        <v>0</v>
      </c>
      <c r="S71" s="134">
        <f t="shared" si="20"/>
        <v>0</v>
      </c>
      <c r="T71" s="134">
        <f t="shared" si="20"/>
        <v>658245</v>
      </c>
      <c r="U71" s="134">
        <f t="shared" si="20"/>
        <v>0</v>
      </c>
      <c r="V71" s="134">
        <f t="shared" si="20"/>
        <v>0</v>
      </c>
      <c r="W71" s="134">
        <f t="shared" si="20"/>
        <v>0</v>
      </c>
      <c r="X71" s="79"/>
      <c r="Y71" s="79"/>
      <c r="Z71" s="79"/>
      <c r="AA71" s="79"/>
      <c r="AB71" s="79"/>
      <c r="AC71" s="79"/>
      <c r="AD71" s="79"/>
      <c r="AE71" s="79"/>
      <c r="AF71" s="79"/>
      <c r="AG71" s="79"/>
      <c r="AH71" s="79"/>
      <c r="AI71" s="79"/>
      <c r="AJ71" s="79"/>
      <c r="AK71" s="79"/>
      <c r="AL71" s="79"/>
      <c r="AM71" s="79"/>
      <c r="AN71" s="135"/>
      <c r="AO71" s="135"/>
      <c r="AP71" s="135"/>
      <c r="AQ71" s="135"/>
    </row>
    <row r="72" spans="1:43" ht="12" customHeight="1">
      <c r="A72" s="131">
        <v>2022</v>
      </c>
      <c r="B72" s="136">
        <v>3</v>
      </c>
      <c r="C72" s="137" t="s">
        <v>3430</v>
      </c>
      <c r="D72" s="138">
        <f t="shared" si="19"/>
        <v>184729068.3008</v>
      </c>
      <c r="E72" s="160">
        <f t="shared" ref="E72:W72" si="21">SUM(E73:E79)</f>
        <v>139302798</v>
      </c>
      <c r="F72" s="160">
        <f t="shared" si="21"/>
        <v>0</v>
      </c>
      <c r="G72" s="160">
        <f t="shared" si="21"/>
        <v>12344358.629999999</v>
      </c>
      <c r="H72" s="160">
        <f t="shared" si="21"/>
        <v>0</v>
      </c>
      <c r="I72" s="160">
        <f t="shared" si="21"/>
        <v>21137176.498</v>
      </c>
      <c r="J72" s="160">
        <f t="shared" si="21"/>
        <v>631979</v>
      </c>
      <c r="K72" s="160">
        <f t="shared" si="21"/>
        <v>9657538.1728000008</v>
      </c>
      <c r="L72" s="160">
        <f t="shared" si="21"/>
        <v>0</v>
      </c>
      <c r="M72" s="160">
        <f t="shared" si="21"/>
        <v>0</v>
      </c>
      <c r="N72" s="160">
        <f t="shared" si="21"/>
        <v>0</v>
      </c>
      <c r="O72" s="160">
        <f t="shared" si="21"/>
        <v>1033173</v>
      </c>
      <c r="P72" s="160">
        <f t="shared" si="21"/>
        <v>0</v>
      </c>
      <c r="Q72" s="160">
        <f t="shared" si="21"/>
        <v>0</v>
      </c>
      <c r="R72" s="160">
        <f t="shared" si="21"/>
        <v>0</v>
      </c>
      <c r="S72" s="160">
        <f t="shared" si="21"/>
        <v>0</v>
      </c>
      <c r="T72" s="160">
        <f t="shared" si="21"/>
        <v>622045</v>
      </c>
      <c r="U72" s="160">
        <f t="shared" si="21"/>
        <v>0</v>
      </c>
      <c r="V72" s="160">
        <f t="shared" si="21"/>
        <v>0</v>
      </c>
      <c r="W72" s="160">
        <f t="shared" si="21"/>
        <v>0</v>
      </c>
      <c r="X72" s="129"/>
      <c r="Y72" s="129"/>
      <c r="Z72" s="129"/>
      <c r="AA72" s="129"/>
      <c r="AB72" s="129"/>
      <c r="AC72" s="129"/>
      <c r="AD72" s="129"/>
      <c r="AE72" s="129"/>
      <c r="AF72" s="129"/>
      <c r="AG72" s="129"/>
      <c r="AH72" s="129"/>
      <c r="AI72" s="129"/>
      <c r="AJ72" s="129"/>
      <c r="AK72" s="129"/>
      <c r="AL72" s="129"/>
      <c r="AM72" s="129"/>
      <c r="AN72" s="129"/>
      <c r="AO72" s="129"/>
      <c r="AP72" s="129"/>
      <c r="AQ72" s="129"/>
    </row>
    <row r="73" spans="1:43" ht="12" customHeight="1">
      <c r="A73" s="131">
        <v>2022</v>
      </c>
      <c r="B73" s="140">
        <v>31</v>
      </c>
      <c r="C73" s="141" t="s">
        <v>3431</v>
      </c>
      <c r="D73" s="161">
        <f t="shared" si="19"/>
        <v>150508737.92999998</v>
      </c>
      <c r="E73" s="147">
        <f>SUMIFS('Plan rashoda za unos u SAP'!$J$3:$J$480,'Plan rashoda za unos u SAP'!$C$3:$C$480,"=11",'Plan rashoda za unos u SAP'!$N$3:$N$480,"=31")+SUMIFS('ANALITIKA EU PROJEKATA'!$H$3:$H$499,'ANALITIKA EU PROJEKATA'!$A$3:$A$499,"=11",'ANALITIKA EU PROJEKATA'!$Q$3:$Q$499,"=31")</f>
        <v>125218992</v>
      </c>
      <c r="F73" s="147">
        <f>SUMIFS('Plan rashoda za unos u SAP'!$J$3:$J$480,'Plan rashoda za unos u SAP'!$C$3:$C$480,"=12",'Plan rashoda za unos u SAP'!$N$3:$N$480,"=31")+SUMIFS('ANALITIKA EU PROJEKATA'!$H$3:$H$499,'ANALITIKA EU PROJEKATA'!$A$3:$A$499,"=12",'ANALITIKA EU PROJEKATA'!$Q$3:$Q$499,"=31")</f>
        <v>0</v>
      </c>
      <c r="G73" s="147">
        <f>SUMIFS('Plan rashoda za unos u SAP'!$J$3:$J$480,'Plan rashoda za unos u SAP'!$C$3:$C$480,"=31",'Plan rashoda za unos u SAP'!$N$3:$N$480,"=31")+SUMIFS('ANALITIKA EU PROJEKATA'!$H$3:$H$499,'ANALITIKA EU PROJEKATA'!$A$3:$A$499,"=31",'ANALITIKA EU PROJEKATA'!$Q$3:$Q$499,"=31")</f>
        <v>6535850.3899999997</v>
      </c>
      <c r="H73" s="147">
        <f>SUMIFS('Plan rashoda za unos u SAP'!$J$3:$J$480,'Plan rashoda za unos u SAP'!$C$3:$C$480,"=41",'Plan rashoda za unos u SAP'!$N$3:$N$480,"=31")+SUMIFS('ANALITIKA EU PROJEKATA'!$H$3:$H$499,'ANALITIKA EU PROJEKATA'!$A$3:$A$499,"=41",'ANALITIKA EU PROJEKATA'!$Q$3:$Q$499,"=31")</f>
        <v>0</v>
      </c>
      <c r="I73" s="147">
        <f>SUMIFS('Plan rashoda za unos u SAP'!$J$3:$J$480,'Plan rashoda za unos u SAP'!$C$3:$C$480,"=43",'Plan rashoda za unos u SAP'!$N$3:$N$480,"=31")+SUMIFS('ANALITIKA EU PROJEKATA'!$H$3:$H$499,'ANALITIKA EU PROJEKATA'!$A$3:$A$499,"=43",'ANALITIKA EU PROJEKATA'!$Q$3:$Q$499,"=31")</f>
        <v>11901544.2872</v>
      </c>
      <c r="J73" s="147">
        <f>SUMIFS('Plan rashoda za unos u SAP'!$J$3:$J$480,'Plan rashoda za unos u SAP'!$C$3:$C$480,"=51",'Plan rashoda za unos u SAP'!$N$3:$N$480,"=31")+SUMIFS('ANALITIKA EU PROJEKATA'!$H$3:$H$499,'ANALITIKA EU PROJEKATA'!$A$3:$A$499,"=51",'ANALITIKA EU PROJEKATA'!$Q$3:$Q$499,"=31")</f>
        <v>398867</v>
      </c>
      <c r="K73" s="147">
        <f>SUMIFS('Plan rashoda za unos u SAP'!$J$3:$J$480,'Plan rashoda za unos u SAP'!$C$3:$C$480,"=52",'Plan rashoda za unos u SAP'!$N$3:$N$480,"=31")+SUMIFS('ANALITIKA EU PROJEKATA'!$H$3:$H$499,'ANALITIKA EU PROJEKATA'!$A$3:$A$499,"=52",'ANALITIKA EU PROJEKATA'!$Q$3:$Q$499,"=31")</f>
        <v>5566258.2527999999</v>
      </c>
      <c r="L73" s="147">
        <f>SUMIFS('Plan rashoda za unos u SAP'!$J$3:$J$480,'Plan rashoda za unos u SAP'!$C$3:$C$480,"=552",'Plan rashoda za unos u SAP'!$N$3:$N$480,"=31")+SUMIFS('ANALITIKA EU PROJEKATA'!$H$3:$H$499,'ANALITIKA EU PROJEKATA'!$A$3:$A$499,"=552",'ANALITIKA EU PROJEKATA'!$Q$3:$Q$499,"=31")</f>
        <v>0</v>
      </c>
      <c r="M73" s="147">
        <f>SUMIFS('Plan rashoda za unos u SAP'!$J$3:$J$480,'Plan rashoda za unos u SAP'!$C$3:$C$480,"=559",'Plan rashoda za unos u SAP'!$N$3:$N$480,"=31")+SUMIFS('ANALITIKA EU PROJEKATA'!$H$3:$H$499,'ANALITIKA EU PROJEKATA'!$A$3:$A$499,"=559",'ANALITIKA EU PROJEKATA'!$Q$3:$Q$499,"=31")</f>
        <v>0</v>
      </c>
      <c r="N73" s="147">
        <f>SUMIFS('Plan rashoda za unos u SAP'!$J$3:$J$480,'Plan rashoda za unos u SAP'!$C$3:$C$480,"=561",'Plan rashoda za unos u SAP'!$N$3:$N$480,"=31")+SUMIFS('ANALITIKA EU PROJEKATA'!$H$3:$H$499,'ANALITIKA EU PROJEKATA'!$A$3:$A$499,"=561",'ANALITIKA EU PROJEKATA'!$Q$3:$Q$499,"=31")</f>
        <v>0</v>
      </c>
      <c r="O73" s="147">
        <f>SUMIFS('Plan rashoda za unos u SAP'!$J$3:$J$480,'Plan rashoda za unos u SAP'!$C$3:$C$480,"=563",'Plan rashoda za unos u SAP'!$N$3:$N$480,"=31")+SUMIFS('ANALITIKA EU PROJEKATA'!$H$3:$H$499,'ANALITIKA EU PROJEKATA'!$A$3:$A$499,"=563",'ANALITIKA EU PROJEKATA'!$Q$3:$Q$499,"=31")</f>
        <v>683173</v>
      </c>
      <c r="P73" s="147">
        <f>SUMIFS('Plan rashoda za unos u SAP'!$J$3:$J$480,'Plan rashoda za unos u SAP'!$C$3:$C$480,"=573",'Plan rashoda za unos u SAP'!$N$3:$N$480,"=31")+SUMIFS('ANALITIKA EU PROJEKATA'!$H$3:$H$499,'ANALITIKA EU PROJEKATA'!$A$3:$A$499,"=573",'ANALITIKA EU PROJEKATA'!$Q$3:$Q$499,"=31")</f>
        <v>0</v>
      </c>
      <c r="Q73" s="147">
        <f>SUMIFS('Plan rashoda za unos u SAP'!$J$3:$J$480,'Plan rashoda za unos u SAP'!$C$3:$C$480,"=575",'Plan rashoda za unos u SAP'!$N$3:$N$480,"=31")+SUMIFS('ANALITIKA EU PROJEKATA'!$H$3:$H$499,'ANALITIKA EU PROJEKATA'!$A$3:$A$499,"=575",'ANALITIKA EU PROJEKATA'!$Q$3:$Q$499,"=31")</f>
        <v>0</v>
      </c>
      <c r="R73" s="147">
        <f>SUMIFS('Plan rashoda za unos u SAP'!$J$3:$J$480,'Plan rashoda za unos u SAP'!$C$3:$C$480,"=576",'Plan rashoda za unos u SAP'!$N$3:$N$480,"=31")+SUMIFS('ANALITIKA EU PROJEKATA'!$H$3:$H$499,'ANALITIKA EU PROJEKATA'!$A$3:$A$499,"=576",'ANALITIKA EU PROJEKATA'!$Q$3:$Q$499,"=31")</f>
        <v>0</v>
      </c>
      <c r="S73" s="147">
        <f>SUMIFS('Plan rashoda za unos u SAP'!$J$3:$J$480,'Plan rashoda za unos u SAP'!$C$3:$C$480,"=581",'Plan rashoda za unos u SAP'!$N$3:$N$480,"=31")+SUMIFS('ANALITIKA EU PROJEKATA'!$H$3:$H$499,'ANALITIKA EU PROJEKATA'!$A$3:$A$499,"=581",'ANALITIKA EU PROJEKATA'!$Q$3:$Q$499,"=31")</f>
        <v>0</v>
      </c>
      <c r="T73" s="147">
        <f>SUMIFS('Plan rashoda za unos u SAP'!$J$3:$J$480,'Plan rashoda za unos u SAP'!$C$3:$C$480,"=61",'Plan rashoda za unos u SAP'!$N$3:$N$480,"=31")+SUMIFS('ANALITIKA EU PROJEKATA'!$H$3:$H$499,'ANALITIKA EU PROJEKATA'!$A$3:$A$499,"=61",'ANALITIKA EU PROJEKATA'!$Q$3:$Q$499,"=31")</f>
        <v>204053</v>
      </c>
      <c r="U73" s="147">
        <f>SUMIFS('Plan rashoda za unos u SAP'!$J$3:$J$480,'Plan rashoda za unos u SAP'!$C$3:$C$480,"=63",'Plan rashoda za unos u SAP'!$N$3:$N$480,"=31")+SUMIFS('ANALITIKA EU PROJEKATA'!$H$3:$H$499,'ANALITIKA EU PROJEKATA'!$A$3:$A$499,"=63",'ANALITIKA EU PROJEKATA'!$Q$3:$Q$499,"=31")</f>
        <v>0</v>
      </c>
      <c r="V73" s="147">
        <f>SUMIFS('Plan rashoda za unos u SAP'!$J$3:$J$480,'Plan rashoda za unos u SAP'!$C$3:$C$480,"=71",'Plan rashoda za unos u SAP'!$N$3:$N$480,"=31")+SUMIFS('ANALITIKA EU PROJEKATA'!$H$3:$H$499,'ANALITIKA EU PROJEKATA'!$A$3:$A$499,"=71",'ANALITIKA EU PROJEKATA'!$Q$3:$Q$499,"=31")</f>
        <v>0</v>
      </c>
      <c r="W73" s="147">
        <f>SUMIFS('Plan rashoda za unos u SAP'!$J$3:$J$480,'Plan rashoda za unos u SAP'!$C$3:$C$480,"=81",'Plan rashoda za unos u SAP'!$N$3:$N$480,"=31")+SUMIFS('ANALITIKA EU PROJEKATA'!$H$3:$H$499,'ANALITIKA EU PROJEKATA'!$A$3:$A$499,"=81",'ANALITIKA EU PROJEKATA'!$Q$3:$Q$499,"=31")</f>
        <v>0</v>
      </c>
      <c r="X73" s="152"/>
      <c r="Y73" s="152"/>
      <c r="Z73" s="152"/>
      <c r="AA73" s="152"/>
      <c r="AB73" s="152"/>
      <c r="AC73" s="152"/>
      <c r="AD73" s="152"/>
      <c r="AE73" s="152"/>
      <c r="AF73" s="152"/>
      <c r="AG73" s="152"/>
      <c r="AH73" s="152"/>
      <c r="AI73" s="152"/>
      <c r="AJ73" s="152"/>
      <c r="AK73" s="152"/>
      <c r="AL73" s="152"/>
      <c r="AM73" s="152"/>
      <c r="AN73" s="152"/>
      <c r="AO73" s="152"/>
      <c r="AP73" s="152"/>
      <c r="AQ73" s="152"/>
    </row>
    <row r="74" spans="1:43" ht="12" customHeight="1">
      <c r="A74" s="131">
        <v>2022</v>
      </c>
      <c r="B74" s="150">
        <v>32</v>
      </c>
      <c r="C74" s="151" t="s">
        <v>3434</v>
      </c>
      <c r="D74" s="162">
        <f t="shared" si="19"/>
        <v>33871888.450800002</v>
      </c>
      <c r="E74" s="147">
        <f>SUMIFS('Plan rashoda za unos u SAP'!$J$3:$J$480,'Plan rashoda za unos u SAP'!$C$3:$C$480,"=11",'Plan rashoda za unos u SAP'!$N$3:$N$480,"=32")+SUMIFS('ANALITIKA EU PROJEKATA'!$H$3:$H$499,'ANALITIKA EU PROJEKATA'!$A$3:$A$499,"=11",'ANALITIKA EU PROJEKATA'!$Q$3:$Q$499,"=32")</f>
        <v>14083806</v>
      </c>
      <c r="F74" s="147">
        <f>SUMIFS('Plan rashoda za unos u SAP'!$J$3:$J$480,'Plan rashoda za unos u SAP'!$C$3:$C$480,"=12",'Plan rashoda za unos u SAP'!$N$3:$N$480,"=32")+SUMIFS('ANALITIKA EU PROJEKATA'!$H$3:$H$499,'ANALITIKA EU PROJEKATA'!$A$3:$A$499,"=12",'ANALITIKA EU PROJEKATA'!$Q$3:$Q$499,"=32")</f>
        <v>0</v>
      </c>
      <c r="G74" s="147">
        <f>SUMIFS('Plan rashoda za unos u SAP'!$J$3:$J$480,'Plan rashoda za unos u SAP'!$C$3:$C$480,"=31",'Plan rashoda za unos u SAP'!$N$3:$N$480,"=32")+SUMIFS('ANALITIKA EU PROJEKATA'!$H$3:$H$499,'ANALITIKA EU PROJEKATA'!$A$3:$A$499,"=31",'ANALITIKA EU PROJEKATA'!$Q$3:$Q$499,"=32")</f>
        <v>5724586.3300000001</v>
      </c>
      <c r="H74" s="147">
        <f>SUMIFS('Plan rashoda za unos u SAP'!$J$3:$J$480,'Plan rashoda za unos u SAP'!$C$3:$C$480,"=41",'Plan rashoda za unos u SAP'!$N$3:$N$480,"=32")+SUMIFS('ANALITIKA EU PROJEKATA'!$H$3:$H$499,'ANALITIKA EU PROJEKATA'!$A$3:$A$499,"=41",'ANALITIKA EU PROJEKATA'!$Q$3:$Q$499,"=32")</f>
        <v>0</v>
      </c>
      <c r="I74" s="147">
        <f>SUMIFS('Plan rashoda za unos u SAP'!$J$3:$J$480,'Plan rashoda za unos u SAP'!$C$3:$C$480,"=43",'Plan rashoda za unos u SAP'!$N$3:$N$480,"=32")+SUMIFS('ANALITIKA EU PROJEKATA'!$H$3:$H$499,'ANALITIKA EU PROJEKATA'!$A$3:$A$499,"=43",'ANALITIKA EU PROJEKATA'!$Q$3:$Q$499,"=32")</f>
        <v>9105452.2007999998</v>
      </c>
      <c r="J74" s="147">
        <f>SUMIFS('Plan rashoda za unos u SAP'!$J$3:$J$480,'Plan rashoda za unos u SAP'!$C$3:$C$480,"=51",'Plan rashoda za unos u SAP'!$N$3:$N$480,"=32")+SUMIFS('ANALITIKA EU PROJEKATA'!$H$3:$H$499,'ANALITIKA EU PROJEKATA'!$A$3:$A$499,"=51",'ANALITIKA EU PROJEKATA'!$Q$3:$Q$499,"=32")</f>
        <v>233112</v>
      </c>
      <c r="K74" s="147">
        <f>SUMIFS('Plan rashoda za unos u SAP'!$J$3:$J$480,'Plan rashoda za unos u SAP'!$C$3:$C$480,"=52",'Plan rashoda za unos u SAP'!$N$3:$N$480,"=32")+SUMIFS('ANALITIKA EU PROJEKATA'!$H$3:$H$499,'ANALITIKA EU PROJEKATA'!$A$3:$A$499,"=52",'ANALITIKA EU PROJEKATA'!$Q$3:$Q$499,"=32")</f>
        <v>3956939.9200000009</v>
      </c>
      <c r="L74" s="147">
        <f>SUMIFS('Plan rashoda za unos u SAP'!$J$3:$J$480,'Plan rashoda za unos u SAP'!$C$3:$C$480,"=552",'Plan rashoda za unos u SAP'!$N$3:$N$480,"=32")+SUMIFS('ANALITIKA EU PROJEKATA'!$H$3:$H$499,'ANALITIKA EU PROJEKATA'!$A$3:$A$499,"=552",'ANALITIKA EU PROJEKATA'!$Q$3:$Q$499,"=32")</f>
        <v>0</v>
      </c>
      <c r="M74" s="147">
        <f>SUMIFS('Plan rashoda za unos u SAP'!$J$3:$J$480,'Plan rashoda za unos u SAP'!$C$3:$C$480,"=559",'Plan rashoda za unos u SAP'!$N$3:$N$480,"=32")+SUMIFS('ANALITIKA EU PROJEKATA'!$H$3:$H$499,'ANALITIKA EU PROJEKATA'!$A$3:$A$499,"=559",'ANALITIKA EU PROJEKATA'!$Q$3:$Q$499,"=32")</f>
        <v>0</v>
      </c>
      <c r="N74" s="147">
        <f>SUMIFS('Plan rashoda za unos u SAP'!$J$3:$J$480,'Plan rashoda za unos u SAP'!$C$3:$C$480,"=561",'Plan rashoda za unos u SAP'!$N$3:$N$480,"=32")+SUMIFS('ANALITIKA EU PROJEKATA'!$H$3:$H$499,'ANALITIKA EU PROJEKATA'!$A$3:$A$499,"=561",'ANALITIKA EU PROJEKATA'!$Q$3:$Q$499,"=32")</f>
        <v>0</v>
      </c>
      <c r="O74" s="147">
        <f>SUMIFS('Plan rashoda za unos u SAP'!$J$3:$J$480,'Plan rashoda za unos u SAP'!$C$3:$C$480,"=563",'Plan rashoda za unos u SAP'!$N$3:$N$480,"=32")+SUMIFS('ANALITIKA EU PROJEKATA'!$H$3:$H$499,'ANALITIKA EU PROJEKATA'!$A$3:$A$499,"=563",'ANALITIKA EU PROJEKATA'!$Q$3:$Q$499,"=32")</f>
        <v>350000</v>
      </c>
      <c r="P74" s="147">
        <f>SUMIFS('Plan rashoda za unos u SAP'!$J$3:$J$480,'Plan rashoda za unos u SAP'!$C$3:$C$480,"=573",'Plan rashoda za unos u SAP'!$N$3:$N$480,"=32")+SUMIFS('ANALITIKA EU PROJEKATA'!$H$3:$H$499,'ANALITIKA EU PROJEKATA'!$A$3:$A$499,"=573",'ANALITIKA EU PROJEKATA'!$Q$3:$Q$499,"=32")</f>
        <v>0</v>
      </c>
      <c r="Q74" s="147">
        <f>SUMIFS('Plan rashoda za unos u SAP'!$J$3:$J$480,'Plan rashoda za unos u SAP'!$C$3:$C$480,"=575",'Plan rashoda za unos u SAP'!$N$3:$N$480,"=32")+SUMIFS('ANALITIKA EU PROJEKATA'!$H$3:$H$499,'ANALITIKA EU PROJEKATA'!$A$3:$A$499,"=575",'ANALITIKA EU PROJEKATA'!$Q$3:$Q$499,"=32")</f>
        <v>0</v>
      </c>
      <c r="R74" s="147">
        <f>SUMIFS('Plan rashoda za unos u SAP'!$J$3:$J$480,'Plan rashoda za unos u SAP'!$C$3:$C$480,"=576",'Plan rashoda za unos u SAP'!$N$3:$N$480,"=32")+SUMIFS('ANALITIKA EU PROJEKATA'!$H$3:$H$499,'ANALITIKA EU PROJEKATA'!$A$3:$A$499,"=576",'ANALITIKA EU PROJEKATA'!$Q$3:$Q$499,"=32")</f>
        <v>0</v>
      </c>
      <c r="S74" s="147">
        <f>SUMIFS('Plan rashoda za unos u SAP'!$J$3:$J$480,'Plan rashoda za unos u SAP'!$C$3:$C$480,"=581",'Plan rashoda za unos u SAP'!$N$3:$N$480,"=32")+SUMIFS('ANALITIKA EU PROJEKATA'!$H$3:$H$499,'ANALITIKA EU PROJEKATA'!$A$3:$A$499,"=581",'ANALITIKA EU PROJEKATA'!$Q$3:$Q$499,"=32")</f>
        <v>0</v>
      </c>
      <c r="T74" s="147">
        <f>SUMIFS('Plan rashoda za unos u SAP'!$J$3:$J$480,'Plan rashoda za unos u SAP'!$C$3:$C$480,"=61",'Plan rashoda za unos u SAP'!$N$3:$N$480,"=32")+SUMIFS('ANALITIKA EU PROJEKATA'!$H$3:$H$499,'ANALITIKA EU PROJEKATA'!$A$3:$A$499,"=61",'ANALITIKA EU PROJEKATA'!$Q$3:$Q$499,"=32")</f>
        <v>417992</v>
      </c>
      <c r="U74" s="147">
        <f>SUMIFS('Plan rashoda za unos u SAP'!$J$3:$J$480,'Plan rashoda za unos u SAP'!$C$3:$C$480,"=63",'Plan rashoda za unos u SAP'!$N$3:$N$480,"=32")+SUMIFS('ANALITIKA EU PROJEKATA'!$H$3:$H$499,'ANALITIKA EU PROJEKATA'!$A$3:$A$499,"=63",'ANALITIKA EU PROJEKATA'!$Q$3:$Q$499,"=32")</f>
        <v>0</v>
      </c>
      <c r="V74" s="147">
        <f>SUMIFS('Plan rashoda za unos u SAP'!$J$3:$J$480,'Plan rashoda za unos u SAP'!$C$3:$C$480,"=71",'Plan rashoda za unos u SAP'!$N$3:$N$480,"=32")+SUMIFS('ANALITIKA EU PROJEKATA'!$H$3:$H$499,'ANALITIKA EU PROJEKATA'!$A$3:$A$499,"=71",'ANALITIKA EU PROJEKATA'!$Q$3:$Q$499,"=32")</f>
        <v>0</v>
      </c>
      <c r="W74" s="147">
        <f>SUMIFS('Plan rashoda za unos u SAP'!$J$3:$J$480,'Plan rashoda za unos u SAP'!$C$3:$C$480,"=81",'Plan rashoda za unos u SAP'!$N$3:$N$480,"=32")+SUMIFS('ANALITIKA EU PROJEKATA'!$H$3:$H$499,'ANALITIKA EU PROJEKATA'!$A$3:$A$499,"=81",'ANALITIKA EU PROJEKATA'!$Q$3:$Q$499,"=32")</f>
        <v>0</v>
      </c>
      <c r="X74" s="152"/>
      <c r="Y74" s="152"/>
      <c r="Z74" s="152"/>
      <c r="AA74" s="152"/>
      <c r="AB74" s="152"/>
      <c r="AC74" s="152"/>
      <c r="AD74" s="152"/>
      <c r="AE74" s="152"/>
      <c r="AF74" s="152"/>
      <c r="AG74" s="152"/>
      <c r="AH74" s="152"/>
      <c r="AI74" s="152"/>
      <c r="AJ74" s="152"/>
      <c r="AK74" s="152"/>
      <c r="AL74" s="152"/>
      <c r="AM74" s="152"/>
      <c r="AN74" s="152"/>
      <c r="AO74" s="152"/>
      <c r="AP74" s="152"/>
      <c r="AQ74" s="152"/>
    </row>
    <row r="75" spans="1:43" ht="12" customHeight="1">
      <c r="A75" s="131">
        <v>2022</v>
      </c>
      <c r="B75" s="150">
        <v>34</v>
      </c>
      <c r="C75" s="151" t="s">
        <v>3438</v>
      </c>
      <c r="D75" s="162">
        <f t="shared" si="19"/>
        <v>52315.979999999996</v>
      </c>
      <c r="E75" s="147">
        <f>SUMIFS('Plan rashoda za unos u SAP'!$J$3:$J$480,'Plan rashoda za unos u SAP'!$C$3:$C$480,"=11",'Plan rashoda za unos u SAP'!$N$3:$N$480,"=34")+SUMIFS('ANALITIKA EU PROJEKATA'!$H$3:$H$499,'ANALITIKA EU PROJEKATA'!$A$3:$A$499,"=11",'ANALITIKA EU PROJEKATA'!$Q$3:$Q$499,"=34")</f>
        <v>0</v>
      </c>
      <c r="F75" s="147">
        <f>SUMIFS('Plan rashoda za unos u SAP'!$J$3:$J$480,'Plan rashoda za unos u SAP'!$C$3:$C$480,"=12",'Plan rashoda za unos u SAP'!$N$3:$N$480,"=34")+SUMIFS('ANALITIKA EU PROJEKATA'!$H$3:$H$499,'ANALITIKA EU PROJEKATA'!$A$3:$A$499,"=12",'ANALITIKA EU PROJEKATA'!$Q$3:$Q$499,"=34")</f>
        <v>0</v>
      </c>
      <c r="G75" s="147">
        <f>SUMIFS('Plan rashoda za unos u SAP'!$J$3:$J$480,'Plan rashoda za unos u SAP'!$C$3:$C$480,"=31",'Plan rashoda za unos u SAP'!$N$3:$N$480,"=34")+SUMIFS('ANALITIKA EU PROJEKATA'!$H$3:$H$499,'ANALITIKA EU PROJEKATA'!$A$3:$A$499,"=31",'ANALITIKA EU PROJEKATA'!$Q$3:$Q$499,"=34")</f>
        <v>8171.91</v>
      </c>
      <c r="H75" s="147">
        <f>SUMIFS('Plan rashoda za unos u SAP'!$J$3:$J$480,'Plan rashoda za unos u SAP'!$C$3:$C$480,"=41",'Plan rashoda za unos u SAP'!$N$3:$N$480,"=34")+SUMIFS('ANALITIKA EU PROJEKATA'!$H$3:$H$499,'ANALITIKA EU PROJEKATA'!$A$3:$A$499,"=41",'ANALITIKA EU PROJEKATA'!$Q$3:$Q$499,"=34")</f>
        <v>0</v>
      </c>
      <c r="I75" s="147">
        <f>SUMIFS('Plan rashoda za unos u SAP'!$J$3:$J$480,'Plan rashoda za unos u SAP'!$C$3:$C$480,"=43",'Plan rashoda za unos u SAP'!$N$3:$N$480,"=34")+SUMIFS('ANALITIKA EU PROJEKATA'!$H$3:$H$499,'ANALITIKA EU PROJEKATA'!$A$3:$A$499,"=43",'ANALITIKA EU PROJEKATA'!$Q$3:$Q$499,"=34")</f>
        <v>44144.07</v>
      </c>
      <c r="J75" s="147">
        <f>SUMIFS('Plan rashoda za unos u SAP'!$J$3:$J$480,'Plan rashoda za unos u SAP'!$C$3:$C$480,"=51",'Plan rashoda za unos u SAP'!$N$3:$N$480,"=34")+SUMIFS('ANALITIKA EU PROJEKATA'!$H$3:$H$499,'ANALITIKA EU PROJEKATA'!$A$3:$A$499,"=51",'ANALITIKA EU PROJEKATA'!$Q$3:$Q$499,"=34")</f>
        <v>0</v>
      </c>
      <c r="K75" s="147">
        <f>SUMIFS('Plan rashoda za unos u SAP'!$J$3:$J$480,'Plan rashoda za unos u SAP'!$C$3:$C$480,"=52",'Plan rashoda za unos u SAP'!$N$3:$N$480,"=34")+SUMIFS('ANALITIKA EU PROJEKATA'!$H$3:$H$499,'ANALITIKA EU PROJEKATA'!$A$3:$A$499,"=52",'ANALITIKA EU PROJEKATA'!$Q$3:$Q$499,"=34")</f>
        <v>0</v>
      </c>
      <c r="L75" s="147">
        <f>SUMIFS('Plan rashoda za unos u SAP'!$J$3:$J$480,'Plan rashoda za unos u SAP'!$C$3:$C$480,"=552",'Plan rashoda za unos u SAP'!$N$3:$N$480,"=34")+SUMIFS('ANALITIKA EU PROJEKATA'!$H$3:$H$499,'ANALITIKA EU PROJEKATA'!$A$3:$A$499,"=552",'ANALITIKA EU PROJEKATA'!$Q$3:$Q$499,"=34")</f>
        <v>0</v>
      </c>
      <c r="M75" s="147">
        <f>SUMIFS('Plan rashoda za unos u SAP'!$J$3:$J$480,'Plan rashoda za unos u SAP'!$C$3:$C$480,"=559",'Plan rashoda za unos u SAP'!$N$3:$N$480,"=34")+SUMIFS('ANALITIKA EU PROJEKATA'!$H$3:$H$499,'ANALITIKA EU PROJEKATA'!$A$3:$A$499,"=559",'ANALITIKA EU PROJEKATA'!$Q$3:$Q$499,"=34")</f>
        <v>0</v>
      </c>
      <c r="N75" s="147">
        <f>SUMIFS('Plan rashoda za unos u SAP'!$J$3:$J$480,'Plan rashoda za unos u SAP'!$C$3:$C$480,"=561",'Plan rashoda za unos u SAP'!$N$3:$N$480,"=34")+SUMIFS('ANALITIKA EU PROJEKATA'!$H$3:$H$499,'ANALITIKA EU PROJEKATA'!$A$3:$A$499,"=561",'ANALITIKA EU PROJEKATA'!$Q$3:$Q$499,"=34")</f>
        <v>0</v>
      </c>
      <c r="O75" s="147">
        <f>SUMIFS('Plan rashoda za unos u SAP'!$J$3:$J$480,'Plan rashoda za unos u SAP'!$C$3:$C$480,"=563",'Plan rashoda za unos u SAP'!$N$3:$N$480,"=34")+SUMIFS('ANALITIKA EU PROJEKATA'!$H$3:$H$499,'ANALITIKA EU PROJEKATA'!$A$3:$A$499,"=563",'ANALITIKA EU PROJEKATA'!$Q$3:$Q$499,"=34")</f>
        <v>0</v>
      </c>
      <c r="P75" s="147">
        <f>SUMIFS('Plan rashoda za unos u SAP'!$J$3:$J$480,'Plan rashoda za unos u SAP'!$C$3:$C$480,"=573",'Plan rashoda za unos u SAP'!$N$3:$N$480,"=34")+SUMIFS('ANALITIKA EU PROJEKATA'!$H$3:$H$499,'ANALITIKA EU PROJEKATA'!$A$3:$A$499,"=573",'ANALITIKA EU PROJEKATA'!$Q$3:$Q$499,"=34")</f>
        <v>0</v>
      </c>
      <c r="Q75" s="147">
        <f>SUMIFS('Plan rashoda za unos u SAP'!$J$3:$J$480,'Plan rashoda za unos u SAP'!$C$3:$C$480,"=575",'Plan rashoda za unos u SAP'!$N$3:$N$480,"=34")+SUMIFS('ANALITIKA EU PROJEKATA'!$H$3:$H$499,'ANALITIKA EU PROJEKATA'!$A$3:$A$499,"=575",'ANALITIKA EU PROJEKATA'!$Q$3:$Q$499,"=34")</f>
        <v>0</v>
      </c>
      <c r="R75" s="147">
        <f>SUMIFS('Plan rashoda za unos u SAP'!$J$3:$J$480,'Plan rashoda za unos u SAP'!$C$3:$C$480,"=576",'Plan rashoda za unos u SAP'!$N$3:$N$480,"=34")+SUMIFS('ANALITIKA EU PROJEKATA'!$H$3:$H$499,'ANALITIKA EU PROJEKATA'!$A$3:$A$499,"=576",'ANALITIKA EU PROJEKATA'!$Q$3:$Q$499,"=34")</f>
        <v>0</v>
      </c>
      <c r="S75" s="147">
        <f>SUMIFS('Plan rashoda za unos u SAP'!$J$3:$J$480,'Plan rashoda za unos u SAP'!$C$3:$C$480,"=581",'Plan rashoda za unos u SAP'!$N$3:$N$480,"=34")+SUMIFS('ANALITIKA EU PROJEKATA'!$H$3:$H$499,'ANALITIKA EU PROJEKATA'!$A$3:$A$499,"=581",'ANALITIKA EU PROJEKATA'!$Q$3:$Q$499,"=34")</f>
        <v>0</v>
      </c>
      <c r="T75" s="147">
        <f>SUMIFS('Plan rashoda za unos u SAP'!$J$3:$J$480,'Plan rashoda za unos u SAP'!$C$3:$C$480,"=61",'Plan rashoda za unos u SAP'!$N$3:$N$480,"=34")+SUMIFS('ANALITIKA EU PROJEKATA'!$H$3:$H$499,'ANALITIKA EU PROJEKATA'!$A$3:$A$499,"=61",'ANALITIKA EU PROJEKATA'!$Q$3:$Q$499,"=34")</f>
        <v>0</v>
      </c>
      <c r="U75" s="147">
        <f>SUMIFS('Plan rashoda za unos u SAP'!$J$3:$J$480,'Plan rashoda za unos u SAP'!$C$3:$C$480,"=63",'Plan rashoda za unos u SAP'!$N$3:$N$480,"=34")+SUMIFS('ANALITIKA EU PROJEKATA'!$H$3:$H$499,'ANALITIKA EU PROJEKATA'!$A$3:$A$499,"=63",'ANALITIKA EU PROJEKATA'!$Q$3:$Q$499,"=34")</f>
        <v>0</v>
      </c>
      <c r="V75" s="147">
        <f>SUMIFS('Plan rashoda za unos u SAP'!$J$3:$J$480,'Plan rashoda za unos u SAP'!$C$3:$C$480,"=71",'Plan rashoda za unos u SAP'!$N$3:$N$480,"=34")+SUMIFS('ANALITIKA EU PROJEKATA'!$H$3:$H$499,'ANALITIKA EU PROJEKATA'!$A$3:$A$499,"=71",'ANALITIKA EU PROJEKATA'!$Q$3:$Q$499,"=34")</f>
        <v>0</v>
      </c>
      <c r="W75" s="147">
        <f>SUMIFS('Plan rashoda za unos u SAP'!$J$3:$J$480,'Plan rashoda za unos u SAP'!$C$3:$C$480,"=81",'Plan rashoda za unos u SAP'!$N$3:$N$480,"=34")+SUMIFS('ANALITIKA EU PROJEKATA'!$H$3:$H$499,'ANALITIKA EU PROJEKATA'!$A$3:$A$499,"=81",'ANALITIKA EU PROJEKATA'!$Q$3:$Q$499,"=34")</f>
        <v>0</v>
      </c>
      <c r="X75" s="152"/>
      <c r="Y75" s="152"/>
      <c r="Z75" s="152"/>
      <c r="AA75" s="152"/>
      <c r="AB75" s="152"/>
      <c r="AC75" s="152"/>
      <c r="AD75" s="152"/>
      <c r="AE75" s="152"/>
      <c r="AF75" s="152"/>
      <c r="AG75" s="152"/>
      <c r="AH75" s="152"/>
      <c r="AI75" s="152"/>
      <c r="AJ75" s="152"/>
      <c r="AK75" s="152"/>
      <c r="AL75" s="152"/>
      <c r="AM75" s="152"/>
      <c r="AN75" s="152"/>
      <c r="AO75" s="152"/>
      <c r="AP75" s="152"/>
      <c r="AQ75" s="152"/>
    </row>
    <row r="76" spans="1:43" ht="12" customHeight="1">
      <c r="A76" s="131">
        <v>2022</v>
      </c>
      <c r="B76" s="150">
        <v>35</v>
      </c>
      <c r="C76" s="151" t="s">
        <v>3442</v>
      </c>
      <c r="D76" s="162">
        <f t="shared" si="19"/>
        <v>0</v>
      </c>
      <c r="E76" s="147">
        <f>SUMIFS('Plan rashoda za unos u SAP'!$J$3:$J$480,'Plan rashoda za unos u SAP'!$C$3:$C$480,"=11",'Plan rashoda za unos u SAP'!$N$3:$N$480,"=35")+SUMIFS('ANALITIKA EU PROJEKATA'!$H$3:$H$499,'ANALITIKA EU PROJEKATA'!$A$3:$A$499,"=11",'ANALITIKA EU PROJEKATA'!$Q$3:$Q$499,"=35")</f>
        <v>0</v>
      </c>
      <c r="F76" s="147">
        <f>SUMIFS('Plan rashoda za unos u SAP'!$J$3:$J$480,'Plan rashoda za unos u SAP'!$C$3:$C$480,"=12",'Plan rashoda za unos u SAP'!$N$3:$N$480,"=35")+SUMIFS('ANALITIKA EU PROJEKATA'!$H$3:$H$499,'ANALITIKA EU PROJEKATA'!$A$3:$A$499,"=12",'ANALITIKA EU PROJEKATA'!$Q$3:$Q$499,"=35")</f>
        <v>0</v>
      </c>
      <c r="G76" s="147">
        <f>SUMIFS('Plan rashoda za unos u SAP'!$J$3:$J$480,'Plan rashoda za unos u SAP'!$C$3:$C$480,"=31",'Plan rashoda za unos u SAP'!$N$3:$N$480,"=35")+SUMIFS('ANALITIKA EU PROJEKATA'!$H$3:$H$499,'ANALITIKA EU PROJEKATA'!$A$3:$A$499,"=31",'ANALITIKA EU PROJEKATA'!$Q$3:$Q$499,"=35")</f>
        <v>0</v>
      </c>
      <c r="H76" s="147">
        <f>SUMIFS('Plan rashoda za unos u SAP'!$J$3:$J$480,'Plan rashoda za unos u SAP'!$C$3:$C$480,"=41",'Plan rashoda za unos u SAP'!$N$3:$N$480,"=35")+SUMIFS('ANALITIKA EU PROJEKATA'!$H$3:$H$499,'ANALITIKA EU PROJEKATA'!$A$3:$A$499,"=41",'ANALITIKA EU PROJEKATA'!$Q$3:$Q$499,"=35")</f>
        <v>0</v>
      </c>
      <c r="I76" s="147">
        <f>SUMIFS('Plan rashoda za unos u SAP'!$J$3:$J$480,'Plan rashoda za unos u SAP'!$C$3:$C$480,"=43",'Plan rashoda za unos u SAP'!$N$3:$N$480,"=35")+SUMIFS('ANALITIKA EU PROJEKATA'!$H$3:$H$499,'ANALITIKA EU PROJEKATA'!$A$3:$A$499,"=43",'ANALITIKA EU PROJEKATA'!$Q$3:$Q$499,"=35")</f>
        <v>0</v>
      </c>
      <c r="J76" s="147">
        <f>SUMIFS('Plan rashoda za unos u SAP'!$J$3:$J$480,'Plan rashoda za unos u SAP'!$C$3:$C$480,"=51",'Plan rashoda za unos u SAP'!$N$3:$N$480,"=35")+SUMIFS('ANALITIKA EU PROJEKATA'!$H$3:$H$499,'ANALITIKA EU PROJEKATA'!$A$3:$A$499,"=51",'ANALITIKA EU PROJEKATA'!$Q$3:$Q$499,"=35")</f>
        <v>0</v>
      </c>
      <c r="K76" s="147">
        <f>SUMIFS('Plan rashoda za unos u SAP'!$J$3:$J$480,'Plan rashoda za unos u SAP'!$C$3:$C$480,"=52",'Plan rashoda za unos u SAP'!$N$3:$N$480,"=35")+SUMIFS('ANALITIKA EU PROJEKATA'!$H$3:$H$499,'ANALITIKA EU PROJEKATA'!$A$3:$A$499,"=52",'ANALITIKA EU PROJEKATA'!$Q$3:$Q$499,"=35")</f>
        <v>0</v>
      </c>
      <c r="L76" s="147">
        <f>SUMIFS('Plan rashoda za unos u SAP'!$J$3:$J$480,'Plan rashoda za unos u SAP'!$C$3:$C$480,"=552",'Plan rashoda za unos u SAP'!$N$3:$N$480,"=35")+SUMIFS('ANALITIKA EU PROJEKATA'!$H$3:$H$499,'ANALITIKA EU PROJEKATA'!$A$3:$A$499,"=552",'ANALITIKA EU PROJEKATA'!$Q$3:$Q$499,"=35")</f>
        <v>0</v>
      </c>
      <c r="M76" s="147">
        <f>SUMIFS('Plan rashoda za unos u SAP'!$J$3:$J$480,'Plan rashoda za unos u SAP'!$C$3:$C$480,"=559",'Plan rashoda za unos u SAP'!$N$3:$N$480,"=35")+SUMIFS('ANALITIKA EU PROJEKATA'!$H$3:$H$499,'ANALITIKA EU PROJEKATA'!$A$3:$A$499,"=559",'ANALITIKA EU PROJEKATA'!$Q$3:$Q$499,"=35")</f>
        <v>0</v>
      </c>
      <c r="N76" s="147">
        <f>SUMIFS('Plan rashoda za unos u SAP'!$J$3:$J$480,'Plan rashoda za unos u SAP'!$C$3:$C$480,"=561",'Plan rashoda za unos u SAP'!$N$3:$N$480,"=35")+SUMIFS('ANALITIKA EU PROJEKATA'!$H$3:$H$499,'ANALITIKA EU PROJEKATA'!$A$3:$A$499,"=561",'ANALITIKA EU PROJEKATA'!$Q$3:$Q$499,"=35")</f>
        <v>0</v>
      </c>
      <c r="O76" s="147">
        <f>SUMIFS('Plan rashoda za unos u SAP'!$J$3:$J$480,'Plan rashoda za unos u SAP'!$C$3:$C$480,"=563",'Plan rashoda za unos u SAP'!$N$3:$N$480,"=35")+SUMIFS('ANALITIKA EU PROJEKATA'!$H$3:$H$499,'ANALITIKA EU PROJEKATA'!$A$3:$A$499,"=563",'ANALITIKA EU PROJEKATA'!$Q$3:$Q$499,"=35")</f>
        <v>0</v>
      </c>
      <c r="P76" s="147">
        <f>SUMIFS('Plan rashoda za unos u SAP'!$J$3:$J$480,'Plan rashoda za unos u SAP'!$C$3:$C$480,"=573",'Plan rashoda za unos u SAP'!$N$3:$N$480,"=35")+SUMIFS('ANALITIKA EU PROJEKATA'!$H$3:$H$499,'ANALITIKA EU PROJEKATA'!$A$3:$A$499,"=573",'ANALITIKA EU PROJEKATA'!$Q$3:$Q$499,"=35")</f>
        <v>0</v>
      </c>
      <c r="Q76" s="147">
        <f>SUMIFS('Plan rashoda za unos u SAP'!$J$3:$J$480,'Plan rashoda za unos u SAP'!$C$3:$C$480,"=575",'Plan rashoda za unos u SAP'!$N$3:$N$480,"=35")+SUMIFS('ANALITIKA EU PROJEKATA'!$H$3:$H$499,'ANALITIKA EU PROJEKATA'!$A$3:$A$499,"=575",'ANALITIKA EU PROJEKATA'!$Q$3:$Q$499,"=35")</f>
        <v>0</v>
      </c>
      <c r="R76" s="147">
        <f>SUMIFS('Plan rashoda za unos u SAP'!$J$3:$J$480,'Plan rashoda za unos u SAP'!$C$3:$C$480,"=576",'Plan rashoda za unos u SAP'!$N$3:$N$480,"=35")+SUMIFS('ANALITIKA EU PROJEKATA'!$H$3:$H$499,'ANALITIKA EU PROJEKATA'!$A$3:$A$499,"=576",'ANALITIKA EU PROJEKATA'!$Q$3:$Q$499,"=35")</f>
        <v>0</v>
      </c>
      <c r="S76" s="147">
        <f>SUMIFS('Plan rashoda za unos u SAP'!$J$3:$J$480,'Plan rashoda za unos u SAP'!$C$3:$C$480,"=581",'Plan rashoda za unos u SAP'!$N$3:$N$480,"=35")+SUMIFS('ANALITIKA EU PROJEKATA'!$H$3:$H$499,'ANALITIKA EU PROJEKATA'!$A$3:$A$499,"=581",'ANALITIKA EU PROJEKATA'!$Q$3:$Q$499,"=35")</f>
        <v>0</v>
      </c>
      <c r="T76" s="147">
        <f>SUMIFS('Plan rashoda za unos u SAP'!$J$3:$J$480,'Plan rashoda za unos u SAP'!$C$3:$C$480,"=61",'Plan rashoda za unos u SAP'!$N$3:$N$480,"=35")+SUMIFS('ANALITIKA EU PROJEKATA'!$H$3:$H$499,'ANALITIKA EU PROJEKATA'!$A$3:$A$499,"=61",'ANALITIKA EU PROJEKATA'!$Q$3:$Q$499,"=35")</f>
        <v>0</v>
      </c>
      <c r="U76" s="147">
        <f>SUMIFS('Plan rashoda za unos u SAP'!$J$3:$J$480,'Plan rashoda za unos u SAP'!$C$3:$C$480,"=63",'Plan rashoda za unos u SAP'!$N$3:$N$480,"=35")+SUMIFS('ANALITIKA EU PROJEKATA'!$H$3:$H$499,'ANALITIKA EU PROJEKATA'!$A$3:$A$499,"=63",'ANALITIKA EU PROJEKATA'!$Q$3:$Q$499,"=35")</f>
        <v>0</v>
      </c>
      <c r="V76" s="147">
        <f>SUMIFS('Plan rashoda za unos u SAP'!$J$3:$J$480,'Plan rashoda za unos u SAP'!$C$3:$C$480,"=71",'Plan rashoda za unos u SAP'!$N$3:$N$480,"=35")+SUMIFS('ANALITIKA EU PROJEKATA'!$H$3:$H$499,'ANALITIKA EU PROJEKATA'!$A$3:$A$499,"=71",'ANALITIKA EU PROJEKATA'!$Q$3:$Q$499,"=35")</f>
        <v>0</v>
      </c>
      <c r="W76" s="147">
        <f>SUMIFS('Plan rashoda za unos u SAP'!$J$3:$J$480,'Plan rashoda za unos u SAP'!$C$3:$C$480,"=81",'Plan rashoda za unos u SAP'!$N$3:$N$480,"=35")+SUMIFS('ANALITIKA EU PROJEKATA'!$H$3:$H$499,'ANALITIKA EU PROJEKATA'!$A$3:$A$499,"=81",'ANALITIKA EU PROJEKATA'!$Q$3:$Q$499,"=35")</f>
        <v>0</v>
      </c>
      <c r="X76" s="152"/>
      <c r="Y76" s="152"/>
      <c r="Z76" s="152"/>
      <c r="AA76" s="152"/>
      <c r="AB76" s="152"/>
      <c r="AC76" s="152"/>
      <c r="AD76" s="152"/>
      <c r="AE76" s="152"/>
      <c r="AF76" s="152"/>
      <c r="AG76" s="152"/>
      <c r="AH76" s="152"/>
      <c r="AI76" s="152"/>
      <c r="AJ76" s="152"/>
      <c r="AK76" s="152"/>
      <c r="AL76" s="152"/>
      <c r="AM76" s="152"/>
      <c r="AN76" s="152"/>
      <c r="AO76" s="152"/>
      <c r="AP76" s="152"/>
      <c r="AQ76" s="152"/>
    </row>
    <row r="77" spans="1:43" ht="12" customHeight="1">
      <c r="A77" s="131">
        <v>2022</v>
      </c>
      <c r="B77" s="150">
        <v>36</v>
      </c>
      <c r="C77" s="155" t="s">
        <v>3445</v>
      </c>
      <c r="D77" s="162">
        <f t="shared" si="19"/>
        <v>0</v>
      </c>
      <c r="E77" s="147">
        <f>SUMIFS('Plan rashoda za unos u SAP'!$J$3:$J$480,'Plan rashoda za unos u SAP'!$C$3:$C$480,"=11",'Plan rashoda za unos u SAP'!$N$3:$N$480,"=36")+SUMIFS('ANALITIKA EU PROJEKATA'!$H$3:$H$499,'ANALITIKA EU PROJEKATA'!$A$3:$A$499,"=11",'ANALITIKA EU PROJEKATA'!$Q$3:$Q$499,"=36")</f>
        <v>0</v>
      </c>
      <c r="F77" s="147">
        <f>SUMIFS('Plan rashoda za unos u SAP'!$J$3:$J$480,'Plan rashoda za unos u SAP'!$C$3:$C$480,"=12",'Plan rashoda za unos u SAP'!$N$3:$N$480,"=36")+SUMIFS('ANALITIKA EU PROJEKATA'!$H$3:$H$499,'ANALITIKA EU PROJEKATA'!$A$3:$A$499,"=12",'ANALITIKA EU PROJEKATA'!$Q$3:$Q$499,"=36")</f>
        <v>0</v>
      </c>
      <c r="G77" s="147">
        <f>SUMIFS('Plan rashoda za unos u SAP'!$J$3:$J$480,'Plan rashoda za unos u SAP'!$C$3:$C$480,"=31",'Plan rashoda za unos u SAP'!$N$3:$N$480,"=36")+SUMIFS('ANALITIKA EU PROJEKATA'!$H$3:$H$499,'ANALITIKA EU PROJEKATA'!$A$3:$A$499,"=31",'ANALITIKA EU PROJEKATA'!$Q$3:$Q$499,"=36")</f>
        <v>0</v>
      </c>
      <c r="H77" s="147">
        <f>SUMIFS('Plan rashoda za unos u SAP'!$J$3:$J$480,'Plan rashoda za unos u SAP'!$C$3:$C$480,"=41",'Plan rashoda za unos u SAP'!$N$3:$N$480,"=36")+SUMIFS('ANALITIKA EU PROJEKATA'!$H$3:$H$499,'ANALITIKA EU PROJEKATA'!$A$3:$A$499,"=41",'ANALITIKA EU PROJEKATA'!$Q$3:$Q$499,"=36")</f>
        <v>0</v>
      </c>
      <c r="I77" s="147">
        <f>SUMIFS('Plan rashoda za unos u SAP'!$J$3:$J$480,'Plan rashoda za unos u SAP'!$C$3:$C$480,"=43",'Plan rashoda za unos u SAP'!$N$3:$N$480,"=36")+SUMIFS('ANALITIKA EU PROJEKATA'!$H$3:$H$499,'ANALITIKA EU PROJEKATA'!$A$3:$A$499,"=43",'ANALITIKA EU PROJEKATA'!$Q$3:$Q$499,"=36")</f>
        <v>0</v>
      </c>
      <c r="J77" s="147">
        <f>SUMIFS('Plan rashoda za unos u SAP'!$J$3:$J$480,'Plan rashoda za unos u SAP'!$C$3:$C$480,"=51",'Plan rashoda za unos u SAP'!$N$3:$N$480,"=36")+SUMIFS('ANALITIKA EU PROJEKATA'!$H$3:$H$499,'ANALITIKA EU PROJEKATA'!$A$3:$A$499,"=51",'ANALITIKA EU PROJEKATA'!$Q$3:$Q$499,"=36")</f>
        <v>0</v>
      </c>
      <c r="K77" s="147">
        <f>SUMIFS('Plan rashoda za unos u SAP'!$J$3:$J$480,'Plan rashoda za unos u SAP'!$C$3:$C$480,"=52",'Plan rashoda za unos u SAP'!$N$3:$N$480,"=36")+SUMIFS('ANALITIKA EU PROJEKATA'!$H$3:$H$499,'ANALITIKA EU PROJEKATA'!$A$3:$A$499,"=52",'ANALITIKA EU PROJEKATA'!$Q$3:$Q$499,"=36")</f>
        <v>0</v>
      </c>
      <c r="L77" s="147">
        <f>SUMIFS('Plan rashoda za unos u SAP'!$J$3:$J$480,'Plan rashoda za unos u SAP'!$C$3:$C$480,"=552",'Plan rashoda za unos u SAP'!$N$3:$N$480,"=36")+SUMIFS('ANALITIKA EU PROJEKATA'!$H$3:$H$499,'ANALITIKA EU PROJEKATA'!$A$3:$A$499,"=552",'ANALITIKA EU PROJEKATA'!$Q$3:$Q$499,"=36")</f>
        <v>0</v>
      </c>
      <c r="M77" s="147">
        <f>SUMIFS('Plan rashoda za unos u SAP'!$J$3:$J$480,'Plan rashoda za unos u SAP'!$C$3:$C$480,"=559",'Plan rashoda za unos u SAP'!$N$3:$N$480,"=36")+SUMIFS('ANALITIKA EU PROJEKATA'!$H$3:$H$499,'ANALITIKA EU PROJEKATA'!$A$3:$A$499,"=559",'ANALITIKA EU PROJEKATA'!$Q$3:$Q$499,"=36")</f>
        <v>0</v>
      </c>
      <c r="N77" s="147">
        <f>SUMIFS('Plan rashoda za unos u SAP'!$J$3:$J$480,'Plan rashoda za unos u SAP'!$C$3:$C$480,"=561",'Plan rashoda za unos u SAP'!$N$3:$N$480,"=36")+SUMIFS('ANALITIKA EU PROJEKATA'!$H$3:$H$499,'ANALITIKA EU PROJEKATA'!$A$3:$A$499,"=561",'ANALITIKA EU PROJEKATA'!$Q$3:$Q$499,"=36")</f>
        <v>0</v>
      </c>
      <c r="O77" s="147">
        <f>SUMIFS('Plan rashoda za unos u SAP'!$J$3:$J$480,'Plan rashoda za unos u SAP'!$C$3:$C$480,"=563",'Plan rashoda za unos u SAP'!$N$3:$N$480,"=36")+SUMIFS('ANALITIKA EU PROJEKATA'!$H$3:$H$499,'ANALITIKA EU PROJEKATA'!$A$3:$A$499,"=563",'ANALITIKA EU PROJEKATA'!$Q$3:$Q$499,"=36")</f>
        <v>0</v>
      </c>
      <c r="P77" s="147">
        <f>SUMIFS('Plan rashoda za unos u SAP'!$J$3:$J$480,'Plan rashoda za unos u SAP'!$C$3:$C$480,"=573",'Plan rashoda za unos u SAP'!$N$3:$N$480,"=36")+SUMIFS('ANALITIKA EU PROJEKATA'!$H$3:$H$499,'ANALITIKA EU PROJEKATA'!$A$3:$A$499,"=573",'ANALITIKA EU PROJEKATA'!$Q$3:$Q$499,"=36")</f>
        <v>0</v>
      </c>
      <c r="Q77" s="147">
        <f>SUMIFS('Plan rashoda za unos u SAP'!$J$3:$J$480,'Plan rashoda za unos u SAP'!$C$3:$C$480,"=575",'Plan rashoda za unos u SAP'!$N$3:$N$480,"=36")+SUMIFS('ANALITIKA EU PROJEKATA'!$H$3:$H$499,'ANALITIKA EU PROJEKATA'!$A$3:$A$499,"=575",'ANALITIKA EU PROJEKATA'!$Q$3:$Q$499,"=36")</f>
        <v>0</v>
      </c>
      <c r="R77" s="147">
        <f>SUMIFS('Plan rashoda za unos u SAP'!$J$3:$J$480,'Plan rashoda za unos u SAP'!$C$3:$C$480,"=576",'Plan rashoda za unos u SAP'!$N$3:$N$480,"=36")+SUMIFS('ANALITIKA EU PROJEKATA'!$H$3:$H$499,'ANALITIKA EU PROJEKATA'!$A$3:$A$499,"=576",'ANALITIKA EU PROJEKATA'!$Q$3:$Q$499,"=36")</f>
        <v>0</v>
      </c>
      <c r="S77" s="147">
        <f>SUMIFS('Plan rashoda za unos u SAP'!$J$3:$J$480,'Plan rashoda za unos u SAP'!$C$3:$C$480,"=581",'Plan rashoda za unos u SAP'!$N$3:$N$480,"=36")+SUMIFS('ANALITIKA EU PROJEKATA'!$H$3:$H$499,'ANALITIKA EU PROJEKATA'!$A$3:$A$499,"=581",'ANALITIKA EU PROJEKATA'!$Q$3:$Q$499,"=36")</f>
        <v>0</v>
      </c>
      <c r="T77" s="147">
        <f>SUMIFS('Plan rashoda za unos u SAP'!$J$3:$J$480,'Plan rashoda za unos u SAP'!$C$3:$C$480,"=61",'Plan rashoda za unos u SAP'!$N$3:$N$480,"=36")+SUMIFS('ANALITIKA EU PROJEKATA'!$H$3:$H$499,'ANALITIKA EU PROJEKATA'!$A$3:$A$499,"=61",'ANALITIKA EU PROJEKATA'!$Q$3:$Q$499,"=36")</f>
        <v>0</v>
      </c>
      <c r="U77" s="147">
        <f>SUMIFS('Plan rashoda za unos u SAP'!$J$3:$J$480,'Plan rashoda za unos u SAP'!$C$3:$C$480,"=63",'Plan rashoda za unos u SAP'!$N$3:$N$480,"=36")+SUMIFS('ANALITIKA EU PROJEKATA'!$H$3:$H$499,'ANALITIKA EU PROJEKATA'!$A$3:$A$499,"=63",'ANALITIKA EU PROJEKATA'!$Q$3:$Q$499,"=36")</f>
        <v>0</v>
      </c>
      <c r="V77" s="147">
        <f>SUMIFS('Plan rashoda za unos u SAP'!$J$3:$J$480,'Plan rashoda za unos u SAP'!$C$3:$C$480,"=71",'Plan rashoda za unos u SAP'!$N$3:$N$480,"=36")+SUMIFS('ANALITIKA EU PROJEKATA'!$H$3:$H$499,'ANALITIKA EU PROJEKATA'!$A$3:$A$499,"=71",'ANALITIKA EU PROJEKATA'!$Q$3:$Q$499,"=36")</f>
        <v>0</v>
      </c>
      <c r="W77" s="147">
        <f>SUMIFS('Plan rashoda za unos u SAP'!$J$3:$J$480,'Plan rashoda za unos u SAP'!$C$3:$C$480,"=81",'Plan rashoda za unos u SAP'!$N$3:$N$480,"=36")+SUMIFS('ANALITIKA EU PROJEKATA'!$H$3:$H$499,'ANALITIKA EU PROJEKATA'!$A$3:$A$499,"=81",'ANALITIKA EU PROJEKATA'!$Q$3:$Q$499,"=36")</f>
        <v>0</v>
      </c>
      <c r="X77" s="152"/>
      <c r="Y77" s="152"/>
      <c r="Z77" s="152"/>
      <c r="AA77" s="152"/>
      <c r="AB77" s="152"/>
      <c r="AC77" s="152"/>
      <c r="AD77" s="152"/>
      <c r="AE77" s="152"/>
      <c r="AF77" s="152"/>
      <c r="AG77" s="152"/>
      <c r="AH77" s="152"/>
      <c r="AI77" s="152"/>
      <c r="AJ77" s="152"/>
      <c r="AK77" s="152"/>
      <c r="AL77" s="152"/>
      <c r="AM77" s="152"/>
      <c r="AN77" s="152"/>
      <c r="AO77" s="152"/>
      <c r="AP77" s="152"/>
      <c r="AQ77" s="152"/>
    </row>
    <row r="78" spans="1:43" ht="12" customHeight="1">
      <c r="A78" s="131">
        <v>2022</v>
      </c>
      <c r="B78" s="150">
        <v>37</v>
      </c>
      <c r="C78" s="151" t="s">
        <v>3450</v>
      </c>
      <c r="D78" s="162">
        <f t="shared" si="19"/>
        <v>296125.94</v>
      </c>
      <c r="E78" s="147">
        <f>SUMIFS('Plan rashoda za unos u SAP'!$J$3:$J$480,'Plan rashoda za unos u SAP'!$C$3:$C$480,"=11",'Plan rashoda za unos u SAP'!$N$3:$N$480,"=37")+SUMIFS('ANALITIKA EU PROJEKATA'!$H$3:$H$499,'ANALITIKA EU PROJEKATA'!$A$3:$A$499,"=11",'ANALITIKA EU PROJEKATA'!$Q$3:$Q$499,"=37")</f>
        <v>0</v>
      </c>
      <c r="F78" s="147">
        <f>SUMIFS('Plan rashoda za unos u SAP'!$J$3:$J$480,'Plan rashoda za unos u SAP'!$C$3:$C$480,"=12",'Plan rashoda za unos u SAP'!$N$3:$N$480,"=37")+SUMIFS('ANALITIKA EU PROJEKATA'!$H$3:$H$499,'ANALITIKA EU PROJEKATA'!$A$3:$A$499,"=12",'ANALITIKA EU PROJEKATA'!$Q$3:$Q$499,"=37")</f>
        <v>0</v>
      </c>
      <c r="G78" s="147">
        <f>SUMIFS('Plan rashoda za unos u SAP'!$J$3:$J$480,'Plan rashoda za unos u SAP'!$C$3:$C$480,"=31",'Plan rashoda za unos u SAP'!$N$3:$N$480,"=37")+SUMIFS('ANALITIKA EU PROJEKATA'!$H$3:$H$499,'ANALITIKA EU PROJEKATA'!$A$3:$A$499,"=31",'ANALITIKA EU PROJEKATA'!$Q$3:$Q$499,"=37")</f>
        <v>75750</v>
      </c>
      <c r="H78" s="147">
        <f>SUMIFS('Plan rashoda za unos u SAP'!$J$3:$J$480,'Plan rashoda za unos u SAP'!$C$3:$C$480,"=41",'Plan rashoda za unos u SAP'!$N$3:$N$480,"=37")+SUMIFS('ANALITIKA EU PROJEKATA'!$H$3:$H$499,'ANALITIKA EU PROJEKATA'!$A$3:$A$499,"=41",'ANALITIKA EU PROJEKATA'!$Q$3:$Q$499,"=37")</f>
        <v>0</v>
      </c>
      <c r="I78" s="147">
        <f>SUMIFS('Plan rashoda za unos u SAP'!$J$3:$J$480,'Plan rashoda za unos u SAP'!$C$3:$C$480,"=43",'Plan rashoda za unos u SAP'!$N$3:$N$480,"=37")+SUMIFS('ANALITIKA EU PROJEKATA'!$H$3:$H$499,'ANALITIKA EU PROJEKATA'!$A$3:$A$499,"=43",'ANALITIKA EU PROJEKATA'!$Q$3:$Q$499,"=37")</f>
        <v>86035.94</v>
      </c>
      <c r="J78" s="147">
        <f>SUMIFS('Plan rashoda za unos u SAP'!$J$3:$J$480,'Plan rashoda za unos u SAP'!$C$3:$C$480,"=51",'Plan rashoda za unos u SAP'!$N$3:$N$480,"=37")+SUMIFS('ANALITIKA EU PROJEKATA'!$H$3:$H$499,'ANALITIKA EU PROJEKATA'!$A$3:$A$499,"=51",'ANALITIKA EU PROJEKATA'!$Q$3:$Q$499,"=37")</f>
        <v>0</v>
      </c>
      <c r="K78" s="147">
        <f>SUMIFS('Plan rashoda za unos u SAP'!$J$3:$J$480,'Plan rashoda za unos u SAP'!$C$3:$C$480,"=52",'Plan rashoda za unos u SAP'!$N$3:$N$480,"=37")+SUMIFS('ANALITIKA EU PROJEKATA'!$H$3:$H$499,'ANALITIKA EU PROJEKATA'!$A$3:$A$499,"=52",'ANALITIKA EU PROJEKATA'!$Q$3:$Q$499,"=37")</f>
        <v>134340</v>
      </c>
      <c r="L78" s="147">
        <f>SUMIFS('Plan rashoda za unos u SAP'!$J$3:$J$480,'Plan rashoda za unos u SAP'!$C$3:$C$480,"=552",'Plan rashoda za unos u SAP'!$N$3:$N$480,"=37")+SUMIFS('ANALITIKA EU PROJEKATA'!$H$3:$H$499,'ANALITIKA EU PROJEKATA'!$A$3:$A$499,"=552",'ANALITIKA EU PROJEKATA'!$Q$3:$Q$499,"=37")</f>
        <v>0</v>
      </c>
      <c r="M78" s="147">
        <f>SUMIFS('Plan rashoda za unos u SAP'!$J$3:$J$480,'Plan rashoda za unos u SAP'!$C$3:$C$480,"=559",'Plan rashoda za unos u SAP'!$N$3:$N$480,"=37")+SUMIFS('ANALITIKA EU PROJEKATA'!$H$3:$H$499,'ANALITIKA EU PROJEKATA'!$A$3:$A$499,"=559",'ANALITIKA EU PROJEKATA'!$Q$3:$Q$499,"=37")</f>
        <v>0</v>
      </c>
      <c r="N78" s="147">
        <f>SUMIFS('Plan rashoda za unos u SAP'!$J$3:$J$480,'Plan rashoda za unos u SAP'!$C$3:$C$480,"=561",'Plan rashoda za unos u SAP'!$N$3:$N$480,"=37")+SUMIFS('ANALITIKA EU PROJEKATA'!$H$3:$H$499,'ANALITIKA EU PROJEKATA'!$A$3:$A$499,"=561",'ANALITIKA EU PROJEKATA'!$Q$3:$Q$499,"=37")</f>
        <v>0</v>
      </c>
      <c r="O78" s="147">
        <f>SUMIFS('Plan rashoda za unos u SAP'!$J$3:$J$480,'Plan rashoda za unos u SAP'!$C$3:$C$480,"=563",'Plan rashoda za unos u SAP'!$N$3:$N$480,"=37")+SUMIFS('ANALITIKA EU PROJEKATA'!$H$3:$H$499,'ANALITIKA EU PROJEKATA'!$A$3:$A$499,"=563",'ANALITIKA EU PROJEKATA'!$Q$3:$Q$499,"=37")</f>
        <v>0</v>
      </c>
      <c r="P78" s="147">
        <f>SUMIFS('Plan rashoda za unos u SAP'!$J$3:$J$480,'Plan rashoda za unos u SAP'!$C$3:$C$480,"=573",'Plan rashoda za unos u SAP'!$N$3:$N$480,"=37")+SUMIFS('ANALITIKA EU PROJEKATA'!$H$3:$H$499,'ANALITIKA EU PROJEKATA'!$A$3:$A$499,"=573",'ANALITIKA EU PROJEKATA'!$Q$3:$Q$499,"=37")</f>
        <v>0</v>
      </c>
      <c r="Q78" s="147">
        <f>SUMIFS('Plan rashoda za unos u SAP'!$J$3:$J$480,'Plan rashoda za unos u SAP'!$C$3:$C$480,"=575",'Plan rashoda za unos u SAP'!$N$3:$N$480,"=37")+SUMIFS('ANALITIKA EU PROJEKATA'!$H$3:$H$499,'ANALITIKA EU PROJEKATA'!$A$3:$A$499,"=575",'ANALITIKA EU PROJEKATA'!$Q$3:$Q$499,"=37")</f>
        <v>0</v>
      </c>
      <c r="R78" s="147">
        <f>SUMIFS('Plan rashoda za unos u SAP'!$J$3:$J$480,'Plan rashoda za unos u SAP'!$C$3:$C$480,"=576",'Plan rashoda za unos u SAP'!$N$3:$N$480,"=37")+SUMIFS('ANALITIKA EU PROJEKATA'!$H$3:$H$499,'ANALITIKA EU PROJEKATA'!$A$3:$A$499,"=576",'ANALITIKA EU PROJEKATA'!$Q$3:$Q$499,"=37")</f>
        <v>0</v>
      </c>
      <c r="S78" s="147">
        <f>SUMIFS('Plan rashoda za unos u SAP'!$J$3:$J$480,'Plan rashoda za unos u SAP'!$C$3:$C$480,"=581",'Plan rashoda za unos u SAP'!$N$3:$N$480,"=37")+SUMIFS('ANALITIKA EU PROJEKATA'!$H$3:$H$499,'ANALITIKA EU PROJEKATA'!$A$3:$A$499,"=581",'ANALITIKA EU PROJEKATA'!$Q$3:$Q$499,"=37")</f>
        <v>0</v>
      </c>
      <c r="T78" s="147">
        <f>SUMIFS('Plan rashoda za unos u SAP'!$J$3:$J$480,'Plan rashoda za unos u SAP'!$C$3:$C$480,"=61",'Plan rashoda za unos u SAP'!$N$3:$N$480,"=37")+SUMIFS('ANALITIKA EU PROJEKATA'!$H$3:$H$499,'ANALITIKA EU PROJEKATA'!$A$3:$A$499,"=61",'ANALITIKA EU PROJEKATA'!$Q$3:$Q$499,"=37")</f>
        <v>0</v>
      </c>
      <c r="U78" s="147">
        <f>SUMIFS('Plan rashoda za unos u SAP'!$J$3:$J$480,'Plan rashoda za unos u SAP'!$C$3:$C$480,"=63",'Plan rashoda za unos u SAP'!$N$3:$N$480,"=37")+SUMIFS('ANALITIKA EU PROJEKATA'!$H$3:$H$499,'ANALITIKA EU PROJEKATA'!$A$3:$A$499,"=63",'ANALITIKA EU PROJEKATA'!$Q$3:$Q$499,"=37")</f>
        <v>0</v>
      </c>
      <c r="V78" s="147">
        <f>SUMIFS('Plan rashoda za unos u SAP'!$J$3:$J$480,'Plan rashoda za unos u SAP'!$C$3:$C$480,"=71",'Plan rashoda za unos u SAP'!$N$3:$N$480,"=37")+SUMIFS('ANALITIKA EU PROJEKATA'!$H$3:$H$499,'ANALITIKA EU PROJEKATA'!$A$3:$A$499,"=71",'ANALITIKA EU PROJEKATA'!$Q$3:$Q$499,"=37")</f>
        <v>0</v>
      </c>
      <c r="W78" s="147">
        <f>SUMIFS('Plan rashoda za unos u SAP'!$J$3:$J$480,'Plan rashoda za unos u SAP'!$C$3:$C$480,"=81",'Plan rashoda za unos u SAP'!$N$3:$N$480,"=37")+SUMIFS('ANALITIKA EU PROJEKATA'!$H$3:$H$499,'ANALITIKA EU PROJEKATA'!$A$3:$A$499,"=81",'ANALITIKA EU PROJEKATA'!$Q$3:$Q$499,"=37")</f>
        <v>0</v>
      </c>
      <c r="X78" s="152"/>
      <c r="Y78" s="152"/>
      <c r="Z78" s="152"/>
      <c r="AA78" s="152"/>
      <c r="AB78" s="152"/>
      <c r="AC78" s="152"/>
      <c r="AD78" s="152"/>
      <c r="AE78" s="152"/>
      <c r="AF78" s="152"/>
      <c r="AG78" s="152"/>
      <c r="AH78" s="152"/>
      <c r="AI78" s="152"/>
      <c r="AJ78" s="152"/>
      <c r="AK78" s="152"/>
      <c r="AL78" s="152"/>
      <c r="AM78" s="152"/>
      <c r="AN78" s="152"/>
      <c r="AO78" s="152"/>
      <c r="AP78" s="152"/>
      <c r="AQ78" s="152"/>
    </row>
    <row r="79" spans="1:43" ht="12" customHeight="1">
      <c r="A79" s="131">
        <v>2022</v>
      </c>
      <c r="B79" s="150">
        <v>38</v>
      </c>
      <c r="C79" s="151" t="s">
        <v>3453</v>
      </c>
      <c r="D79" s="162">
        <f t="shared" si="19"/>
        <v>0</v>
      </c>
      <c r="E79" s="147">
        <f>SUMIFS('Plan rashoda za unos u SAP'!$J$3:$J$480,'Plan rashoda za unos u SAP'!$C$3:$C$480,"=11",'Plan rashoda za unos u SAP'!$N$3:$N$480,"=38")+SUMIFS('ANALITIKA EU PROJEKATA'!$H$3:$H$499,'ANALITIKA EU PROJEKATA'!$A$3:$A$499,"=11",'ANALITIKA EU PROJEKATA'!$Q$3:$Q$499,"=38")</f>
        <v>0</v>
      </c>
      <c r="F79" s="147">
        <f>SUMIFS('Plan rashoda za unos u SAP'!$J$3:$J$480,'Plan rashoda za unos u SAP'!$C$3:$C$480,"=12",'Plan rashoda za unos u SAP'!$N$3:$N$480,"=38")+SUMIFS('ANALITIKA EU PROJEKATA'!$H$3:$H$499,'ANALITIKA EU PROJEKATA'!$A$3:$A$499,"=12",'ANALITIKA EU PROJEKATA'!$Q$3:$Q$499,"=38")</f>
        <v>0</v>
      </c>
      <c r="G79" s="147">
        <f>SUMIFS('Plan rashoda za unos u SAP'!$J$3:$J$480,'Plan rashoda za unos u SAP'!$C$3:$C$480,"=31",'Plan rashoda za unos u SAP'!$N$3:$N$480,"=38")+SUMIFS('ANALITIKA EU PROJEKATA'!$H$3:$H$499,'ANALITIKA EU PROJEKATA'!$A$3:$A$499,"=31",'ANALITIKA EU PROJEKATA'!$Q$3:$Q$499,"=38")</f>
        <v>0</v>
      </c>
      <c r="H79" s="147">
        <f>SUMIFS('Plan rashoda za unos u SAP'!$J$3:$J$480,'Plan rashoda za unos u SAP'!$C$3:$C$480,"=41",'Plan rashoda za unos u SAP'!$N$3:$N$480,"=38")+SUMIFS('ANALITIKA EU PROJEKATA'!$H$3:$H$499,'ANALITIKA EU PROJEKATA'!$A$3:$A$499,"=41",'ANALITIKA EU PROJEKATA'!$Q$3:$Q$499,"=38")</f>
        <v>0</v>
      </c>
      <c r="I79" s="147">
        <f>SUMIFS('Plan rashoda za unos u SAP'!$J$3:$J$480,'Plan rashoda za unos u SAP'!$C$3:$C$480,"=43",'Plan rashoda za unos u SAP'!$N$3:$N$480,"=38")+SUMIFS('ANALITIKA EU PROJEKATA'!$H$3:$H$499,'ANALITIKA EU PROJEKATA'!$A$3:$A$499,"=43",'ANALITIKA EU PROJEKATA'!$Q$3:$Q$499,"=38")</f>
        <v>0</v>
      </c>
      <c r="J79" s="147">
        <f>SUMIFS('Plan rashoda za unos u SAP'!$J$3:$J$480,'Plan rashoda za unos u SAP'!$C$3:$C$480,"=51",'Plan rashoda za unos u SAP'!$N$3:$N$480,"=38")+SUMIFS('ANALITIKA EU PROJEKATA'!$H$3:$H$499,'ANALITIKA EU PROJEKATA'!$A$3:$A$499,"=51",'ANALITIKA EU PROJEKATA'!$Q$3:$Q$499,"=38")</f>
        <v>0</v>
      </c>
      <c r="K79" s="147">
        <f>SUMIFS('Plan rashoda za unos u SAP'!$J$3:$J$480,'Plan rashoda za unos u SAP'!$C$3:$C$480,"=52",'Plan rashoda za unos u SAP'!$N$3:$N$480,"=38")+SUMIFS('ANALITIKA EU PROJEKATA'!$H$3:$H$499,'ANALITIKA EU PROJEKATA'!$A$3:$A$499,"=52",'ANALITIKA EU PROJEKATA'!$Q$3:$Q$499,"=38")</f>
        <v>0</v>
      </c>
      <c r="L79" s="147">
        <f>SUMIFS('Plan rashoda za unos u SAP'!$J$3:$J$480,'Plan rashoda za unos u SAP'!$C$3:$C$480,"=552",'Plan rashoda za unos u SAP'!$N$3:$N$480,"=38")+SUMIFS('ANALITIKA EU PROJEKATA'!$H$3:$H$499,'ANALITIKA EU PROJEKATA'!$A$3:$A$499,"=552",'ANALITIKA EU PROJEKATA'!$Q$3:$Q$499,"=38")</f>
        <v>0</v>
      </c>
      <c r="M79" s="147">
        <f>SUMIFS('Plan rashoda za unos u SAP'!$J$3:$J$480,'Plan rashoda za unos u SAP'!$C$3:$C$480,"=559",'Plan rashoda za unos u SAP'!$N$3:$N$480,"=38")+SUMIFS('ANALITIKA EU PROJEKATA'!$H$3:$H$499,'ANALITIKA EU PROJEKATA'!$A$3:$A$499,"=559",'ANALITIKA EU PROJEKATA'!$Q$3:$Q$499,"=38")</f>
        <v>0</v>
      </c>
      <c r="N79" s="147">
        <f>SUMIFS('Plan rashoda za unos u SAP'!$J$3:$J$480,'Plan rashoda za unos u SAP'!$C$3:$C$480,"=561",'Plan rashoda za unos u SAP'!$N$3:$N$480,"=38")+SUMIFS('ANALITIKA EU PROJEKATA'!$H$3:$H$499,'ANALITIKA EU PROJEKATA'!$A$3:$A$499,"=561",'ANALITIKA EU PROJEKATA'!$Q$3:$Q$499,"=38")</f>
        <v>0</v>
      </c>
      <c r="O79" s="147">
        <f>SUMIFS('Plan rashoda za unos u SAP'!$J$3:$J$480,'Plan rashoda za unos u SAP'!$C$3:$C$480,"=563",'Plan rashoda za unos u SAP'!$N$3:$N$480,"=38")+SUMIFS('ANALITIKA EU PROJEKATA'!$H$3:$H$499,'ANALITIKA EU PROJEKATA'!$A$3:$A$499,"=563",'ANALITIKA EU PROJEKATA'!$Q$3:$Q$499,"=38")</f>
        <v>0</v>
      </c>
      <c r="P79" s="147">
        <f>SUMIFS('Plan rashoda za unos u SAP'!$J$3:$J$480,'Plan rashoda za unos u SAP'!$C$3:$C$480,"=573",'Plan rashoda za unos u SAP'!$N$3:$N$480,"=38")+SUMIFS('ANALITIKA EU PROJEKATA'!$H$3:$H$499,'ANALITIKA EU PROJEKATA'!$A$3:$A$499,"=573",'ANALITIKA EU PROJEKATA'!$Q$3:$Q$499,"=38")</f>
        <v>0</v>
      </c>
      <c r="Q79" s="147">
        <f>SUMIFS('Plan rashoda za unos u SAP'!$J$3:$J$480,'Plan rashoda za unos u SAP'!$C$3:$C$480,"=575",'Plan rashoda za unos u SAP'!$N$3:$N$480,"=38")+SUMIFS('ANALITIKA EU PROJEKATA'!$H$3:$H$499,'ANALITIKA EU PROJEKATA'!$A$3:$A$499,"=575",'ANALITIKA EU PROJEKATA'!$Q$3:$Q$499,"=38")</f>
        <v>0</v>
      </c>
      <c r="R79" s="147">
        <f>SUMIFS('Plan rashoda za unos u SAP'!$J$3:$J$480,'Plan rashoda za unos u SAP'!$C$3:$C$480,"=576",'Plan rashoda za unos u SAP'!$N$3:$N$480,"=38")+SUMIFS('ANALITIKA EU PROJEKATA'!$H$3:$H$499,'ANALITIKA EU PROJEKATA'!$A$3:$A$499,"=576",'ANALITIKA EU PROJEKATA'!$Q$3:$Q$499,"=38")</f>
        <v>0</v>
      </c>
      <c r="S79" s="147">
        <f>SUMIFS('Plan rashoda za unos u SAP'!$J$3:$J$480,'Plan rashoda za unos u SAP'!$C$3:$C$480,"=581",'Plan rashoda za unos u SAP'!$N$3:$N$480,"=38")+SUMIFS('ANALITIKA EU PROJEKATA'!$H$3:$H$499,'ANALITIKA EU PROJEKATA'!$A$3:$A$499,"=581",'ANALITIKA EU PROJEKATA'!$Q$3:$Q$499,"=38")</f>
        <v>0</v>
      </c>
      <c r="T79" s="147">
        <f>SUMIFS('Plan rashoda za unos u SAP'!$J$3:$J$480,'Plan rashoda za unos u SAP'!$C$3:$C$480,"=61",'Plan rashoda za unos u SAP'!$N$3:$N$480,"=38")+SUMIFS('ANALITIKA EU PROJEKATA'!$H$3:$H$499,'ANALITIKA EU PROJEKATA'!$A$3:$A$499,"=61",'ANALITIKA EU PROJEKATA'!$Q$3:$Q$499,"=38")</f>
        <v>0</v>
      </c>
      <c r="U79" s="147">
        <f>SUMIFS('Plan rashoda za unos u SAP'!$J$3:$J$480,'Plan rashoda za unos u SAP'!$C$3:$C$480,"=63",'Plan rashoda za unos u SAP'!$N$3:$N$480,"=38")+SUMIFS('ANALITIKA EU PROJEKATA'!$H$3:$H$499,'ANALITIKA EU PROJEKATA'!$A$3:$A$499,"=63",'ANALITIKA EU PROJEKATA'!$Q$3:$Q$499,"=38")</f>
        <v>0</v>
      </c>
      <c r="V79" s="147">
        <f>SUMIFS('Plan rashoda za unos u SAP'!$J$3:$J$480,'Plan rashoda za unos u SAP'!$C$3:$C$480,"=71",'Plan rashoda za unos u SAP'!$N$3:$N$480,"=38")+SUMIFS('ANALITIKA EU PROJEKATA'!$H$3:$H$499,'ANALITIKA EU PROJEKATA'!$A$3:$A$499,"=71",'ANALITIKA EU PROJEKATA'!$Q$3:$Q$499,"=38")</f>
        <v>0</v>
      </c>
      <c r="W79" s="147">
        <f>SUMIFS('Plan rashoda za unos u SAP'!$J$3:$J$480,'Plan rashoda za unos u SAP'!$C$3:$C$480,"=81",'Plan rashoda za unos u SAP'!$N$3:$N$480,"=38")+SUMIFS('ANALITIKA EU PROJEKATA'!$H$3:$H$499,'ANALITIKA EU PROJEKATA'!$A$3:$A$499,"=81",'ANALITIKA EU PROJEKATA'!$Q$3:$Q$499,"=38")</f>
        <v>0</v>
      </c>
      <c r="X79" s="152"/>
      <c r="Y79" s="152"/>
      <c r="Z79" s="152"/>
      <c r="AA79" s="152"/>
      <c r="AB79" s="152"/>
      <c r="AC79" s="152"/>
      <c r="AD79" s="152"/>
      <c r="AE79" s="152"/>
      <c r="AF79" s="152"/>
      <c r="AG79" s="152"/>
      <c r="AH79" s="152"/>
      <c r="AI79" s="152"/>
      <c r="AJ79" s="152"/>
      <c r="AK79" s="152"/>
      <c r="AL79" s="152"/>
      <c r="AM79" s="152"/>
      <c r="AN79" s="152"/>
      <c r="AO79" s="152"/>
      <c r="AP79" s="152"/>
      <c r="AQ79" s="152"/>
    </row>
    <row r="80" spans="1:43" ht="12" customHeight="1">
      <c r="A80" s="131">
        <v>2022</v>
      </c>
      <c r="B80" s="156">
        <v>4</v>
      </c>
      <c r="C80" s="157" t="s">
        <v>3458</v>
      </c>
      <c r="D80" s="158">
        <f t="shared" si="19"/>
        <v>6041035.3000000007</v>
      </c>
      <c r="E80" s="163">
        <f t="shared" ref="E80:W80" si="22">SUM(E81:E85)</f>
        <v>0</v>
      </c>
      <c r="F80" s="163">
        <f t="shared" si="22"/>
        <v>0</v>
      </c>
      <c r="G80" s="163">
        <f t="shared" si="22"/>
        <v>1272051.07</v>
      </c>
      <c r="H80" s="163">
        <f t="shared" si="22"/>
        <v>0</v>
      </c>
      <c r="I80" s="163">
        <f t="shared" si="22"/>
        <v>3724942.8036000002</v>
      </c>
      <c r="J80" s="163">
        <f t="shared" si="22"/>
        <v>20000</v>
      </c>
      <c r="K80" s="163">
        <f t="shared" si="22"/>
        <v>987841.42640000011</v>
      </c>
      <c r="L80" s="163">
        <f t="shared" si="22"/>
        <v>0</v>
      </c>
      <c r="M80" s="163">
        <f t="shared" si="22"/>
        <v>0</v>
      </c>
      <c r="N80" s="163">
        <f t="shared" si="22"/>
        <v>0</v>
      </c>
      <c r="O80" s="163">
        <f t="shared" si="22"/>
        <v>0</v>
      </c>
      <c r="P80" s="163">
        <f t="shared" si="22"/>
        <v>0</v>
      </c>
      <c r="Q80" s="163">
        <f t="shared" si="22"/>
        <v>0</v>
      </c>
      <c r="R80" s="163">
        <f t="shared" si="22"/>
        <v>0</v>
      </c>
      <c r="S80" s="163">
        <f t="shared" si="22"/>
        <v>0</v>
      </c>
      <c r="T80" s="163">
        <f t="shared" si="22"/>
        <v>36200</v>
      </c>
      <c r="U80" s="163">
        <f t="shared" si="22"/>
        <v>0</v>
      </c>
      <c r="V80" s="163">
        <f t="shared" si="22"/>
        <v>0</v>
      </c>
      <c r="W80" s="163">
        <f t="shared" si="22"/>
        <v>0</v>
      </c>
      <c r="X80" s="129"/>
      <c r="Y80" s="129"/>
      <c r="Z80" s="129"/>
      <c r="AA80" s="129"/>
      <c r="AB80" s="129"/>
      <c r="AC80" s="129"/>
      <c r="AD80" s="129"/>
      <c r="AE80" s="129"/>
      <c r="AF80" s="129"/>
      <c r="AG80" s="129"/>
      <c r="AH80" s="129"/>
      <c r="AI80" s="129"/>
      <c r="AJ80" s="129"/>
      <c r="AK80" s="129"/>
      <c r="AL80" s="129"/>
      <c r="AM80" s="129"/>
      <c r="AN80" s="129"/>
      <c r="AO80" s="129"/>
      <c r="AP80" s="129"/>
      <c r="AQ80" s="129"/>
    </row>
    <row r="81" spans="1:43" ht="12" customHeight="1">
      <c r="A81" s="131">
        <v>2022</v>
      </c>
      <c r="B81" s="140">
        <v>41</v>
      </c>
      <c r="C81" s="141" t="s">
        <v>3459</v>
      </c>
      <c r="D81" s="162">
        <f t="shared" si="19"/>
        <v>1008608.22</v>
      </c>
      <c r="E81" s="147">
        <f>SUMIFS('Plan rashoda za unos u SAP'!$J$3:$J$480,'Plan rashoda za unos u SAP'!$C$3:$C$480,"=11",'Plan rashoda za unos u SAP'!$N$3:$N$480,"=41")+SUMIFS('ANALITIKA EU PROJEKATA'!$H$3:$H$499,'ANALITIKA EU PROJEKATA'!$A$3:$A$499,"=11",'ANALITIKA EU PROJEKATA'!$Q$3:$Q$499,"=41")</f>
        <v>0</v>
      </c>
      <c r="F81" s="147">
        <f>SUMIFS('Plan rashoda za unos u SAP'!$J$3:$J$480,'Plan rashoda za unos u SAP'!$C$3:$C$480,"=12",'Plan rashoda za unos u SAP'!$N$3:$N$480,"=41")+SUMIFS('ANALITIKA EU PROJEKATA'!$H$3:$H$499,'ANALITIKA EU PROJEKATA'!$A$3:$A$499,"=12",'ANALITIKA EU PROJEKATA'!$Q$3:$Q$499,"=41")</f>
        <v>0</v>
      </c>
      <c r="G81" s="147">
        <f>SUMIFS('Plan rashoda za unos u SAP'!$J$3:$J$480,'Plan rashoda za unos u SAP'!$C$3:$C$480,"=31",'Plan rashoda za unos u SAP'!$N$3:$N$480,"=41")+SUMIFS('ANALITIKA EU PROJEKATA'!$H$3:$H$499,'ANALITIKA EU PROJEKATA'!$A$3:$A$499,"=31",'ANALITIKA EU PROJEKATA'!$Q$3:$Q$499,"=41")</f>
        <v>10100</v>
      </c>
      <c r="H81" s="147">
        <f>SUMIFS('Plan rashoda za unos u SAP'!$J$3:$J$480,'Plan rashoda za unos u SAP'!$C$3:$C$480,"=41",'Plan rashoda za unos u SAP'!$N$3:$N$480,"=41")+SUMIFS('ANALITIKA EU PROJEKATA'!$H$3:$H$499,'ANALITIKA EU PROJEKATA'!$A$3:$A$499,"=41",'ANALITIKA EU PROJEKATA'!$Q$3:$Q$499,"=41")</f>
        <v>0</v>
      </c>
      <c r="I81" s="147">
        <f>SUMIFS('Plan rashoda za unos u SAP'!$J$3:$J$480,'Plan rashoda za unos u SAP'!$C$3:$C$480,"=43",'Plan rashoda za unos u SAP'!$N$3:$N$480,"=41")+SUMIFS('ANALITIKA EU PROJEKATA'!$H$3:$H$499,'ANALITIKA EU PROJEKATA'!$A$3:$A$499,"=43",'ANALITIKA EU PROJEKATA'!$Q$3:$Q$499,"=41")</f>
        <v>998508.22</v>
      </c>
      <c r="J81" s="147">
        <f>SUMIFS('Plan rashoda za unos u SAP'!$J$3:$J$480,'Plan rashoda za unos u SAP'!$C$3:$C$480,"=51",'Plan rashoda za unos u SAP'!$N$3:$N$480,"=41")+SUMIFS('ANALITIKA EU PROJEKATA'!$H$3:$H$499,'ANALITIKA EU PROJEKATA'!$A$3:$A$499,"=51",'ANALITIKA EU PROJEKATA'!$Q$3:$Q$499,"=41")</f>
        <v>0</v>
      </c>
      <c r="K81" s="147">
        <f>SUMIFS('Plan rashoda za unos u SAP'!$J$3:$J$480,'Plan rashoda za unos u SAP'!$C$3:$C$480,"=52",'Plan rashoda za unos u SAP'!$N$3:$N$480,"=41")+SUMIFS('ANALITIKA EU PROJEKATA'!$H$3:$H$499,'ANALITIKA EU PROJEKATA'!$A$3:$A$499,"=52",'ANALITIKA EU PROJEKATA'!$Q$3:$Q$499,"=41")</f>
        <v>0</v>
      </c>
      <c r="L81" s="147">
        <f>SUMIFS('Plan rashoda za unos u SAP'!$J$3:$J$480,'Plan rashoda za unos u SAP'!$C$3:$C$480,"=552",'Plan rashoda za unos u SAP'!$N$3:$N$480,"=41")+SUMIFS('ANALITIKA EU PROJEKATA'!$H$3:$H$499,'ANALITIKA EU PROJEKATA'!$A$3:$A$499,"=552",'ANALITIKA EU PROJEKATA'!$Q$3:$Q$499,"=41")</f>
        <v>0</v>
      </c>
      <c r="M81" s="147">
        <f>SUMIFS('Plan rashoda za unos u SAP'!$J$3:$J$480,'Plan rashoda za unos u SAP'!$C$3:$C$480,"=559",'Plan rashoda za unos u SAP'!$N$3:$N$480,"=41")+SUMIFS('ANALITIKA EU PROJEKATA'!$H$3:$H$499,'ANALITIKA EU PROJEKATA'!$A$3:$A$499,"=559",'ANALITIKA EU PROJEKATA'!$Q$3:$Q$499,"=41")</f>
        <v>0</v>
      </c>
      <c r="N81" s="147">
        <f>SUMIFS('Plan rashoda za unos u SAP'!$J$3:$J$480,'Plan rashoda za unos u SAP'!$C$3:$C$480,"=561",'Plan rashoda za unos u SAP'!$N$3:$N$480,"=41")+SUMIFS('ANALITIKA EU PROJEKATA'!$H$3:$H$499,'ANALITIKA EU PROJEKATA'!$A$3:$A$499,"=561",'ANALITIKA EU PROJEKATA'!$Q$3:$Q$499,"=41")</f>
        <v>0</v>
      </c>
      <c r="O81" s="147">
        <f>SUMIFS('Plan rashoda za unos u SAP'!$J$3:$J$480,'Plan rashoda za unos u SAP'!$C$3:$C$480,"=563",'Plan rashoda za unos u SAP'!$N$3:$N$480,"=41")+SUMIFS('ANALITIKA EU PROJEKATA'!$H$3:$H$499,'ANALITIKA EU PROJEKATA'!$A$3:$A$499,"=563",'ANALITIKA EU PROJEKATA'!$Q$3:$Q$499,"=41")</f>
        <v>0</v>
      </c>
      <c r="P81" s="147">
        <f>SUMIFS('Plan rashoda za unos u SAP'!$J$3:$J$480,'Plan rashoda za unos u SAP'!$C$3:$C$480,"=573",'Plan rashoda za unos u SAP'!$N$3:$N$480,"=41")+SUMIFS('ANALITIKA EU PROJEKATA'!$H$3:$H$499,'ANALITIKA EU PROJEKATA'!$A$3:$A$499,"=573",'ANALITIKA EU PROJEKATA'!$Q$3:$Q$499,"=41")</f>
        <v>0</v>
      </c>
      <c r="Q81" s="147">
        <f>SUMIFS('Plan rashoda za unos u SAP'!$J$3:$J$480,'Plan rashoda za unos u SAP'!$C$3:$C$480,"=575",'Plan rashoda za unos u SAP'!$N$3:$N$480,"=41")+SUMIFS('ANALITIKA EU PROJEKATA'!$H$3:$H$499,'ANALITIKA EU PROJEKATA'!$A$3:$A$499,"=575",'ANALITIKA EU PROJEKATA'!$Q$3:$Q$499,"=41")</f>
        <v>0</v>
      </c>
      <c r="R81" s="147">
        <f>SUMIFS('Plan rashoda za unos u SAP'!$J$3:$J$480,'Plan rashoda za unos u SAP'!$C$3:$C$480,"=576",'Plan rashoda za unos u SAP'!$N$3:$N$480,"=41")+SUMIFS('ANALITIKA EU PROJEKATA'!$H$3:$H$499,'ANALITIKA EU PROJEKATA'!$A$3:$A$499,"=576",'ANALITIKA EU PROJEKATA'!$Q$3:$Q$499,"=41")</f>
        <v>0</v>
      </c>
      <c r="S81" s="147">
        <f>SUMIFS('Plan rashoda za unos u SAP'!$J$3:$J$480,'Plan rashoda za unos u SAP'!$C$3:$C$480,"=581",'Plan rashoda za unos u SAP'!$N$3:$N$480,"=41")+SUMIFS('ANALITIKA EU PROJEKATA'!$H$3:$H$499,'ANALITIKA EU PROJEKATA'!$A$3:$A$499,"=581",'ANALITIKA EU PROJEKATA'!$Q$3:$Q$499,"=41")</f>
        <v>0</v>
      </c>
      <c r="T81" s="147">
        <f>SUMIFS('Plan rashoda za unos u SAP'!$J$3:$J$480,'Plan rashoda za unos u SAP'!$C$3:$C$480,"=61",'Plan rashoda za unos u SAP'!$N$3:$N$480,"=41")+SUMIFS('ANALITIKA EU PROJEKATA'!$H$3:$H$499,'ANALITIKA EU PROJEKATA'!$A$3:$A$499,"=61",'ANALITIKA EU PROJEKATA'!$Q$3:$Q$499,"=41")</f>
        <v>0</v>
      </c>
      <c r="U81" s="147">
        <f>SUMIFS('Plan rashoda za unos u SAP'!$J$3:$J$480,'Plan rashoda za unos u SAP'!$C$3:$C$480,"=63",'Plan rashoda za unos u SAP'!$N$3:$N$480,"=41")+SUMIFS('ANALITIKA EU PROJEKATA'!$H$3:$H$499,'ANALITIKA EU PROJEKATA'!$A$3:$A$499,"=63",'ANALITIKA EU PROJEKATA'!$Q$3:$Q$499,"=41")</f>
        <v>0</v>
      </c>
      <c r="V81" s="147">
        <f>SUMIFS('Plan rashoda za unos u SAP'!$J$3:$J$480,'Plan rashoda za unos u SAP'!$C$3:$C$480,"=71",'Plan rashoda za unos u SAP'!$N$3:$N$480,"=41")+SUMIFS('ANALITIKA EU PROJEKATA'!$H$3:$H$499,'ANALITIKA EU PROJEKATA'!$A$3:$A$499,"=71",'ANALITIKA EU PROJEKATA'!$Q$3:$Q$499,"=41")</f>
        <v>0</v>
      </c>
      <c r="W81" s="147">
        <f>SUMIFS('Plan rashoda za unos u SAP'!$J$3:$J$480,'Plan rashoda za unos u SAP'!$C$3:$C$480,"=81",'Plan rashoda za unos u SAP'!$N$3:$N$480,"=41")+SUMIFS('ANALITIKA EU PROJEKATA'!$H$3:$H$499,'ANALITIKA EU PROJEKATA'!$A$3:$A$499,"=81",'ANALITIKA EU PROJEKATA'!$Q$3:$Q$499,"=41")</f>
        <v>0</v>
      </c>
      <c r="X81" s="152"/>
      <c r="Y81" s="152"/>
      <c r="Z81" s="152"/>
      <c r="AA81" s="152"/>
      <c r="AB81" s="152"/>
      <c r="AC81" s="152"/>
      <c r="AD81" s="152"/>
      <c r="AE81" s="152"/>
      <c r="AF81" s="152"/>
      <c r="AG81" s="152"/>
      <c r="AH81" s="152"/>
      <c r="AI81" s="152"/>
      <c r="AJ81" s="152"/>
      <c r="AK81" s="152"/>
      <c r="AL81" s="152"/>
      <c r="AM81" s="152"/>
      <c r="AN81" s="152"/>
      <c r="AO81" s="152"/>
      <c r="AP81" s="152"/>
      <c r="AQ81" s="152"/>
    </row>
    <row r="82" spans="1:43" ht="12" customHeight="1">
      <c r="A82" s="131">
        <v>2022</v>
      </c>
      <c r="B82" s="150">
        <v>42</v>
      </c>
      <c r="C82" s="151" t="s">
        <v>3462</v>
      </c>
      <c r="D82" s="162">
        <f t="shared" si="19"/>
        <v>4931427.080000001</v>
      </c>
      <c r="E82" s="147">
        <f>SUMIFS('Plan rashoda za unos u SAP'!$J$3:$J$480,'Plan rashoda za unos u SAP'!$C$3:$C$480,"=11",'Plan rashoda za unos u SAP'!$N$3:$N$480,"=42")+SUMIFS('ANALITIKA EU PROJEKATA'!$H$3:$H$499,'ANALITIKA EU PROJEKATA'!$A$3:$A$499,"=11",'ANALITIKA EU PROJEKATA'!$Q$3:$Q$499,"=42")</f>
        <v>0</v>
      </c>
      <c r="F82" s="147">
        <f>SUMIFS('Plan rashoda za unos u SAP'!$J$3:$J$480,'Plan rashoda za unos u SAP'!$C$3:$C$480,"=12",'Plan rashoda za unos u SAP'!$N$3:$N$480,"=42")+SUMIFS('ANALITIKA EU PROJEKATA'!$H$3:$H$499,'ANALITIKA EU PROJEKATA'!$A$3:$A$499,"=12",'ANALITIKA EU PROJEKATA'!$Q$3:$Q$499,"=42")</f>
        <v>0</v>
      </c>
      <c r="G82" s="147">
        <f>SUMIFS('Plan rashoda za unos u SAP'!$J$3:$J$480,'Plan rashoda za unos u SAP'!$C$3:$C$480,"=31",'Plan rashoda za unos u SAP'!$N$3:$N$480,"=42")+SUMIFS('ANALITIKA EU PROJEKATA'!$H$3:$H$499,'ANALITIKA EU PROJEKATA'!$A$3:$A$499,"=31",'ANALITIKA EU PROJEKATA'!$Q$3:$Q$499,"=42")</f>
        <v>1160951.07</v>
      </c>
      <c r="H82" s="147">
        <f>SUMIFS('Plan rashoda za unos u SAP'!$J$3:$J$480,'Plan rashoda za unos u SAP'!$C$3:$C$480,"=41",'Plan rashoda za unos u SAP'!$N$3:$N$480,"=42")+SUMIFS('ANALITIKA EU PROJEKATA'!$H$3:$H$499,'ANALITIKA EU PROJEKATA'!$A$3:$A$499,"=41",'ANALITIKA EU PROJEKATA'!$Q$3:$Q$499,"=42")</f>
        <v>0</v>
      </c>
      <c r="I82" s="147">
        <f>SUMIFS('Plan rashoda za unos u SAP'!$J$3:$J$480,'Plan rashoda za unos u SAP'!$C$3:$C$480,"=43",'Plan rashoda za unos u SAP'!$N$3:$N$480,"=42")+SUMIFS('ANALITIKA EU PROJEKATA'!$H$3:$H$499,'ANALITIKA EU PROJEKATA'!$A$3:$A$499,"=43",'ANALITIKA EU PROJEKATA'!$Q$3:$Q$499,"=42")</f>
        <v>2726434.5836000005</v>
      </c>
      <c r="J82" s="147">
        <f>SUMIFS('Plan rashoda za unos u SAP'!$J$3:$J$480,'Plan rashoda za unos u SAP'!$C$3:$C$480,"=51",'Plan rashoda za unos u SAP'!$N$3:$N$480,"=42")+SUMIFS('ANALITIKA EU PROJEKATA'!$H$3:$H$499,'ANALITIKA EU PROJEKATA'!$A$3:$A$499,"=51",'ANALITIKA EU PROJEKATA'!$Q$3:$Q$499,"=42")</f>
        <v>20000</v>
      </c>
      <c r="K82" s="147">
        <f>SUMIFS('Plan rashoda za unos u SAP'!$J$3:$J$480,'Plan rashoda za unos u SAP'!$C$3:$C$480,"=52",'Plan rashoda za unos u SAP'!$N$3:$N$480,"=42")+SUMIFS('ANALITIKA EU PROJEKATA'!$H$3:$H$499,'ANALITIKA EU PROJEKATA'!$A$3:$A$499,"=52",'ANALITIKA EU PROJEKATA'!$Q$3:$Q$499,"=42")</f>
        <v>987841.42640000011</v>
      </c>
      <c r="L82" s="147">
        <f>SUMIFS('Plan rashoda za unos u SAP'!$J$3:$J$480,'Plan rashoda za unos u SAP'!$C$3:$C$480,"=552",'Plan rashoda za unos u SAP'!$N$3:$N$480,"=42")+SUMIFS('ANALITIKA EU PROJEKATA'!$H$3:$H$499,'ANALITIKA EU PROJEKATA'!$A$3:$A$499,"=552",'ANALITIKA EU PROJEKATA'!$Q$3:$Q$499,"=42")</f>
        <v>0</v>
      </c>
      <c r="M82" s="147">
        <f>SUMIFS('Plan rashoda za unos u SAP'!$J$3:$J$480,'Plan rashoda za unos u SAP'!$C$3:$C$480,"=559",'Plan rashoda za unos u SAP'!$N$3:$N$480,"=42")+SUMIFS('ANALITIKA EU PROJEKATA'!$H$3:$H$499,'ANALITIKA EU PROJEKATA'!$A$3:$A$499,"=559",'ANALITIKA EU PROJEKATA'!$Q$3:$Q$499,"=42")</f>
        <v>0</v>
      </c>
      <c r="N82" s="147">
        <f>SUMIFS('Plan rashoda za unos u SAP'!$J$3:$J$480,'Plan rashoda za unos u SAP'!$C$3:$C$480,"=561",'Plan rashoda za unos u SAP'!$N$3:$N$480,"=42")+SUMIFS('ANALITIKA EU PROJEKATA'!$H$3:$H$499,'ANALITIKA EU PROJEKATA'!$A$3:$A$499,"=561",'ANALITIKA EU PROJEKATA'!$Q$3:$Q$499,"=42")</f>
        <v>0</v>
      </c>
      <c r="O82" s="147">
        <f>SUMIFS('Plan rashoda za unos u SAP'!$J$3:$J$480,'Plan rashoda za unos u SAP'!$C$3:$C$480,"=563",'Plan rashoda za unos u SAP'!$N$3:$N$480,"=42")+SUMIFS('ANALITIKA EU PROJEKATA'!$H$3:$H$499,'ANALITIKA EU PROJEKATA'!$A$3:$A$499,"=563",'ANALITIKA EU PROJEKATA'!$Q$3:$Q$499,"=42")</f>
        <v>0</v>
      </c>
      <c r="P82" s="147">
        <f>SUMIFS('Plan rashoda za unos u SAP'!$J$3:$J$480,'Plan rashoda za unos u SAP'!$C$3:$C$480,"=573",'Plan rashoda za unos u SAP'!$N$3:$N$480,"=42")+SUMIFS('ANALITIKA EU PROJEKATA'!$H$3:$H$499,'ANALITIKA EU PROJEKATA'!$A$3:$A$499,"=573",'ANALITIKA EU PROJEKATA'!$Q$3:$Q$499,"=42")</f>
        <v>0</v>
      </c>
      <c r="Q82" s="147">
        <f>SUMIFS('Plan rashoda za unos u SAP'!$J$3:$J$480,'Plan rashoda za unos u SAP'!$C$3:$C$480,"=575",'Plan rashoda za unos u SAP'!$N$3:$N$480,"=42")+SUMIFS('ANALITIKA EU PROJEKATA'!$H$3:$H$499,'ANALITIKA EU PROJEKATA'!$A$3:$A$499,"=575",'ANALITIKA EU PROJEKATA'!$Q$3:$Q$499,"=42")</f>
        <v>0</v>
      </c>
      <c r="R82" s="147">
        <f>SUMIFS('Plan rashoda za unos u SAP'!$J$3:$J$480,'Plan rashoda za unos u SAP'!$C$3:$C$480,"=576",'Plan rashoda za unos u SAP'!$N$3:$N$480,"=42")+SUMIFS('ANALITIKA EU PROJEKATA'!$H$3:$H$499,'ANALITIKA EU PROJEKATA'!$A$3:$A$499,"=576",'ANALITIKA EU PROJEKATA'!$Q$3:$Q$499,"=42")</f>
        <v>0</v>
      </c>
      <c r="S82" s="147">
        <f>SUMIFS('Plan rashoda za unos u SAP'!$J$3:$J$480,'Plan rashoda za unos u SAP'!$C$3:$C$480,"=581",'Plan rashoda za unos u SAP'!$N$3:$N$480,"=42")+SUMIFS('ANALITIKA EU PROJEKATA'!$H$3:$H$499,'ANALITIKA EU PROJEKATA'!$A$3:$A$499,"=581",'ANALITIKA EU PROJEKATA'!$Q$3:$Q$499,"=42")</f>
        <v>0</v>
      </c>
      <c r="T82" s="147">
        <f>SUMIFS('Plan rashoda za unos u SAP'!$J$3:$J$480,'Plan rashoda za unos u SAP'!$C$3:$C$480,"=61",'Plan rashoda za unos u SAP'!$N$3:$N$480,"=42")+SUMIFS('ANALITIKA EU PROJEKATA'!$H$3:$H$499,'ANALITIKA EU PROJEKATA'!$A$3:$A$499,"=61",'ANALITIKA EU PROJEKATA'!$Q$3:$Q$499,"=42")</f>
        <v>36200</v>
      </c>
      <c r="U82" s="147">
        <f>SUMIFS('Plan rashoda za unos u SAP'!$J$3:$J$480,'Plan rashoda za unos u SAP'!$C$3:$C$480,"=63",'Plan rashoda za unos u SAP'!$N$3:$N$480,"=42")+SUMIFS('ANALITIKA EU PROJEKATA'!$H$3:$H$499,'ANALITIKA EU PROJEKATA'!$A$3:$A$499,"=63",'ANALITIKA EU PROJEKATA'!$Q$3:$Q$499,"=42")</f>
        <v>0</v>
      </c>
      <c r="V82" s="147">
        <f>SUMIFS('Plan rashoda za unos u SAP'!$J$3:$J$480,'Plan rashoda za unos u SAP'!$C$3:$C$480,"=71",'Plan rashoda za unos u SAP'!$N$3:$N$480,"=42")+SUMIFS('ANALITIKA EU PROJEKATA'!$H$3:$H$499,'ANALITIKA EU PROJEKATA'!$A$3:$A$499,"=71",'ANALITIKA EU PROJEKATA'!$Q$3:$Q$499,"=42")</f>
        <v>0</v>
      </c>
      <c r="W82" s="147">
        <f>SUMIFS('Plan rashoda za unos u SAP'!$J$3:$J$480,'Plan rashoda za unos u SAP'!$C$3:$C$480,"=81",'Plan rashoda za unos u SAP'!$N$3:$N$480,"=42")+SUMIFS('ANALITIKA EU PROJEKATA'!$H$3:$H$499,'ANALITIKA EU PROJEKATA'!$A$3:$A$499,"=81",'ANALITIKA EU PROJEKATA'!$Q$3:$Q$499,"=42")</f>
        <v>0</v>
      </c>
      <c r="X82" s="152"/>
      <c r="Y82" s="152"/>
      <c r="Z82" s="152"/>
      <c r="AA82" s="152"/>
      <c r="AB82" s="152"/>
      <c r="AC82" s="152"/>
      <c r="AD82" s="152"/>
      <c r="AE82" s="152"/>
      <c r="AF82" s="152"/>
      <c r="AG82" s="152"/>
      <c r="AH82" s="152"/>
      <c r="AI82" s="152"/>
      <c r="AJ82" s="152"/>
      <c r="AK82" s="152"/>
      <c r="AL82" s="152"/>
      <c r="AM82" s="152"/>
      <c r="AN82" s="152"/>
      <c r="AO82" s="152"/>
      <c r="AP82" s="152"/>
      <c r="AQ82" s="152"/>
    </row>
    <row r="83" spans="1:43" ht="12" customHeight="1">
      <c r="A83" s="131">
        <v>2022</v>
      </c>
      <c r="B83" s="140">
        <v>43</v>
      </c>
      <c r="C83" s="141" t="s">
        <v>3469</v>
      </c>
      <c r="D83" s="162">
        <f t="shared" si="19"/>
        <v>0</v>
      </c>
      <c r="E83" s="147">
        <f>SUMIFS('Plan rashoda za unos u SAP'!$J$3:$J$480,'Plan rashoda za unos u SAP'!$C$3:$C$480,"=11",'Plan rashoda za unos u SAP'!$N$3:$N$480,"=43")+SUMIFS('ANALITIKA EU PROJEKATA'!$H$3:$H$499,'ANALITIKA EU PROJEKATA'!$A$3:$A$499,"=11",'ANALITIKA EU PROJEKATA'!$Q$3:$Q$499,"=43")</f>
        <v>0</v>
      </c>
      <c r="F83" s="147">
        <f>SUMIFS('Plan rashoda za unos u SAP'!$J$3:$J$480,'Plan rashoda za unos u SAP'!$C$3:$C$480,"=12",'Plan rashoda za unos u SAP'!$N$3:$N$480,"=43")+SUMIFS('ANALITIKA EU PROJEKATA'!$H$3:$H$499,'ANALITIKA EU PROJEKATA'!$A$3:$A$499,"=12",'ANALITIKA EU PROJEKATA'!$Q$3:$Q$499,"=43")</f>
        <v>0</v>
      </c>
      <c r="G83" s="147">
        <f>SUMIFS('Plan rashoda za unos u SAP'!$J$3:$J$480,'Plan rashoda za unos u SAP'!$C$3:$C$480,"=31",'Plan rashoda za unos u SAP'!$N$3:$N$480,"=43")+SUMIFS('ANALITIKA EU PROJEKATA'!$H$3:$H$499,'ANALITIKA EU PROJEKATA'!$A$3:$A$499,"=31",'ANALITIKA EU PROJEKATA'!$Q$3:$Q$499,"=43")</f>
        <v>0</v>
      </c>
      <c r="H83" s="147">
        <f>SUMIFS('Plan rashoda za unos u SAP'!$J$3:$J$480,'Plan rashoda za unos u SAP'!$C$3:$C$480,"=41",'Plan rashoda za unos u SAP'!$N$3:$N$480,"=43")+SUMIFS('ANALITIKA EU PROJEKATA'!$H$3:$H$499,'ANALITIKA EU PROJEKATA'!$A$3:$A$499,"=41",'ANALITIKA EU PROJEKATA'!$Q$3:$Q$499,"=43")</f>
        <v>0</v>
      </c>
      <c r="I83" s="147">
        <f>SUMIFS('Plan rashoda za unos u SAP'!$J$3:$J$480,'Plan rashoda za unos u SAP'!$C$3:$C$480,"=43",'Plan rashoda za unos u SAP'!$N$3:$N$480,"=43")+SUMIFS('ANALITIKA EU PROJEKATA'!$H$3:$H$499,'ANALITIKA EU PROJEKATA'!$A$3:$A$499,"=43",'ANALITIKA EU PROJEKATA'!$Q$3:$Q$499,"=43")</f>
        <v>0</v>
      </c>
      <c r="J83" s="147">
        <f>SUMIFS('Plan rashoda za unos u SAP'!$J$3:$J$480,'Plan rashoda za unos u SAP'!$C$3:$C$480,"=51",'Plan rashoda za unos u SAP'!$N$3:$N$480,"=43")+SUMIFS('ANALITIKA EU PROJEKATA'!$H$3:$H$499,'ANALITIKA EU PROJEKATA'!$A$3:$A$499,"=51",'ANALITIKA EU PROJEKATA'!$Q$3:$Q$499,"=43")</f>
        <v>0</v>
      </c>
      <c r="K83" s="147">
        <f>SUMIFS('Plan rashoda za unos u SAP'!$J$3:$J$480,'Plan rashoda za unos u SAP'!$C$3:$C$480,"=52",'Plan rashoda za unos u SAP'!$N$3:$N$480,"=43")+SUMIFS('ANALITIKA EU PROJEKATA'!$H$3:$H$499,'ANALITIKA EU PROJEKATA'!$A$3:$A$499,"=52",'ANALITIKA EU PROJEKATA'!$Q$3:$Q$499,"=43")</f>
        <v>0</v>
      </c>
      <c r="L83" s="147">
        <f>SUMIFS('Plan rashoda za unos u SAP'!$J$3:$J$480,'Plan rashoda za unos u SAP'!$C$3:$C$480,"=552",'Plan rashoda za unos u SAP'!$N$3:$N$480,"=43")+SUMIFS('ANALITIKA EU PROJEKATA'!$H$3:$H$499,'ANALITIKA EU PROJEKATA'!$A$3:$A$499,"=552",'ANALITIKA EU PROJEKATA'!$Q$3:$Q$499,"=43")</f>
        <v>0</v>
      </c>
      <c r="M83" s="147">
        <f>SUMIFS('Plan rashoda za unos u SAP'!$J$3:$J$480,'Plan rashoda za unos u SAP'!$C$3:$C$480,"=559",'Plan rashoda za unos u SAP'!$N$3:$N$480,"=43")+SUMIFS('ANALITIKA EU PROJEKATA'!$H$3:$H$499,'ANALITIKA EU PROJEKATA'!$A$3:$A$499,"=559",'ANALITIKA EU PROJEKATA'!$Q$3:$Q$499,"=43")</f>
        <v>0</v>
      </c>
      <c r="N83" s="147">
        <f>SUMIFS('Plan rashoda za unos u SAP'!$J$3:$J$480,'Plan rashoda za unos u SAP'!$C$3:$C$480,"=561",'Plan rashoda za unos u SAP'!$N$3:$N$480,"=43")+SUMIFS('ANALITIKA EU PROJEKATA'!$H$3:$H$499,'ANALITIKA EU PROJEKATA'!$A$3:$A$499,"=561",'ANALITIKA EU PROJEKATA'!$Q$3:$Q$499,"=43")</f>
        <v>0</v>
      </c>
      <c r="O83" s="147">
        <f>SUMIFS('Plan rashoda za unos u SAP'!$J$3:$J$480,'Plan rashoda za unos u SAP'!$C$3:$C$480,"=563",'Plan rashoda za unos u SAP'!$N$3:$N$480,"=43")+SUMIFS('ANALITIKA EU PROJEKATA'!$H$3:$H$499,'ANALITIKA EU PROJEKATA'!$A$3:$A$499,"=563",'ANALITIKA EU PROJEKATA'!$Q$3:$Q$499,"=43")</f>
        <v>0</v>
      </c>
      <c r="P83" s="147">
        <f>SUMIFS('Plan rashoda za unos u SAP'!$J$3:$J$480,'Plan rashoda za unos u SAP'!$C$3:$C$480,"=573",'Plan rashoda za unos u SAP'!$N$3:$N$480,"=43")+SUMIFS('ANALITIKA EU PROJEKATA'!$H$3:$H$499,'ANALITIKA EU PROJEKATA'!$A$3:$A$499,"=573",'ANALITIKA EU PROJEKATA'!$Q$3:$Q$499,"=43")</f>
        <v>0</v>
      </c>
      <c r="Q83" s="147">
        <f>SUMIFS('Plan rashoda za unos u SAP'!$J$3:$J$480,'Plan rashoda za unos u SAP'!$C$3:$C$480,"=575",'Plan rashoda za unos u SAP'!$N$3:$N$480,"=43")+SUMIFS('ANALITIKA EU PROJEKATA'!$H$3:$H$499,'ANALITIKA EU PROJEKATA'!$A$3:$A$499,"=575",'ANALITIKA EU PROJEKATA'!$Q$3:$Q$499,"=43")</f>
        <v>0</v>
      </c>
      <c r="R83" s="147">
        <f>SUMIFS('Plan rashoda za unos u SAP'!$J$3:$J$480,'Plan rashoda za unos u SAP'!$C$3:$C$480,"=576",'Plan rashoda za unos u SAP'!$N$3:$N$480,"=43")+SUMIFS('ANALITIKA EU PROJEKATA'!$H$3:$H$499,'ANALITIKA EU PROJEKATA'!$A$3:$A$499,"=576",'ANALITIKA EU PROJEKATA'!$Q$3:$Q$499,"=43")</f>
        <v>0</v>
      </c>
      <c r="S83" s="147">
        <f>SUMIFS('Plan rashoda za unos u SAP'!$J$3:$J$480,'Plan rashoda za unos u SAP'!$C$3:$C$480,"=581",'Plan rashoda za unos u SAP'!$N$3:$N$480,"=43")+SUMIFS('ANALITIKA EU PROJEKATA'!$H$3:$H$499,'ANALITIKA EU PROJEKATA'!$A$3:$A$499,"=581",'ANALITIKA EU PROJEKATA'!$Q$3:$Q$499,"=43")</f>
        <v>0</v>
      </c>
      <c r="T83" s="147">
        <f>SUMIFS('Plan rashoda za unos u SAP'!$J$3:$J$480,'Plan rashoda za unos u SAP'!$C$3:$C$480,"=61",'Plan rashoda za unos u SAP'!$N$3:$N$480,"=43")+SUMIFS('ANALITIKA EU PROJEKATA'!$H$3:$H$499,'ANALITIKA EU PROJEKATA'!$A$3:$A$499,"=61",'ANALITIKA EU PROJEKATA'!$Q$3:$Q$499,"=43")</f>
        <v>0</v>
      </c>
      <c r="U83" s="147">
        <f>SUMIFS('Plan rashoda za unos u SAP'!$J$3:$J$480,'Plan rashoda za unos u SAP'!$C$3:$C$480,"=63",'Plan rashoda za unos u SAP'!$N$3:$N$480,"=43")+SUMIFS('ANALITIKA EU PROJEKATA'!$H$3:$H$499,'ANALITIKA EU PROJEKATA'!$A$3:$A$499,"=63",'ANALITIKA EU PROJEKATA'!$Q$3:$Q$499,"=43")</f>
        <v>0</v>
      </c>
      <c r="V83" s="147">
        <f>SUMIFS('Plan rashoda za unos u SAP'!$J$3:$J$480,'Plan rashoda za unos u SAP'!$C$3:$C$480,"=71",'Plan rashoda za unos u SAP'!$N$3:$N$480,"=43")+SUMIFS('ANALITIKA EU PROJEKATA'!$H$3:$H$499,'ANALITIKA EU PROJEKATA'!$A$3:$A$499,"=71",'ANALITIKA EU PROJEKATA'!$Q$3:$Q$499,"=43")</f>
        <v>0</v>
      </c>
      <c r="W83" s="147">
        <f>SUMIFS('Plan rashoda za unos u SAP'!$J$3:$J$480,'Plan rashoda za unos u SAP'!$C$3:$C$480,"=81",'Plan rashoda za unos u SAP'!$N$3:$N$480,"=43")+SUMIFS('ANALITIKA EU PROJEKATA'!$H$3:$H$499,'ANALITIKA EU PROJEKATA'!$A$3:$A$499,"=81",'ANALITIKA EU PROJEKATA'!$Q$3:$Q$499,"=43")</f>
        <v>0</v>
      </c>
      <c r="X83" s="144"/>
      <c r="Y83" s="144"/>
      <c r="Z83" s="144"/>
      <c r="AA83" s="144"/>
      <c r="AB83" s="144"/>
      <c r="AC83" s="144"/>
      <c r="AD83" s="144"/>
      <c r="AE83" s="144"/>
      <c r="AF83" s="144"/>
      <c r="AG83" s="144"/>
      <c r="AH83" s="144"/>
      <c r="AI83" s="144"/>
      <c r="AJ83" s="144"/>
      <c r="AK83" s="144"/>
      <c r="AL83" s="144"/>
      <c r="AM83" s="144"/>
      <c r="AN83" s="144"/>
      <c r="AO83" s="144"/>
      <c r="AP83" s="144"/>
      <c r="AQ83" s="144"/>
    </row>
    <row r="84" spans="1:43" ht="12" customHeight="1">
      <c r="A84" s="131">
        <v>2022</v>
      </c>
      <c r="B84" s="140">
        <v>44</v>
      </c>
      <c r="C84" s="141" t="s">
        <v>3470</v>
      </c>
      <c r="D84" s="162">
        <f t="shared" si="19"/>
        <v>0</v>
      </c>
      <c r="E84" s="147">
        <f>SUMIFS('Plan rashoda za unos u SAP'!$J$3:$J$480,'Plan rashoda za unos u SAP'!$C$3:$C$480,"=11",'Plan rashoda za unos u SAP'!$N$3:$N$480,"=44")+SUMIFS('ANALITIKA EU PROJEKATA'!$H$3:$H$499,'ANALITIKA EU PROJEKATA'!$A$3:$A$499,"=11",'ANALITIKA EU PROJEKATA'!$Q$3:$Q$499,"=44")</f>
        <v>0</v>
      </c>
      <c r="F84" s="147">
        <f>SUMIFS('Plan rashoda za unos u SAP'!$J$3:$J$480,'Plan rashoda za unos u SAP'!$C$3:$C$480,"=12",'Plan rashoda za unos u SAP'!$N$3:$N$480,"=44")+SUMIFS('ANALITIKA EU PROJEKATA'!$H$3:$H$499,'ANALITIKA EU PROJEKATA'!$A$3:$A$499,"=12",'ANALITIKA EU PROJEKATA'!$Q$3:$Q$499,"=44")</f>
        <v>0</v>
      </c>
      <c r="G84" s="147">
        <f>SUMIFS('Plan rashoda za unos u SAP'!$J$3:$J$480,'Plan rashoda za unos u SAP'!$C$3:$C$480,"=31",'Plan rashoda za unos u SAP'!$N$3:$N$480,"=44")+SUMIFS('ANALITIKA EU PROJEKATA'!$H$3:$H$499,'ANALITIKA EU PROJEKATA'!$A$3:$A$499,"=31",'ANALITIKA EU PROJEKATA'!$Q$3:$Q$499,"=44")</f>
        <v>0</v>
      </c>
      <c r="H84" s="147">
        <f>SUMIFS('Plan rashoda za unos u SAP'!$J$3:$J$480,'Plan rashoda za unos u SAP'!$C$3:$C$480,"=41",'Plan rashoda za unos u SAP'!$N$3:$N$480,"=44")+SUMIFS('ANALITIKA EU PROJEKATA'!$H$3:$H$499,'ANALITIKA EU PROJEKATA'!$A$3:$A$499,"=41",'ANALITIKA EU PROJEKATA'!$Q$3:$Q$499,"=44")</f>
        <v>0</v>
      </c>
      <c r="I84" s="147">
        <f>SUMIFS('Plan rashoda za unos u SAP'!$J$3:$J$480,'Plan rashoda za unos u SAP'!$C$3:$C$480,"=43",'Plan rashoda za unos u SAP'!$N$3:$N$480,"=44")+SUMIFS('ANALITIKA EU PROJEKATA'!$H$3:$H$499,'ANALITIKA EU PROJEKATA'!$A$3:$A$499,"=43",'ANALITIKA EU PROJEKATA'!$Q$3:$Q$499,"=44")</f>
        <v>0</v>
      </c>
      <c r="J84" s="147">
        <f>SUMIFS('Plan rashoda za unos u SAP'!$J$3:$J$480,'Plan rashoda za unos u SAP'!$C$3:$C$480,"=51",'Plan rashoda za unos u SAP'!$N$3:$N$480,"=44")+SUMIFS('ANALITIKA EU PROJEKATA'!$H$3:$H$499,'ANALITIKA EU PROJEKATA'!$A$3:$A$499,"=51",'ANALITIKA EU PROJEKATA'!$Q$3:$Q$499,"=44")</f>
        <v>0</v>
      </c>
      <c r="K84" s="147">
        <f>SUMIFS('Plan rashoda za unos u SAP'!$J$3:$J$480,'Plan rashoda za unos u SAP'!$C$3:$C$480,"=52",'Plan rashoda za unos u SAP'!$N$3:$N$480,"=44")+SUMIFS('ANALITIKA EU PROJEKATA'!$H$3:$H$499,'ANALITIKA EU PROJEKATA'!$A$3:$A$499,"=52",'ANALITIKA EU PROJEKATA'!$Q$3:$Q$499,"=44")</f>
        <v>0</v>
      </c>
      <c r="L84" s="147">
        <f>SUMIFS('Plan rashoda za unos u SAP'!$J$3:$J$480,'Plan rashoda za unos u SAP'!$C$3:$C$480,"=552",'Plan rashoda za unos u SAP'!$N$3:$N$480,"=44")+SUMIFS('ANALITIKA EU PROJEKATA'!$H$3:$H$499,'ANALITIKA EU PROJEKATA'!$A$3:$A$499,"=552",'ANALITIKA EU PROJEKATA'!$Q$3:$Q$499,"=44")</f>
        <v>0</v>
      </c>
      <c r="M84" s="147">
        <f>SUMIFS('Plan rashoda za unos u SAP'!$J$3:$J$480,'Plan rashoda za unos u SAP'!$C$3:$C$480,"=559",'Plan rashoda za unos u SAP'!$N$3:$N$480,"=44")+SUMIFS('ANALITIKA EU PROJEKATA'!$H$3:$H$499,'ANALITIKA EU PROJEKATA'!$A$3:$A$499,"=559",'ANALITIKA EU PROJEKATA'!$Q$3:$Q$499,"=44")</f>
        <v>0</v>
      </c>
      <c r="N84" s="147">
        <f>SUMIFS('Plan rashoda za unos u SAP'!$J$3:$J$480,'Plan rashoda za unos u SAP'!$C$3:$C$480,"=561",'Plan rashoda za unos u SAP'!$N$3:$N$480,"=44")+SUMIFS('ANALITIKA EU PROJEKATA'!$H$3:$H$499,'ANALITIKA EU PROJEKATA'!$A$3:$A$499,"=561",'ANALITIKA EU PROJEKATA'!$Q$3:$Q$499,"=44")</f>
        <v>0</v>
      </c>
      <c r="O84" s="147">
        <f>SUMIFS('Plan rashoda za unos u SAP'!$J$3:$J$480,'Plan rashoda za unos u SAP'!$C$3:$C$480,"=563",'Plan rashoda za unos u SAP'!$N$3:$N$480,"=44")+SUMIFS('ANALITIKA EU PROJEKATA'!$H$3:$H$499,'ANALITIKA EU PROJEKATA'!$A$3:$A$499,"=563",'ANALITIKA EU PROJEKATA'!$Q$3:$Q$499,"=44")</f>
        <v>0</v>
      </c>
      <c r="P84" s="147">
        <f>SUMIFS('Plan rashoda za unos u SAP'!$J$3:$J$480,'Plan rashoda za unos u SAP'!$C$3:$C$480,"=573",'Plan rashoda za unos u SAP'!$N$3:$N$480,"=44")+SUMIFS('ANALITIKA EU PROJEKATA'!$H$3:$H$499,'ANALITIKA EU PROJEKATA'!$A$3:$A$499,"=573",'ANALITIKA EU PROJEKATA'!$Q$3:$Q$499,"=44")</f>
        <v>0</v>
      </c>
      <c r="Q84" s="147">
        <f>SUMIFS('Plan rashoda za unos u SAP'!$J$3:$J$480,'Plan rashoda za unos u SAP'!$C$3:$C$480,"=575",'Plan rashoda za unos u SAP'!$N$3:$N$480,"=44")+SUMIFS('ANALITIKA EU PROJEKATA'!$H$3:$H$499,'ANALITIKA EU PROJEKATA'!$A$3:$A$499,"=575",'ANALITIKA EU PROJEKATA'!$Q$3:$Q$499,"=44")</f>
        <v>0</v>
      </c>
      <c r="R84" s="147">
        <f>SUMIFS('Plan rashoda za unos u SAP'!$J$3:$J$480,'Plan rashoda za unos u SAP'!$C$3:$C$480,"=576",'Plan rashoda za unos u SAP'!$N$3:$N$480,"=44")+SUMIFS('ANALITIKA EU PROJEKATA'!$H$3:$H$499,'ANALITIKA EU PROJEKATA'!$A$3:$A$499,"=576",'ANALITIKA EU PROJEKATA'!$Q$3:$Q$499,"=44")</f>
        <v>0</v>
      </c>
      <c r="S84" s="147">
        <f>SUMIFS('Plan rashoda za unos u SAP'!$J$3:$J$480,'Plan rashoda za unos u SAP'!$C$3:$C$480,"=581",'Plan rashoda za unos u SAP'!$N$3:$N$480,"=44")+SUMIFS('ANALITIKA EU PROJEKATA'!$H$3:$H$499,'ANALITIKA EU PROJEKATA'!$A$3:$A$499,"=581",'ANALITIKA EU PROJEKATA'!$Q$3:$Q$499,"=44")</f>
        <v>0</v>
      </c>
      <c r="T84" s="147">
        <f>SUMIFS('Plan rashoda za unos u SAP'!$J$3:$J$480,'Plan rashoda za unos u SAP'!$C$3:$C$480,"=61",'Plan rashoda za unos u SAP'!$N$3:$N$480,"=44")+SUMIFS('ANALITIKA EU PROJEKATA'!$H$3:$H$499,'ANALITIKA EU PROJEKATA'!$A$3:$A$499,"=61",'ANALITIKA EU PROJEKATA'!$Q$3:$Q$499,"=44")</f>
        <v>0</v>
      </c>
      <c r="U84" s="147">
        <f>SUMIFS('Plan rashoda za unos u SAP'!$J$3:$J$480,'Plan rashoda za unos u SAP'!$C$3:$C$480,"=63",'Plan rashoda za unos u SAP'!$N$3:$N$480,"=44")+SUMIFS('ANALITIKA EU PROJEKATA'!$H$3:$H$499,'ANALITIKA EU PROJEKATA'!$A$3:$A$499,"=63",'ANALITIKA EU PROJEKATA'!$Q$3:$Q$499,"=44")</f>
        <v>0</v>
      </c>
      <c r="V84" s="147">
        <f>SUMIFS('Plan rashoda za unos u SAP'!$J$3:$J$480,'Plan rashoda za unos u SAP'!$C$3:$C$480,"=71",'Plan rashoda za unos u SAP'!$N$3:$N$480,"=44")+SUMIFS('ANALITIKA EU PROJEKATA'!$H$3:$H$499,'ANALITIKA EU PROJEKATA'!$A$3:$A$499,"=71",'ANALITIKA EU PROJEKATA'!$Q$3:$Q$499,"=44")</f>
        <v>0</v>
      </c>
      <c r="W84" s="147">
        <f>SUMIFS('Plan rashoda za unos u SAP'!$J$3:$J$480,'Plan rashoda za unos u SAP'!$C$3:$C$480,"=81",'Plan rashoda za unos u SAP'!$N$3:$N$480,"=44")+SUMIFS('ANALITIKA EU PROJEKATA'!$H$3:$H$499,'ANALITIKA EU PROJEKATA'!$A$3:$A$499,"=81",'ANALITIKA EU PROJEKATA'!$Q$3:$Q$499,"=44")</f>
        <v>0</v>
      </c>
      <c r="X84" s="144"/>
      <c r="Y84" s="144"/>
      <c r="Z84" s="144"/>
      <c r="AA84" s="144"/>
      <c r="AB84" s="144"/>
      <c r="AC84" s="144"/>
      <c r="AD84" s="144"/>
      <c r="AE84" s="144"/>
      <c r="AF84" s="144"/>
      <c r="AG84" s="144"/>
      <c r="AH84" s="144"/>
      <c r="AI84" s="144"/>
      <c r="AJ84" s="144"/>
      <c r="AK84" s="144"/>
      <c r="AL84" s="144"/>
      <c r="AM84" s="144"/>
      <c r="AN84" s="144"/>
      <c r="AO84" s="144"/>
      <c r="AP84" s="144"/>
      <c r="AQ84" s="144"/>
    </row>
    <row r="85" spans="1:43" ht="12" customHeight="1">
      <c r="A85" s="131">
        <v>2022</v>
      </c>
      <c r="B85" s="150">
        <v>45</v>
      </c>
      <c r="C85" s="151" t="s">
        <v>3472</v>
      </c>
      <c r="D85" s="162">
        <f t="shared" si="19"/>
        <v>101000</v>
      </c>
      <c r="E85" s="147">
        <f>SUMIFS('Plan rashoda za unos u SAP'!$J$3:$J$480,'Plan rashoda za unos u SAP'!$C$3:$C$480,"=11",'Plan rashoda za unos u SAP'!$N$3:$N$480,"=45")+SUMIFS('ANALITIKA EU PROJEKATA'!$H$3:$H$499,'ANALITIKA EU PROJEKATA'!$A$3:$A$499,"=11",'ANALITIKA EU PROJEKATA'!$Q$3:$Q$499,"=45")</f>
        <v>0</v>
      </c>
      <c r="F85" s="147">
        <f>SUMIFS('Plan rashoda za unos u SAP'!$J$3:$J$480,'Plan rashoda za unos u SAP'!$C$3:$C$480,"=12",'Plan rashoda za unos u SAP'!$N$3:$N$480,"=45")+SUMIFS('ANALITIKA EU PROJEKATA'!$H$3:$H$499,'ANALITIKA EU PROJEKATA'!$A$3:$A$499,"=12",'ANALITIKA EU PROJEKATA'!$Q$3:$Q$499,"=45")</f>
        <v>0</v>
      </c>
      <c r="G85" s="147">
        <f>SUMIFS('Plan rashoda za unos u SAP'!$J$3:$J$480,'Plan rashoda za unos u SAP'!$C$3:$C$480,"=31",'Plan rashoda za unos u SAP'!$N$3:$N$480,"=45")+SUMIFS('ANALITIKA EU PROJEKATA'!$H$3:$H$499,'ANALITIKA EU PROJEKATA'!$A$3:$A$499,"=31",'ANALITIKA EU PROJEKATA'!$Q$3:$Q$499,"=45")</f>
        <v>101000</v>
      </c>
      <c r="H85" s="147">
        <f>SUMIFS('Plan rashoda za unos u SAP'!$J$3:$J$480,'Plan rashoda za unos u SAP'!$C$3:$C$480,"=41",'Plan rashoda za unos u SAP'!$N$3:$N$480,"=45")+SUMIFS('ANALITIKA EU PROJEKATA'!$H$3:$H$499,'ANALITIKA EU PROJEKATA'!$A$3:$A$499,"=41",'ANALITIKA EU PROJEKATA'!$Q$3:$Q$499,"=45")</f>
        <v>0</v>
      </c>
      <c r="I85" s="147">
        <f>SUMIFS('Plan rashoda za unos u SAP'!$J$3:$J$480,'Plan rashoda za unos u SAP'!$C$3:$C$480,"=43",'Plan rashoda za unos u SAP'!$N$3:$N$480,"=45")+SUMIFS('ANALITIKA EU PROJEKATA'!$H$3:$H$499,'ANALITIKA EU PROJEKATA'!$A$3:$A$499,"=43",'ANALITIKA EU PROJEKATA'!$Q$3:$Q$499,"=45")</f>
        <v>0</v>
      </c>
      <c r="J85" s="147">
        <f>SUMIFS('Plan rashoda za unos u SAP'!$J$3:$J$480,'Plan rashoda za unos u SAP'!$C$3:$C$480,"=51",'Plan rashoda za unos u SAP'!$N$3:$N$480,"=45")+SUMIFS('ANALITIKA EU PROJEKATA'!$H$3:$H$499,'ANALITIKA EU PROJEKATA'!$A$3:$A$499,"=51",'ANALITIKA EU PROJEKATA'!$Q$3:$Q$499,"=45")</f>
        <v>0</v>
      </c>
      <c r="K85" s="147">
        <f>SUMIFS('Plan rashoda za unos u SAP'!$J$3:$J$480,'Plan rashoda za unos u SAP'!$C$3:$C$480,"=52",'Plan rashoda za unos u SAP'!$N$3:$N$480,"=45")+SUMIFS('ANALITIKA EU PROJEKATA'!$H$3:$H$499,'ANALITIKA EU PROJEKATA'!$A$3:$A$499,"=52",'ANALITIKA EU PROJEKATA'!$Q$3:$Q$499,"=45")</f>
        <v>0</v>
      </c>
      <c r="L85" s="147">
        <f>SUMIFS('Plan rashoda za unos u SAP'!$J$3:$J$480,'Plan rashoda za unos u SAP'!$C$3:$C$480,"=552",'Plan rashoda za unos u SAP'!$N$3:$N$480,"=45")+SUMIFS('ANALITIKA EU PROJEKATA'!$H$3:$H$499,'ANALITIKA EU PROJEKATA'!$A$3:$A$499,"=552",'ANALITIKA EU PROJEKATA'!$Q$3:$Q$499,"=45")</f>
        <v>0</v>
      </c>
      <c r="M85" s="147">
        <f>SUMIFS('Plan rashoda za unos u SAP'!$J$3:$J$480,'Plan rashoda za unos u SAP'!$C$3:$C$480,"=559",'Plan rashoda za unos u SAP'!$N$3:$N$480,"=45")+SUMIFS('ANALITIKA EU PROJEKATA'!$H$3:$H$499,'ANALITIKA EU PROJEKATA'!$A$3:$A$499,"=559",'ANALITIKA EU PROJEKATA'!$Q$3:$Q$499,"=45")</f>
        <v>0</v>
      </c>
      <c r="N85" s="147">
        <f>SUMIFS('Plan rashoda za unos u SAP'!$J$3:$J$480,'Plan rashoda za unos u SAP'!$C$3:$C$480,"=561",'Plan rashoda za unos u SAP'!$N$3:$N$480,"=45")+SUMIFS('ANALITIKA EU PROJEKATA'!$H$3:$H$499,'ANALITIKA EU PROJEKATA'!$A$3:$A$499,"=561",'ANALITIKA EU PROJEKATA'!$Q$3:$Q$499,"=45")</f>
        <v>0</v>
      </c>
      <c r="O85" s="147">
        <f>SUMIFS('Plan rashoda za unos u SAP'!$J$3:$J$480,'Plan rashoda za unos u SAP'!$C$3:$C$480,"=563",'Plan rashoda za unos u SAP'!$N$3:$N$480,"=45")+SUMIFS('ANALITIKA EU PROJEKATA'!$H$3:$H$499,'ANALITIKA EU PROJEKATA'!$A$3:$A$499,"=563",'ANALITIKA EU PROJEKATA'!$Q$3:$Q$499,"=45")</f>
        <v>0</v>
      </c>
      <c r="P85" s="147">
        <f>SUMIFS('Plan rashoda za unos u SAP'!$J$3:$J$480,'Plan rashoda za unos u SAP'!$C$3:$C$480,"=573",'Plan rashoda za unos u SAP'!$N$3:$N$480,"=45")+SUMIFS('ANALITIKA EU PROJEKATA'!$H$3:$H$499,'ANALITIKA EU PROJEKATA'!$A$3:$A$499,"=573",'ANALITIKA EU PROJEKATA'!$Q$3:$Q$499,"=45")</f>
        <v>0</v>
      </c>
      <c r="Q85" s="147">
        <f>SUMIFS('Plan rashoda za unos u SAP'!$J$3:$J$480,'Plan rashoda za unos u SAP'!$C$3:$C$480,"=575",'Plan rashoda za unos u SAP'!$N$3:$N$480,"=45")+SUMIFS('ANALITIKA EU PROJEKATA'!$H$3:$H$499,'ANALITIKA EU PROJEKATA'!$A$3:$A$499,"=575",'ANALITIKA EU PROJEKATA'!$Q$3:$Q$499,"=45")</f>
        <v>0</v>
      </c>
      <c r="R85" s="147">
        <f>SUMIFS('Plan rashoda za unos u SAP'!$J$3:$J$480,'Plan rashoda za unos u SAP'!$C$3:$C$480,"=576",'Plan rashoda za unos u SAP'!$N$3:$N$480,"=45")+SUMIFS('ANALITIKA EU PROJEKATA'!$H$3:$H$499,'ANALITIKA EU PROJEKATA'!$A$3:$A$499,"=576",'ANALITIKA EU PROJEKATA'!$Q$3:$Q$499,"=45")</f>
        <v>0</v>
      </c>
      <c r="S85" s="147">
        <f>SUMIFS('Plan rashoda za unos u SAP'!$J$3:$J$480,'Plan rashoda za unos u SAP'!$C$3:$C$480,"=581",'Plan rashoda za unos u SAP'!$N$3:$N$480,"=45")+SUMIFS('ANALITIKA EU PROJEKATA'!$H$3:$H$499,'ANALITIKA EU PROJEKATA'!$A$3:$A$499,"=581",'ANALITIKA EU PROJEKATA'!$Q$3:$Q$499,"=45")</f>
        <v>0</v>
      </c>
      <c r="T85" s="147">
        <f>SUMIFS('Plan rashoda za unos u SAP'!$J$3:$J$480,'Plan rashoda za unos u SAP'!$C$3:$C$480,"=61",'Plan rashoda za unos u SAP'!$N$3:$N$480,"=45")+SUMIFS('ANALITIKA EU PROJEKATA'!$H$3:$H$499,'ANALITIKA EU PROJEKATA'!$A$3:$A$499,"=61",'ANALITIKA EU PROJEKATA'!$Q$3:$Q$499,"=45")</f>
        <v>0</v>
      </c>
      <c r="U85" s="147">
        <f>SUMIFS('Plan rashoda za unos u SAP'!$J$3:$J$480,'Plan rashoda za unos u SAP'!$C$3:$C$480,"=63",'Plan rashoda za unos u SAP'!$N$3:$N$480,"=45")+SUMIFS('ANALITIKA EU PROJEKATA'!$H$3:$H$499,'ANALITIKA EU PROJEKATA'!$A$3:$A$499,"=63",'ANALITIKA EU PROJEKATA'!$Q$3:$Q$499,"=45")</f>
        <v>0</v>
      </c>
      <c r="V85" s="147">
        <f>SUMIFS('Plan rashoda za unos u SAP'!$J$3:$J$480,'Plan rashoda za unos u SAP'!$C$3:$C$480,"=71",'Plan rashoda za unos u SAP'!$N$3:$N$480,"=45")+SUMIFS('ANALITIKA EU PROJEKATA'!$H$3:$H$499,'ANALITIKA EU PROJEKATA'!$A$3:$A$499,"=71",'ANALITIKA EU PROJEKATA'!$Q$3:$Q$499,"=45")</f>
        <v>0</v>
      </c>
      <c r="W85" s="147">
        <f>SUMIFS('Plan rashoda za unos u SAP'!$J$3:$J$480,'Plan rashoda za unos u SAP'!$C$3:$C$480,"=81",'Plan rashoda za unos u SAP'!$N$3:$N$480,"=45")+SUMIFS('ANALITIKA EU PROJEKATA'!$H$3:$H$499,'ANALITIKA EU PROJEKATA'!$A$3:$A$499,"=81",'ANALITIKA EU PROJEKATA'!$Q$3:$Q$499,"=45")</f>
        <v>0</v>
      </c>
      <c r="X85" s="152"/>
      <c r="Y85" s="152"/>
      <c r="Z85" s="152"/>
      <c r="AA85" s="152"/>
      <c r="AB85" s="152"/>
      <c r="AC85" s="152"/>
      <c r="AD85" s="152"/>
      <c r="AE85" s="152"/>
      <c r="AF85" s="152"/>
      <c r="AG85" s="152"/>
      <c r="AH85" s="152"/>
      <c r="AI85" s="152"/>
      <c r="AJ85" s="152"/>
      <c r="AK85" s="152"/>
      <c r="AL85" s="152"/>
      <c r="AM85" s="152"/>
      <c r="AN85" s="152"/>
      <c r="AO85" s="152"/>
      <c r="AP85" s="152"/>
      <c r="AQ85" s="152"/>
    </row>
    <row r="86" spans="1:43" ht="12" customHeight="1">
      <c r="A86" s="131">
        <v>2022</v>
      </c>
      <c r="B86" s="136">
        <v>5</v>
      </c>
      <c r="C86" s="137" t="s">
        <v>118</v>
      </c>
      <c r="D86" s="158">
        <f t="shared" si="19"/>
        <v>0</v>
      </c>
      <c r="E86" s="139">
        <f t="shared" ref="E86:W86" si="23">SUM(E87:E88)</f>
        <v>0</v>
      </c>
      <c r="F86" s="139">
        <f t="shared" si="23"/>
        <v>0</v>
      </c>
      <c r="G86" s="139">
        <f t="shared" si="23"/>
        <v>0</v>
      </c>
      <c r="H86" s="139">
        <f t="shared" si="23"/>
        <v>0</v>
      </c>
      <c r="I86" s="139">
        <f t="shared" si="23"/>
        <v>0</v>
      </c>
      <c r="J86" s="139">
        <f t="shared" si="23"/>
        <v>0</v>
      </c>
      <c r="K86" s="139">
        <f t="shared" si="23"/>
        <v>0</v>
      </c>
      <c r="L86" s="139">
        <f t="shared" si="23"/>
        <v>0</v>
      </c>
      <c r="M86" s="139">
        <f t="shared" si="23"/>
        <v>0</v>
      </c>
      <c r="N86" s="139">
        <f t="shared" si="23"/>
        <v>0</v>
      </c>
      <c r="O86" s="139">
        <f t="shared" si="23"/>
        <v>0</v>
      </c>
      <c r="P86" s="139">
        <f t="shared" si="23"/>
        <v>0</v>
      </c>
      <c r="Q86" s="139">
        <f t="shared" si="23"/>
        <v>0</v>
      </c>
      <c r="R86" s="139">
        <f t="shared" si="23"/>
        <v>0</v>
      </c>
      <c r="S86" s="139">
        <f t="shared" si="23"/>
        <v>0</v>
      </c>
      <c r="T86" s="139">
        <f t="shared" si="23"/>
        <v>0</v>
      </c>
      <c r="U86" s="139">
        <f t="shared" si="23"/>
        <v>0</v>
      </c>
      <c r="V86" s="139">
        <f t="shared" si="23"/>
        <v>0</v>
      </c>
      <c r="W86" s="139">
        <f t="shared" si="23"/>
        <v>0</v>
      </c>
      <c r="X86" s="129"/>
      <c r="Y86" s="129"/>
      <c r="Z86" s="129"/>
      <c r="AA86" s="129"/>
      <c r="AB86" s="129"/>
      <c r="AC86" s="129"/>
      <c r="AD86" s="129"/>
      <c r="AE86" s="129"/>
      <c r="AF86" s="129"/>
      <c r="AG86" s="129"/>
      <c r="AH86" s="129"/>
      <c r="AI86" s="129"/>
      <c r="AJ86" s="129"/>
      <c r="AK86" s="129"/>
      <c r="AL86" s="129"/>
      <c r="AM86" s="129"/>
      <c r="AN86" s="129"/>
      <c r="AO86" s="129"/>
      <c r="AP86" s="129"/>
      <c r="AQ86" s="129"/>
    </row>
    <row r="87" spans="1:43" ht="12" customHeight="1">
      <c r="A87" s="131">
        <v>2022</v>
      </c>
      <c r="B87" s="140">
        <v>51</v>
      </c>
      <c r="C87" s="141" t="s">
        <v>3473</v>
      </c>
      <c r="D87" s="142">
        <f t="shared" si="19"/>
        <v>0</v>
      </c>
      <c r="E87" s="147">
        <f>SUMIFS('Plan rashoda za unos u SAP'!$J$3:$J$480,'Plan rashoda za unos u SAP'!$C$3:$C$480,"=11",'Plan rashoda za unos u SAP'!$N$3:$N$480,"=51")+SUMIFS('ANALITIKA EU PROJEKATA'!$H$3:$H$499,'ANALITIKA EU PROJEKATA'!$A$3:$A$499,"=11",'ANALITIKA EU PROJEKATA'!$Q$3:$Q$499,"=51")</f>
        <v>0</v>
      </c>
      <c r="F87" s="147">
        <f>SUMIFS('Plan rashoda za unos u SAP'!$J$3:$J$480,'Plan rashoda za unos u SAP'!$C$3:$C$480,"=12",'Plan rashoda za unos u SAP'!$N$3:$N$480,"=51")+SUMIFS('ANALITIKA EU PROJEKATA'!$H$3:$H$499,'ANALITIKA EU PROJEKATA'!$A$3:$A$499,"=12",'ANALITIKA EU PROJEKATA'!$Q$3:$Q$499,"=51")</f>
        <v>0</v>
      </c>
      <c r="G87" s="147">
        <f>SUMIFS('Plan rashoda za unos u SAP'!$J$3:$J$480,'Plan rashoda za unos u SAP'!$C$3:$C$480,"=31",'Plan rashoda za unos u SAP'!$N$3:$N$480,"=51")+SUMIFS('ANALITIKA EU PROJEKATA'!$H$3:$H$499,'ANALITIKA EU PROJEKATA'!$A$3:$A$499,"=31",'ANALITIKA EU PROJEKATA'!$Q$3:$Q$499,"=51")</f>
        <v>0</v>
      </c>
      <c r="H87" s="147">
        <f>SUMIFS('Plan rashoda za unos u SAP'!$J$3:$J$480,'Plan rashoda za unos u SAP'!$C$3:$C$480,"=41",'Plan rashoda za unos u SAP'!$N$3:$N$480,"=51")+SUMIFS('ANALITIKA EU PROJEKATA'!$H$3:$H$499,'ANALITIKA EU PROJEKATA'!$A$3:$A$499,"=41",'ANALITIKA EU PROJEKATA'!$Q$3:$Q$499,"=51")</f>
        <v>0</v>
      </c>
      <c r="I87" s="147">
        <f>SUMIFS('Plan rashoda za unos u SAP'!$J$3:$J$480,'Plan rashoda za unos u SAP'!$C$3:$C$480,"=43",'Plan rashoda za unos u SAP'!$N$3:$N$480,"=51")+SUMIFS('ANALITIKA EU PROJEKATA'!$H$3:$H$499,'ANALITIKA EU PROJEKATA'!$A$3:$A$499,"=43",'ANALITIKA EU PROJEKATA'!$Q$3:$Q$499,"=51")</f>
        <v>0</v>
      </c>
      <c r="J87" s="147">
        <f>SUMIFS('Plan rashoda za unos u SAP'!$J$3:$J$480,'Plan rashoda za unos u SAP'!$C$3:$C$480,"=51",'Plan rashoda za unos u SAP'!$N$3:$N$480,"=51")+SUMIFS('ANALITIKA EU PROJEKATA'!$H$3:$H$499,'ANALITIKA EU PROJEKATA'!$A$3:$A$499,"=51",'ANALITIKA EU PROJEKATA'!$Q$3:$Q$499,"=51")</f>
        <v>0</v>
      </c>
      <c r="K87" s="147">
        <f>SUMIFS('Plan rashoda za unos u SAP'!$J$3:$J$480,'Plan rashoda za unos u SAP'!$C$3:$C$480,"=52",'Plan rashoda za unos u SAP'!$N$3:$N$480,"=51")+SUMIFS('ANALITIKA EU PROJEKATA'!$H$3:$H$499,'ANALITIKA EU PROJEKATA'!$A$3:$A$499,"=52",'ANALITIKA EU PROJEKATA'!$Q$3:$Q$499,"=51")</f>
        <v>0</v>
      </c>
      <c r="L87" s="147">
        <f>SUMIFS('Plan rashoda za unos u SAP'!$J$3:$J$480,'Plan rashoda za unos u SAP'!$C$3:$C$480,"=552",'Plan rashoda za unos u SAP'!$N$3:$N$480,"=51")+SUMIFS('ANALITIKA EU PROJEKATA'!$H$3:$H$499,'ANALITIKA EU PROJEKATA'!$A$3:$A$499,"=552",'ANALITIKA EU PROJEKATA'!$Q$3:$Q$499,"=51")</f>
        <v>0</v>
      </c>
      <c r="M87" s="147">
        <f>SUMIFS('Plan rashoda za unos u SAP'!$J$3:$J$480,'Plan rashoda za unos u SAP'!$C$3:$C$480,"=559",'Plan rashoda za unos u SAP'!$N$3:$N$480,"=51")+SUMIFS('ANALITIKA EU PROJEKATA'!$H$3:$H$499,'ANALITIKA EU PROJEKATA'!$A$3:$A$499,"=559",'ANALITIKA EU PROJEKATA'!$Q$3:$Q$499,"=51")</f>
        <v>0</v>
      </c>
      <c r="N87" s="147">
        <f>SUMIFS('Plan rashoda za unos u SAP'!$J$3:$J$480,'Plan rashoda za unos u SAP'!$C$3:$C$480,"=561",'Plan rashoda za unos u SAP'!$N$3:$N$480,"=51")+SUMIFS('ANALITIKA EU PROJEKATA'!$H$3:$H$499,'ANALITIKA EU PROJEKATA'!$A$3:$A$499,"=561",'ANALITIKA EU PROJEKATA'!$Q$3:$Q$499,"=51")</f>
        <v>0</v>
      </c>
      <c r="O87" s="147">
        <f>SUMIFS('Plan rashoda za unos u SAP'!$J$3:$J$480,'Plan rashoda za unos u SAP'!$C$3:$C$480,"=563",'Plan rashoda za unos u SAP'!$N$3:$N$480,"=51")+SUMIFS('ANALITIKA EU PROJEKATA'!$H$3:$H$499,'ANALITIKA EU PROJEKATA'!$A$3:$A$499,"=563",'ANALITIKA EU PROJEKATA'!$Q$3:$Q$499,"=51")</f>
        <v>0</v>
      </c>
      <c r="P87" s="147">
        <f>SUMIFS('Plan rashoda za unos u SAP'!$J$3:$J$480,'Plan rashoda za unos u SAP'!$C$3:$C$480,"=573",'Plan rashoda za unos u SAP'!$N$3:$N$480,"=51")+SUMIFS('ANALITIKA EU PROJEKATA'!$H$3:$H$499,'ANALITIKA EU PROJEKATA'!$A$3:$A$499,"=573",'ANALITIKA EU PROJEKATA'!$Q$3:$Q$499,"=51")</f>
        <v>0</v>
      </c>
      <c r="Q87" s="147">
        <f>SUMIFS('Plan rashoda za unos u SAP'!$J$3:$J$480,'Plan rashoda za unos u SAP'!$C$3:$C$480,"=575",'Plan rashoda za unos u SAP'!$N$3:$N$480,"=51")+SUMIFS('ANALITIKA EU PROJEKATA'!$H$3:$H$499,'ANALITIKA EU PROJEKATA'!$A$3:$A$499,"=575",'ANALITIKA EU PROJEKATA'!$Q$3:$Q$499,"=51")</f>
        <v>0</v>
      </c>
      <c r="R87" s="147">
        <f>SUMIFS('Plan rashoda za unos u SAP'!$J$3:$J$480,'Plan rashoda za unos u SAP'!$C$3:$C$480,"=576",'Plan rashoda za unos u SAP'!$N$3:$N$480,"=51")+SUMIFS('ANALITIKA EU PROJEKATA'!$H$3:$H$499,'ANALITIKA EU PROJEKATA'!$A$3:$A$499,"=576",'ANALITIKA EU PROJEKATA'!$Q$3:$Q$499,"=51")</f>
        <v>0</v>
      </c>
      <c r="S87" s="147">
        <f>SUMIFS('Plan rashoda za unos u SAP'!$J$3:$J$480,'Plan rashoda za unos u SAP'!$C$3:$C$480,"=581",'Plan rashoda za unos u SAP'!$N$3:$N$480,"=51")+SUMIFS('ANALITIKA EU PROJEKATA'!$H$3:$H$499,'ANALITIKA EU PROJEKATA'!$A$3:$A$499,"=581",'ANALITIKA EU PROJEKATA'!$Q$3:$Q$499,"=51")</f>
        <v>0</v>
      </c>
      <c r="T87" s="147">
        <f>SUMIFS('Plan rashoda za unos u SAP'!$J$3:$J$480,'Plan rashoda za unos u SAP'!$C$3:$C$480,"=61",'Plan rashoda za unos u SAP'!$N$3:$N$480,"=51")+SUMIFS('ANALITIKA EU PROJEKATA'!$H$3:$H$499,'ANALITIKA EU PROJEKATA'!$A$3:$A$499,"=61",'ANALITIKA EU PROJEKATA'!$Q$3:$Q$499,"=51")</f>
        <v>0</v>
      </c>
      <c r="U87" s="147">
        <f>SUMIFS('Plan rashoda za unos u SAP'!$J$3:$J$480,'Plan rashoda za unos u SAP'!$C$3:$C$480,"=63",'Plan rashoda za unos u SAP'!$N$3:$N$480,"=51")+SUMIFS('ANALITIKA EU PROJEKATA'!$H$3:$H$499,'ANALITIKA EU PROJEKATA'!$A$3:$A$499,"=63",'ANALITIKA EU PROJEKATA'!$Q$3:$Q$499,"=51")</f>
        <v>0</v>
      </c>
      <c r="V87" s="147">
        <f>SUMIFS('Plan rashoda za unos u SAP'!$J$3:$J$480,'Plan rashoda za unos u SAP'!$C$3:$C$480,"=71",'Plan rashoda za unos u SAP'!$N$3:$N$480,"=51")+SUMIFS('ANALITIKA EU PROJEKATA'!$H$3:$H$499,'ANALITIKA EU PROJEKATA'!$A$3:$A$499,"=71",'ANALITIKA EU PROJEKATA'!$Q$3:$Q$499,"=51")</f>
        <v>0</v>
      </c>
      <c r="W87" s="147">
        <f>SUMIFS('Plan rashoda za unos u SAP'!$J$3:$J$480,'Plan rashoda za unos u SAP'!$C$3:$C$480,"=81",'Plan rashoda za unos u SAP'!$N$3:$N$480,"=51")+SUMIFS('ANALITIKA EU PROJEKATA'!$H$3:$H$499,'ANALITIKA EU PROJEKATA'!$A$3:$A$499,"=81",'ANALITIKA EU PROJEKATA'!$Q$3:$Q$499,"=51")</f>
        <v>0</v>
      </c>
      <c r="X87" s="144"/>
      <c r="Y87" s="144"/>
      <c r="Z87" s="144"/>
      <c r="AA87" s="144"/>
      <c r="AB87" s="144"/>
      <c r="AC87" s="144"/>
      <c r="AD87" s="144"/>
      <c r="AE87" s="144"/>
      <c r="AF87" s="144"/>
      <c r="AG87" s="144"/>
      <c r="AH87" s="144"/>
      <c r="AI87" s="144"/>
      <c r="AJ87" s="144"/>
      <c r="AK87" s="144"/>
      <c r="AL87" s="144"/>
      <c r="AM87" s="144"/>
      <c r="AN87" s="144"/>
      <c r="AO87" s="144"/>
      <c r="AP87" s="144"/>
      <c r="AQ87" s="144"/>
    </row>
    <row r="88" spans="1:43" ht="12" customHeight="1">
      <c r="A88" s="131">
        <v>2022</v>
      </c>
      <c r="B88" s="140">
        <v>54</v>
      </c>
      <c r="C88" s="141" t="s">
        <v>3477</v>
      </c>
      <c r="D88" s="142">
        <f t="shared" si="19"/>
        <v>0</v>
      </c>
      <c r="E88" s="147">
        <f>SUMIFS('Plan rashoda za unos u SAP'!$J$3:$J$480,'Plan rashoda za unos u SAP'!$C$3:$C$480,"=11",'Plan rashoda za unos u SAP'!$N$3:$N$480,"=54")+SUMIFS('ANALITIKA EU PROJEKATA'!$H$3:$H$499,'ANALITIKA EU PROJEKATA'!$A$3:$A$499,"=11",'ANALITIKA EU PROJEKATA'!$Q$3:$Q$499,"=54")</f>
        <v>0</v>
      </c>
      <c r="F88" s="147">
        <f>SUMIFS('Plan rashoda za unos u SAP'!$J$3:$J$480,'Plan rashoda za unos u SAP'!$C$3:$C$480,"=12",'Plan rashoda za unos u SAP'!$N$3:$N$480,"=54")+SUMIFS('ANALITIKA EU PROJEKATA'!$H$3:$H$499,'ANALITIKA EU PROJEKATA'!$A$3:$A$499,"=12",'ANALITIKA EU PROJEKATA'!$Q$3:$Q$499,"=54")</f>
        <v>0</v>
      </c>
      <c r="G88" s="147">
        <f>SUMIFS('Plan rashoda za unos u SAP'!$J$3:$J$480,'Plan rashoda za unos u SAP'!$C$3:$C$480,"=31",'Plan rashoda za unos u SAP'!$N$3:$N$480,"=54")+SUMIFS('ANALITIKA EU PROJEKATA'!$H$3:$H$499,'ANALITIKA EU PROJEKATA'!$A$3:$A$499,"=31",'ANALITIKA EU PROJEKATA'!$Q$3:$Q$499,"=54")</f>
        <v>0</v>
      </c>
      <c r="H88" s="147">
        <f>SUMIFS('Plan rashoda za unos u SAP'!$J$3:$J$480,'Plan rashoda za unos u SAP'!$C$3:$C$480,"=41",'Plan rashoda za unos u SAP'!$N$3:$N$480,"=54")+SUMIFS('ANALITIKA EU PROJEKATA'!$H$3:$H$499,'ANALITIKA EU PROJEKATA'!$A$3:$A$499,"=41",'ANALITIKA EU PROJEKATA'!$Q$3:$Q$499,"=54")</f>
        <v>0</v>
      </c>
      <c r="I88" s="147">
        <f>SUMIFS('Plan rashoda za unos u SAP'!$J$3:$J$480,'Plan rashoda za unos u SAP'!$C$3:$C$480,"=43",'Plan rashoda za unos u SAP'!$N$3:$N$480,"=54")+SUMIFS('ANALITIKA EU PROJEKATA'!$H$3:$H$499,'ANALITIKA EU PROJEKATA'!$A$3:$A$499,"=43",'ANALITIKA EU PROJEKATA'!$Q$3:$Q$499,"=54")</f>
        <v>0</v>
      </c>
      <c r="J88" s="147">
        <f>SUMIFS('Plan rashoda za unos u SAP'!$J$3:$J$480,'Plan rashoda za unos u SAP'!$C$3:$C$480,"=51",'Plan rashoda za unos u SAP'!$N$3:$N$480,"=54")+SUMIFS('ANALITIKA EU PROJEKATA'!$H$3:$H$499,'ANALITIKA EU PROJEKATA'!$A$3:$A$499,"=51",'ANALITIKA EU PROJEKATA'!$Q$3:$Q$499,"=54")</f>
        <v>0</v>
      </c>
      <c r="K88" s="147">
        <f>SUMIFS('Plan rashoda za unos u SAP'!$J$3:$J$480,'Plan rashoda za unos u SAP'!$C$3:$C$480,"=52",'Plan rashoda za unos u SAP'!$N$3:$N$480,"=54")+SUMIFS('ANALITIKA EU PROJEKATA'!$H$3:$H$499,'ANALITIKA EU PROJEKATA'!$A$3:$A$499,"=52",'ANALITIKA EU PROJEKATA'!$Q$3:$Q$499,"=54")</f>
        <v>0</v>
      </c>
      <c r="L88" s="147">
        <f>SUMIFS('Plan rashoda za unos u SAP'!$J$3:$J$480,'Plan rashoda za unos u SAP'!$C$3:$C$480,"=552",'Plan rashoda za unos u SAP'!$N$3:$N$480,"=54")+SUMIFS('ANALITIKA EU PROJEKATA'!$H$3:$H$499,'ANALITIKA EU PROJEKATA'!$A$3:$A$499,"=552",'ANALITIKA EU PROJEKATA'!$Q$3:$Q$499,"=54")</f>
        <v>0</v>
      </c>
      <c r="M88" s="147">
        <f>SUMIFS('Plan rashoda za unos u SAP'!$J$3:$J$480,'Plan rashoda za unos u SAP'!$C$3:$C$480,"=559",'Plan rashoda za unos u SAP'!$N$3:$N$480,"=54")+SUMIFS('ANALITIKA EU PROJEKATA'!$H$3:$H$499,'ANALITIKA EU PROJEKATA'!$A$3:$A$499,"=559",'ANALITIKA EU PROJEKATA'!$Q$3:$Q$499,"=54")</f>
        <v>0</v>
      </c>
      <c r="N88" s="147">
        <f>SUMIFS('Plan rashoda za unos u SAP'!$J$3:$J$480,'Plan rashoda za unos u SAP'!$C$3:$C$480,"=561",'Plan rashoda za unos u SAP'!$N$3:$N$480,"=54")+SUMIFS('ANALITIKA EU PROJEKATA'!$H$3:$H$499,'ANALITIKA EU PROJEKATA'!$A$3:$A$499,"=561",'ANALITIKA EU PROJEKATA'!$Q$3:$Q$499,"=54")</f>
        <v>0</v>
      </c>
      <c r="O88" s="147">
        <f>SUMIFS('Plan rashoda za unos u SAP'!$J$3:$J$480,'Plan rashoda za unos u SAP'!$C$3:$C$480,"=563",'Plan rashoda za unos u SAP'!$N$3:$N$480,"=54")+SUMIFS('ANALITIKA EU PROJEKATA'!$H$3:$H$499,'ANALITIKA EU PROJEKATA'!$A$3:$A$499,"=563",'ANALITIKA EU PROJEKATA'!$Q$3:$Q$499,"=54")</f>
        <v>0</v>
      </c>
      <c r="P88" s="147">
        <f>SUMIFS('Plan rashoda za unos u SAP'!$J$3:$J$480,'Plan rashoda za unos u SAP'!$C$3:$C$480,"=573",'Plan rashoda za unos u SAP'!$N$3:$N$480,"=54")+SUMIFS('ANALITIKA EU PROJEKATA'!$H$3:$H$499,'ANALITIKA EU PROJEKATA'!$A$3:$A$499,"=573",'ANALITIKA EU PROJEKATA'!$Q$3:$Q$499,"=54")</f>
        <v>0</v>
      </c>
      <c r="Q88" s="147">
        <f>SUMIFS('Plan rashoda za unos u SAP'!$J$3:$J$480,'Plan rashoda za unos u SAP'!$C$3:$C$480,"=575",'Plan rashoda za unos u SAP'!$N$3:$N$480,"=54")+SUMIFS('ANALITIKA EU PROJEKATA'!$H$3:$H$499,'ANALITIKA EU PROJEKATA'!$A$3:$A$499,"=575",'ANALITIKA EU PROJEKATA'!$Q$3:$Q$499,"=54")</f>
        <v>0</v>
      </c>
      <c r="R88" s="147">
        <f>SUMIFS('Plan rashoda za unos u SAP'!$J$3:$J$480,'Plan rashoda za unos u SAP'!$C$3:$C$480,"=576",'Plan rashoda za unos u SAP'!$N$3:$N$480,"=54")+SUMIFS('ANALITIKA EU PROJEKATA'!$H$3:$H$499,'ANALITIKA EU PROJEKATA'!$A$3:$A$499,"=576",'ANALITIKA EU PROJEKATA'!$Q$3:$Q$499,"=54")</f>
        <v>0</v>
      </c>
      <c r="S88" s="147">
        <f>SUMIFS('Plan rashoda za unos u SAP'!$J$3:$J$480,'Plan rashoda za unos u SAP'!$C$3:$C$480,"=581",'Plan rashoda za unos u SAP'!$N$3:$N$480,"=54")+SUMIFS('ANALITIKA EU PROJEKATA'!$H$3:$H$499,'ANALITIKA EU PROJEKATA'!$A$3:$A$499,"=581",'ANALITIKA EU PROJEKATA'!$Q$3:$Q$499,"=54")</f>
        <v>0</v>
      </c>
      <c r="T88" s="147">
        <f>SUMIFS('Plan rashoda za unos u SAP'!$J$3:$J$480,'Plan rashoda za unos u SAP'!$C$3:$C$480,"=61",'Plan rashoda za unos u SAP'!$N$3:$N$480,"=54")+SUMIFS('ANALITIKA EU PROJEKATA'!$H$3:$H$499,'ANALITIKA EU PROJEKATA'!$A$3:$A$499,"=61",'ANALITIKA EU PROJEKATA'!$Q$3:$Q$499,"=54")</f>
        <v>0</v>
      </c>
      <c r="U88" s="147">
        <f>SUMIFS('Plan rashoda za unos u SAP'!$J$3:$J$480,'Plan rashoda za unos u SAP'!$C$3:$C$480,"=63",'Plan rashoda za unos u SAP'!$N$3:$N$480,"=54")+SUMIFS('ANALITIKA EU PROJEKATA'!$H$3:$H$499,'ANALITIKA EU PROJEKATA'!$A$3:$A$499,"=63",'ANALITIKA EU PROJEKATA'!$Q$3:$Q$499,"=54")</f>
        <v>0</v>
      </c>
      <c r="V88" s="147">
        <f>SUMIFS('Plan rashoda za unos u SAP'!$J$3:$J$480,'Plan rashoda za unos u SAP'!$C$3:$C$480,"=71",'Plan rashoda za unos u SAP'!$N$3:$N$480,"=54")+SUMIFS('ANALITIKA EU PROJEKATA'!$H$3:$H$499,'ANALITIKA EU PROJEKATA'!$A$3:$A$499,"=71",'ANALITIKA EU PROJEKATA'!$Q$3:$Q$499,"=54")</f>
        <v>0</v>
      </c>
      <c r="W88" s="147">
        <f>SUMIFS('Plan rashoda za unos u SAP'!$J$3:$J$480,'Plan rashoda za unos u SAP'!$C$3:$C$480,"=81",'Plan rashoda za unos u SAP'!$N$3:$N$480,"=54")+SUMIFS('ANALITIKA EU PROJEKATA'!$H$3:$H$499,'ANALITIKA EU PROJEKATA'!$A$3:$A$499,"=81",'ANALITIKA EU PROJEKATA'!$Q$3:$Q$499,"=54")</f>
        <v>0</v>
      </c>
      <c r="X88" s="144"/>
      <c r="Y88" s="144"/>
      <c r="Z88" s="144"/>
      <c r="AA88" s="144"/>
      <c r="AB88" s="144"/>
      <c r="AC88" s="144"/>
      <c r="AD88" s="144"/>
      <c r="AE88" s="144"/>
      <c r="AF88" s="144"/>
      <c r="AG88" s="144"/>
      <c r="AH88" s="144"/>
      <c r="AI88" s="144"/>
      <c r="AJ88" s="144"/>
      <c r="AK88" s="144"/>
      <c r="AL88" s="144"/>
      <c r="AM88" s="144"/>
      <c r="AN88" s="144"/>
      <c r="AO88" s="144"/>
      <c r="AP88" s="144"/>
      <c r="AQ88" s="144"/>
    </row>
    <row r="89" spans="1:43" ht="12.75" customHeight="1">
      <c r="A89" s="129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129"/>
      <c r="Y89" s="129"/>
      <c r="Z89" s="129"/>
      <c r="AA89" s="129"/>
      <c r="AB89" s="129"/>
      <c r="AC89" s="129"/>
      <c r="AD89" s="129"/>
      <c r="AE89" s="129"/>
      <c r="AF89" s="129"/>
      <c r="AG89" s="129"/>
      <c r="AH89" s="129"/>
      <c r="AI89" s="129"/>
      <c r="AJ89" s="129"/>
      <c r="AK89" s="129"/>
      <c r="AL89" s="129"/>
      <c r="AM89" s="129"/>
      <c r="AN89" s="129"/>
      <c r="AO89" s="129"/>
      <c r="AP89" s="129"/>
      <c r="AQ89" s="129"/>
    </row>
    <row r="90" spans="1:43" ht="71.25" customHeight="1">
      <c r="A90" s="87" t="s">
        <v>3338</v>
      </c>
      <c r="B90" s="87" t="s">
        <v>3424</v>
      </c>
      <c r="C90" s="87" t="s">
        <v>3425</v>
      </c>
      <c r="D90" s="87" t="s">
        <v>3483</v>
      </c>
      <c r="E90" s="87" t="s">
        <v>3427</v>
      </c>
      <c r="F90" s="87" t="s">
        <v>3343</v>
      </c>
      <c r="G90" s="87" t="s">
        <v>3344</v>
      </c>
      <c r="H90" s="87" t="s">
        <v>3345</v>
      </c>
      <c r="I90" s="87" t="s">
        <v>3346</v>
      </c>
      <c r="J90" s="87" t="s">
        <v>3347</v>
      </c>
      <c r="K90" s="87" t="s">
        <v>3348</v>
      </c>
      <c r="L90" s="87" t="s">
        <v>3349</v>
      </c>
      <c r="M90" s="87" t="s">
        <v>3350</v>
      </c>
      <c r="N90" s="87" t="s">
        <v>3351</v>
      </c>
      <c r="O90" s="87" t="s">
        <v>3352</v>
      </c>
      <c r="P90" s="87" t="s">
        <v>3353</v>
      </c>
      <c r="Q90" s="87" t="s">
        <v>3354</v>
      </c>
      <c r="R90" s="87" t="s">
        <v>3355</v>
      </c>
      <c r="S90" s="87" t="s">
        <v>3356</v>
      </c>
      <c r="T90" s="87" t="s">
        <v>3357</v>
      </c>
      <c r="U90" s="87" t="s">
        <v>3358</v>
      </c>
      <c r="V90" s="87" t="s">
        <v>3428</v>
      </c>
      <c r="W90" s="87" t="s">
        <v>3360</v>
      </c>
      <c r="X90" s="130"/>
      <c r="Y90" s="130"/>
      <c r="Z90" s="130"/>
      <c r="AA90" s="130"/>
      <c r="AB90" s="130"/>
      <c r="AC90" s="130"/>
      <c r="AD90" s="130"/>
      <c r="AE90" s="130"/>
      <c r="AF90" s="130"/>
      <c r="AG90" s="130"/>
      <c r="AH90" s="130"/>
      <c r="AI90" s="130"/>
      <c r="AJ90" s="130"/>
      <c r="AK90" s="130"/>
      <c r="AL90" s="130"/>
      <c r="AM90" s="130"/>
      <c r="AN90" s="130"/>
      <c r="AO90" s="130"/>
      <c r="AP90" s="130"/>
      <c r="AQ90" s="130"/>
    </row>
    <row r="91" spans="1:43" ht="19.5" customHeight="1">
      <c r="A91" s="131">
        <v>2023</v>
      </c>
      <c r="B91" s="132"/>
      <c r="C91" s="132" t="s">
        <v>3484</v>
      </c>
      <c r="D91" s="133">
        <f t="shared" ref="D91:D108" si="24">SUM(E91:W91)</f>
        <v>189717139.17089999</v>
      </c>
      <c r="E91" s="134">
        <f t="shared" ref="E91:W91" si="25">E92+E100+E106</f>
        <v>139302798</v>
      </c>
      <c r="F91" s="134">
        <f t="shared" si="25"/>
        <v>0</v>
      </c>
      <c r="G91" s="134">
        <f t="shared" si="25"/>
        <v>13752573.797000002</v>
      </c>
      <c r="H91" s="134">
        <f t="shared" si="25"/>
        <v>0</v>
      </c>
      <c r="I91" s="134">
        <f t="shared" si="25"/>
        <v>26012573.261656485</v>
      </c>
      <c r="J91" s="134">
        <f t="shared" si="25"/>
        <v>546752</v>
      </c>
      <c r="K91" s="134">
        <f t="shared" si="25"/>
        <v>9850000.1122435182</v>
      </c>
      <c r="L91" s="134">
        <f t="shared" si="25"/>
        <v>0</v>
      </c>
      <c r="M91" s="134">
        <f t="shared" si="25"/>
        <v>0</v>
      </c>
      <c r="N91" s="134">
        <f t="shared" si="25"/>
        <v>0</v>
      </c>
      <c r="O91" s="134">
        <f t="shared" si="25"/>
        <v>0</v>
      </c>
      <c r="P91" s="134">
        <f t="shared" si="25"/>
        <v>0</v>
      </c>
      <c r="Q91" s="134">
        <f t="shared" si="25"/>
        <v>0</v>
      </c>
      <c r="R91" s="134">
        <f t="shared" si="25"/>
        <v>0</v>
      </c>
      <c r="S91" s="134">
        <f t="shared" si="25"/>
        <v>0</v>
      </c>
      <c r="T91" s="134">
        <f t="shared" si="25"/>
        <v>252442</v>
      </c>
      <c r="U91" s="134">
        <f t="shared" si="25"/>
        <v>0</v>
      </c>
      <c r="V91" s="134">
        <f t="shared" si="25"/>
        <v>0</v>
      </c>
      <c r="W91" s="134">
        <f t="shared" si="25"/>
        <v>0</v>
      </c>
      <c r="X91" s="79"/>
      <c r="Y91" s="79"/>
      <c r="Z91" s="79"/>
      <c r="AA91" s="79"/>
      <c r="AB91" s="79"/>
      <c r="AC91" s="79"/>
      <c r="AD91" s="79"/>
      <c r="AE91" s="79"/>
      <c r="AF91" s="79"/>
      <c r="AG91" s="79"/>
      <c r="AH91" s="79"/>
      <c r="AI91" s="79"/>
      <c r="AJ91" s="79"/>
      <c r="AK91" s="79"/>
      <c r="AL91" s="79"/>
      <c r="AM91" s="79"/>
      <c r="AN91" s="135"/>
      <c r="AO91" s="135"/>
      <c r="AP91" s="135"/>
      <c r="AQ91" s="135"/>
    </row>
    <row r="92" spans="1:43" ht="12" customHeight="1">
      <c r="A92" s="131">
        <v>2023</v>
      </c>
      <c r="B92" s="136">
        <v>3</v>
      </c>
      <c r="C92" s="137" t="s">
        <v>3430</v>
      </c>
      <c r="D92" s="138">
        <f t="shared" si="24"/>
        <v>183636255.51790002</v>
      </c>
      <c r="E92" s="160">
        <f t="shared" ref="E92:W92" si="26">SUM(E93:E99)</f>
        <v>139302798</v>
      </c>
      <c r="F92" s="160">
        <f t="shared" si="26"/>
        <v>0</v>
      </c>
      <c r="G92" s="160">
        <f t="shared" si="26"/>
        <v>12467802.216300001</v>
      </c>
      <c r="H92" s="160">
        <f t="shared" si="26"/>
        <v>0</v>
      </c>
      <c r="I92" s="160">
        <f t="shared" si="26"/>
        <v>22137371.970840324</v>
      </c>
      <c r="J92" s="160">
        <f t="shared" si="26"/>
        <v>546752</v>
      </c>
      <c r="K92" s="160">
        <f t="shared" si="26"/>
        <v>8965289.330759678</v>
      </c>
      <c r="L92" s="160">
        <f t="shared" si="26"/>
        <v>0</v>
      </c>
      <c r="M92" s="160">
        <f t="shared" si="26"/>
        <v>0</v>
      </c>
      <c r="N92" s="160">
        <f t="shared" si="26"/>
        <v>0</v>
      </c>
      <c r="O92" s="160">
        <f t="shared" si="26"/>
        <v>0</v>
      </c>
      <c r="P92" s="160">
        <f t="shared" si="26"/>
        <v>0</v>
      </c>
      <c r="Q92" s="160">
        <f t="shared" si="26"/>
        <v>0</v>
      </c>
      <c r="R92" s="160">
        <f t="shared" si="26"/>
        <v>0</v>
      </c>
      <c r="S92" s="160">
        <f t="shared" si="26"/>
        <v>0</v>
      </c>
      <c r="T92" s="160">
        <f t="shared" si="26"/>
        <v>216242</v>
      </c>
      <c r="U92" s="160">
        <f t="shared" si="26"/>
        <v>0</v>
      </c>
      <c r="V92" s="160">
        <f t="shared" si="26"/>
        <v>0</v>
      </c>
      <c r="W92" s="160">
        <f t="shared" si="26"/>
        <v>0</v>
      </c>
      <c r="X92" s="129"/>
      <c r="Y92" s="129"/>
      <c r="Z92" s="129"/>
      <c r="AA92" s="129"/>
      <c r="AB92" s="129"/>
      <c r="AC92" s="129"/>
      <c r="AD92" s="129"/>
      <c r="AE92" s="129"/>
      <c r="AF92" s="129"/>
      <c r="AG92" s="129"/>
      <c r="AH92" s="129"/>
      <c r="AI92" s="129"/>
      <c r="AJ92" s="129"/>
      <c r="AK92" s="129"/>
      <c r="AL92" s="129"/>
      <c r="AM92" s="129"/>
      <c r="AN92" s="129"/>
      <c r="AO92" s="129"/>
      <c r="AP92" s="129"/>
      <c r="AQ92" s="129"/>
    </row>
    <row r="93" spans="1:43" ht="12" customHeight="1">
      <c r="A93" s="131">
        <v>2023</v>
      </c>
      <c r="B93" s="140">
        <v>31</v>
      </c>
      <c r="C93" s="141" t="s">
        <v>3431</v>
      </c>
      <c r="D93" s="161">
        <f t="shared" si="24"/>
        <v>149807376.45930001</v>
      </c>
      <c r="E93" s="147">
        <f>SUMIFS('Plan rashoda za unos u SAP'!$K$3:$K$480,'Plan rashoda za unos u SAP'!$C$3:$C$480,"=11",'Plan rashoda za unos u SAP'!$N$3:$N$480,"=31")+SUMIFS('ANALITIKA EU PROJEKATA'!$I$3:$I$499,'ANALITIKA EU PROJEKATA'!$A$3:$A$499,"=11",'ANALITIKA EU PROJEKATA'!$Q$3:$Q$499,"=31")</f>
        <v>125218992</v>
      </c>
      <c r="F93" s="147">
        <f>SUMIFS('Plan rashoda za unos u SAP'!$K$3:$K$480,'Plan rashoda za unos u SAP'!$C$3:$C$480,"=12",'Plan rashoda za unos u SAP'!$N$3:$N$480,"=31")+SUMIFS('ANALITIKA EU PROJEKATA'!$I$3:$I$499,'ANALITIKA EU PROJEKATA'!$A$3:$A$499,"=12",'ANALITIKA EU PROJEKATA'!$Q$3:$Q$499,"=31")</f>
        <v>0</v>
      </c>
      <c r="G93" s="147">
        <f>SUMIFS('Plan rashoda za unos u SAP'!$K$3:$K$480,'Plan rashoda za unos u SAP'!$C$3:$C$480,"=31",'Plan rashoda za unos u SAP'!$N$3:$N$480,"=31")+SUMIFS('ANALITIKA EU PROJEKATA'!$I$3:$I$499,'ANALITIKA EU PROJEKATA'!$A$3:$A$499,"=31",'ANALITIKA EU PROJEKATA'!$Q$3:$Q$499,"=31")</f>
        <v>6601208.8939000005</v>
      </c>
      <c r="H93" s="147">
        <f>SUMIFS('Plan rashoda za unos u SAP'!$K$3:$K$480,'Plan rashoda za unos u SAP'!$C$3:$C$480,"=41",'Plan rashoda za unos u SAP'!$N$3:$N$480,"=31")+SUMIFS('ANALITIKA EU PROJEKATA'!$I$3:$I$499,'ANALITIKA EU PROJEKATA'!$A$3:$A$499,"=41",'ANALITIKA EU PROJEKATA'!$Q$3:$Q$499,"=31")</f>
        <v>0</v>
      </c>
      <c r="I93" s="147">
        <f>SUMIFS('Plan rashoda za unos u SAP'!$K$3:$K$480,'Plan rashoda za unos u SAP'!$C$3:$C$480,"=43",'Plan rashoda za unos u SAP'!$N$3:$N$480,"=31")+SUMIFS('ANALITIKA EU PROJEKATA'!$I$3:$I$499,'ANALITIKA EU PROJEKATA'!$A$3:$A$499,"=43",'ANALITIKA EU PROJEKATA'!$Q$3:$Q$499,"=31")</f>
        <v>12341341.530992322</v>
      </c>
      <c r="J93" s="147">
        <f>SUMIFS('Plan rashoda za unos u SAP'!$K$3:$K$480,'Plan rashoda za unos u SAP'!$C$3:$C$480,"=51",'Plan rashoda za unos u SAP'!$N$3:$N$480,"=31")+SUMIFS('ANALITIKA EU PROJEKATA'!$I$3:$I$499,'ANALITIKA EU PROJEKATA'!$A$3:$A$499,"=51",'ANALITIKA EU PROJEKATA'!$Q$3:$Q$499,"=31")</f>
        <v>286445</v>
      </c>
      <c r="K93" s="147">
        <f>SUMIFS('Plan rashoda za unos u SAP'!$K$3:$K$480,'Plan rashoda za unos u SAP'!$C$3:$C$480,"=52",'Plan rashoda za unos u SAP'!$N$3:$N$480,"=31")+SUMIFS('ANALITIKA EU PROJEKATA'!$I$3:$I$499,'ANALITIKA EU PROJEKATA'!$A$3:$A$499,"=52",'ANALITIKA EU PROJEKATA'!$Q$3:$Q$499,"=31")</f>
        <v>5301139.0344076799</v>
      </c>
      <c r="L93" s="147">
        <f>SUMIFS('Plan rashoda za unos u SAP'!$K$3:$K$480,'Plan rashoda za unos u SAP'!$C$3:$C$480,"=552",'Plan rashoda za unos u SAP'!$N$3:$N$480,"=31")+SUMIFS('ANALITIKA EU PROJEKATA'!$I$3:$I$499,'ANALITIKA EU PROJEKATA'!$A$3:$A$499,"=552",'ANALITIKA EU PROJEKATA'!$Q$3:$Q$499,"=31")</f>
        <v>0</v>
      </c>
      <c r="M93" s="147">
        <f>SUMIFS('Plan rashoda za unos u SAP'!$K$3:$K$480,'Plan rashoda za unos u SAP'!$C$3:$C$480,"=559",'Plan rashoda za unos u SAP'!$N$3:$N$480,"=31")+SUMIFS('ANALITIKA EU PROJEKATA'!$I$3:$I$499,'ANALITIKA EU PROJEKATA'!$A$3:$A$499,"=559",'ANALITIKA EU PROJEKATA'!$Q$3:$Q$499,"=31")</f>
        <v>0</v>
      </c>
      <c r="N93" s="147">
        <f>SUMIFS('Plan rashoda za unos u SAP'!$K$3:$K$480,'Plan rashoda za unos u SAP'!$C$3:$C$480,"=561",'Plan rashoda za unos u SAP'!$N$3:$N$480,"=31")+SUMIFS('ANALITIKA EU PROJEKATA'!$I$3:$I$499,'ANALITIKA EU PROJEKATA'!$A$3:$A$499,"=561",'ANALITIKA EU PROJEKATA'!$Q$3:$Q$499,"=31")</f>
        <v>0</v>
      </c>
      <c r="O93" s="147">
        <f>SUMIFS('Plan rashoda za unos u SAP'!$K$3:$K$480,'Plan rashoda za unos u SAP'!$C$3:$C$480,"=563",'Plan rashoda za unos u SAP'!$N$3:$N$480,"=31")+SUMIFS('ANALITIKA EU PROJEKATA'!$I$3:$I$499,'ANALITIKA EU PROJEKATA'!$A$3:$A$499,"=563",'ANALITIKA EU PROJEKATA'!$Q$3:$Q$499,"=31")</f>
        <v>0</v>
      </c>
      <c r="P93" s="147">
        <f>SUMIFS('Plan rashoda za unos u SAP'!$K$3:$K$480,'Plan rashoda za unos u SAP'!$C$3:$C$480,"=573",'Plan rashoda za unos u SAP'!$N$3:$N$480,"=31")+SUMIFS('ANALITIKA EU PROJEKATA'!$I$3:$I$499,'ANALITIKA EU PROJEKATA'!$A$3:$A$499,"=573",'ANALITIKA EU PROJEKATA'!$Q$3:$Q$499,"=31")</f>
        <v>0</v>
      </c>
      <c r="Q93" s="147">
        <f>SUMIFS('Plan rashoda za unos u SAP'!$K$3:$K$480,'Plan rashoda za unos u SAP'!$C$3:$C$480,"=575",'Plan rashoda za unos u SAP'!$N$3:$N$480,"=31")+SUMIFS('ANALITIKA EU PROJEKATA'!$I$3:$I$499,'ANALITIKA EU PROJEKATA'!$A$3:$A$499,"=575",'ANALITIKA EU PROJEKATA'!$Q$3:$Q$499,"=31")</f>
        <v>0</v>
      </c>
      <c r="R93" s="147">
        <f>SUMIFS('Plan rashoda za unos u SAP'!$K$3:$K$480,'Plan rashoda za unos u SAP'!$C$3:$C$480,"=576",'Plan rashoda za unos u SAP'!$N$3:$N$480,"=31")+SUMIFS('ANALITIKA EU PROJEKATA'!$I$3:$I$499,'ANALITIKA EU PROJEKATA'!$A$3:$A$499,"=576",'ANALITIKA EU PROJEKATA'!$Q$3:$Q$499,"=31")</f>
        <v>0</v>
      </c>
      <c r="S93" s="147">
        <f>SUMIFS('Plan rashoda za unos u SAP'!$K$3:$K$480,'Plan rashoda za unos u SAP'!$C$3:$C$480,"=581",'Plan rashoda za unos u SAP'!$N$3:$N$480,"=31")+SUMIFS('ANALITIKA EU PROJEKATA'!$I$3:$I$499,'ANALITIKA EU PROJEKATA'!$A$3:$A$499,"=581",'ANALITIKA EU PROJEKATA'!$Q$3:$Q$499,"=31")</f>
        <v>0</v>
      </c>
      <c r="T93" s="147">
        <f>SUMIFS('Plan rashoda za unos u SAP'!$K$3:$K$480,'Plan rashoda za unos u SAP'!$C$3:$C$480,"=61",'Plan rashoda za unos u SAP'!$N$3:$N$480,"=31")+SUMIFS('ANALITIKA EU PROJEKATA'!$I$3:$I$499,'ANALITIKA EU PROJEKATA'!$A$3:$A$499,"=61",'ANALITIKA EU PROJEKATA'!$Q$3:$Q$499,"=31")</f>
        <v>58250</v>
      </c>
      <c r="U93" s="147">
        <f>SUMIFS('Plan rashoda za unos u SAP'!$K$3:$K$480,'Plan rashoda za unos u SAP'!$C$3:$C$480,"=63",'Plan rashoda za unos u SAP'!$N$3:$N$480,"=31")+SUMIFS('ANALITIKA EU PROJEKATA'!$I$3:$I$499,'ANALITIKA EU PROJEKATA'!$A$3:$A$499,"=63",'ANALITIKA EU PROJEKATA'!$Q$3:$Q$499,"=31")</f>
        <v>0</v>
      </c>
      <c r="V93" s="147">
        <f>SUMIFS('Plan rashoda za unos u SAP'!$K$3:$K$480,'Plan rashoda za unos u SAP'!$C$3:$C$480,"=71",'Plan rashoda za unos u SAP'!$N$3:$N$480,"=31")+SUMIFS('ANALITIKA EU PROJEKATA'!$I$3:$I$499,'ANALITIKA EU PROJEKATA'!$A$3:$A$499,"=71",'ANALITIKA EU PROJEKATA'!$Q$3:$Q$499,"=31")</f>
        <v>0</v>
      </c>
      <c r="W93" s="147">
        <f>SUMIFS('Plan rashoda za unos u SAP'!$K$3:$K$480,'Plan rashoda za unos u SAP'!$C$3:$C$480,"=81",'Plan rashoda za unos u SAP'!$N$3:$N$480,"=31")+SUMIFS('ANALITIKA EU PROJEKATA'!$I$3:$I$499,'ANALITIKA EU PROJEKATA'!$A$3:$A$499,"=81",'ANALITIKA EU PROJEKATA'!$Q$3:$Q$499,"=31")</f>
        <v>0</v>
      </c>
      <c r="X93" s="152"/>
      <c r="Y93" s="152"/>
      <c r="Z93" s="152"/>
      <c r="AA93" s="152"/>
      <c r="AB93" s="152"/>
      <c r="AC93" s="152"/>
      <c r="AD93" s="152"/>
      <c r="AE93" s="152"/>
      <c r="AF93" s="152"/>
      <c r="AG93" s="152"/>
      <c r="AH93" s="152"/>
      <c r="AI93" s="152"/>
      <c r="AJ93" s="152"/>
      <c r="AK93" s="152"/>
      <c r="AL93" s="152"/>
      <c r="AM93" s="152"/>
      <c r="AN93" s="152"/>
      <c r="AO93" s="152"/>
      <c r="AP93" s="152"/>
      <c r="AQ93" s="152"/>
    </row>
    <row r="94" spans="1:43" ht="12" customHeight="1">
      <c r="A94" s="131">
        <v>2023</v>
      </c>
      <c r="B94" s="150">
        <v>32</v>
      </c>
      <c r="C94" s="151" t="s">
        <v>3434</v>
      </c>
      <c r="D94" s="162">
        <f t="shared" si="24"/>
        <v>33476952.719400004</v>
      </c>
      <c r="E94" s="147">
        <f>SUMIFS('Plan rashoda za unos u SAP'!$K$3:$K$480,'Plan rashoda za unos u SAP'!$C$3:$C$480,"=11",'Plan rashoda za unos u SAP'!$N$3:$N$480,"=32")+SUMIFS('ANALITIKA EU PROJEKATA'!$I$3:$I$499,'ANALITIKA EU PROJEKATA'!$A$3:$A$499,"=11",'ANALITIKA EU PROJEKATA'!$Q$3:$Q$499,"=32")</f>
        <v>14083806</v>
      </c>
      <c r="F94" s="147">
        <f>SUMIFS('Plan rashoda za unos u SAP'!$K$3:$K$480,'Plan rashoda za unos u SAP'!$C$3:$C$480,"=12",'Plan rashoda za unos u SAP'!$N$3:$N$480,"=32")+SUMIFS('ANALITIKA EU PROJEKATA'!$I$3:$I$499,'ANALITIKA EU PROJEKATA'!$A$3:$A$499,"=12",'ANALITIKA EU PROJEKATA'!$Q$3:$Q$499,"=32")</f>
        <v>0</v>
      </c>
      <c r="G94" s="147">
        <f>SUMIFS('Plan rashoda za unos u SAP'!$K$3:$K$480,'Plan rashoda za unos u SAP'!$C$3:$C$480,"=31",'Plan rashoda za unos u SAP'!$N$3:$N$480,"=32")+SUMIFS('ANALITIKA EU PROJEKATA'!$I$3:$I$499,'ANALITIKA EU PROJEKATA'!$A$3:$A$499,"=31",'ANALITIKA EU PROJEKATA'!$Q$3:$Q$499,"=32")</f>
        <v>5781832.1933000004</v>
      </c>
      <c r="H94" s="147">
        <f>SUMIFS('Plan rashoda za unos u SAP'!$K$3:$K$480,'Plan rashoda za unos u SAP'!$C$3:$C$480,"=41",'Plan rashoda za unos u SAP'!$N$3:$N$480,"=32")+SUMIFS('ANALITIKA EU PROJEKATA'!$I$3:$I$499,'ANALITIKA EU PROJEKATA'!$A$3:$A$499,"=41",'ANALITIKA EU PROJEKATA'!$Q$3:$Q$499,"=32")</f>
        <v>0</v>
      </c>
      <c r="I94" s="147">
        <f>SUMIFS('Plan rashoda za unos u SAP'!$K$3:$K$480,'Plan rashoda za unos u SAP'!$C$3:$C$480,"=43",'Plan rashoda za unos u SAP'!$N$3:$N$480,"=32")+SUMIFS('ANALITIKA EU PROJEKATA'!$I$3:$I$499,'ANALITIKA EU PROJEKATA'!$A$3:$A$499,"=43",'ANALITIKA EU PROJEKATA'!$Q$3:$Q$499,"=32")</f>
        <v>9649180.1337480005</v>
      </c>
      <c r="J94" s="147">
        <f>SUMIFS('Plan rashoda za unos u SAP'!$K$3:$K$480,'Plan rashoda za unos u SAP'!$C$3:$C$480,"=51",'Plan rashoda za unos u SAP'!$N$3:$N$480,"=32")+SUMIFS('ANALITIKA EU PROJEKATA'!$I$3:$I$499,'ANALITIKA EU PROJEKATA'!$A$3:$A$499,"=51",'ANALITIKA EU PROJEKATA'!$Q$3:$Q$499,"=32")</f>
        <v>260307</v>
      </c>
      <c r="K94" s="147">
        <f>SUMIFS('Plan rashoda za unos u SAP'!$K$3:$K$480,'Plan rashoda za unos u SAP'!$C$3:$C$480,"=52",'Plan rashoda za unos u SAP'!$N$3:$N$480,"=32")+SUMIFS('ANALITIKA EU PROJEKATA'!$I$3:$I$499,'ANALITIKA EU PROJEKATA'!$A$3:$A$499,"=52",'ANALITIKA EU PROJEKATA'!$Q$3:$Q$499,"=32")</f>
        <v>3543835.3923519989</v>
      </c>
      <c r="L94" s="147">
        <f>SUMIFS('Plan rashoda za unos u SAP'!$K$3:$K$480,'Plan rashoda za unos u SAP'!$C$3:$C$480,"=552",'Plan rashoda za unos u SAP'!$N$3:$N$480,"=32")+SUMIFS('ANALITIKA EU PROJEKATA'!$I$3:$I$499,'ANALITIKA EU PROJEKATA'!$A$3:$A$499,"=552",'ANALITIKA EU PROJEKATA'!$Q$3:$Q$499,"=32")</f>
        <v>0</v>
      </c>
      <c r="M94" s="147">
        <f>SUMIFS('Plan rashoda za unos u SAP'!$K$3:$K$480,'Plan rashoda za unos u SAP'!$C$3:$C$480,"=559",'Plan rashoda za unos u SAP'!$N$3:$N$480,"=32")+SUMIFS('ANALITIKA EU PROJEKATA'!$I$3:$I$499,'ANALITIKA EU PROJEKATA'!$A$3:$A$499,"=559",'ANALITIKA EU PROJEKATA'!$Q$3:$Q$499,"=32")</f>
        <v>0</v>
      </c>
      <c r="N94" s="147">
        <f>SUMIFS('Plan rashoda za unos u SAP'!$K$3:$K$480,'Plan rashoda za unos u SAP'!$C$3:$C$480,"=561",'Plan rashoda za unos u SAP'!$N$3:$N$480,"=32")+SUMIFS('ANALITIKA EU PROJEKATA'!$I$3:$I$499,'ANALITIKA EU PROJEKATA'!$A$3:$A$499,"=561",'ANALITIKA EU PROJEKATA'!$Q$3:$Q$499,"=32")</f>
        <v>0</v>
      </c>
      <c r="O94" s="147">
        <f>SUMIFS('Plan rashoda za unos u SAP'!$K$3:$K$480,'Plan rashoda za unos u SAP'!$C$3:$C$480,"=563",'Plan rashoda za unos u SAP'!$N$3:$N$480,"=32")+SUMIFS('ANALITIKA EU PROJEKATA'!$I$3:$I$499,'ANALITIKA EU PROJEKATA'!$A$3:$A$499,"=563",'ANALITIKA EU PROJEKATA'!$Q$3:$Q$499,"=32")</f>
        <v>0</v>
      </c>
      <c r="P94" s="147">
        <f>SUMIFS('Plan rashoda za unos u SAP'!$K$3:$K$480,'Plan rashoda za unos u SAP'!$C$3:$C$480,"=573",'Plan rashoda za unos u SAP'!$N$3:$N$480,"=32")+SUMIFS('ANALITIKA EU PROJEKATA'!$I$3:$I$499,'ANALITIKA EU PROJEKATA'!$A$3:$A$499,"=573",'ANALITIKA EU PROJEKATA'!$Q$3:$Q$499,"=32")</f>
        <v>0</v>
      </c>
      <c r="Q94" s="147">
        <f>SUMIFS('Plan rashoda za unos u SAP'!$K$3:$K$480,'Plan rashoda za unos u SAP'!$C$3:$C$480,"=575",'Plan rashoda za unos u SAP'!$N$3:$N$480,"=32")+SUMIFS('ANALITIKA EU PROJEKATA'!$I$3:$I$499,'ANALITIKA EU PROJEKATA'!$A$3:$A$499,"=575",'ANALITIKA EU PROJEKATA'!$Q$3:$Q$499,"=32")</f>
        <v>0</v>
      </c>
      <c r="R94" s="147">
        <f>SUMIFS('Plan rashoda za unos u SAP'!$K$3:$K$480,'Plan rashoda za unos u SAP'!$C$3:$C$480,"=576",'Plan rashoda za unos u SAP'!$N$3:$N$480,"=32")+SUMIFS('ANALITIKA EU PROJEKATA'!$I$3:$I$499,'ANALITIKA EU PROJEKATA'!$A$3:$A$499,"=576",'ANALITIKA EU PROJEKATA'!$Q$3:$Q$499,"=32")</f>
        <v>0</v>
      </c>
      <c r="S94" s="147">
        <f>SUMIFS('Plan rashoda za unos u SAP'!$K$3:$K$480,'Plan rashoda za unos u SAP'!$C$3:$C$480,"=581",'Plan rashoda za unos u SAP'!$N$3:$N$480,"=32")+SUMIFS('ANALITIKA EU PROJEKATA'!$I$3:$I$499,'ANALITIKA EU PROJEKATA'!$A$3:$A$499,"=581",'ANALITIKA EU PROJEKATA'!$Q$3:$Q$499,"=32")</f>
        <v>0</v>
      </c>
      <c r="T94" s="147">
        <f>SUMIFS('Plan rashoda za unos u SAP'!$K$3:$K$480,'Plan rashoda za unos u SAP'!$C$3:$C$480,"=61",'Plan rashoda za unos u SAP'!$N$3:$N$480,"=32")+SUMIFS('ANALITIKA EU PROJEKATA'!$I$3:$I$499,'ANALITIKA EU PROJEKATA'!$A$3:$A$499,"=61",'ANALITIKA EU PROJEKATA'!$Q$3:$Q$499,"=32")</f>
        <v>157992</v>
      </c>
      <c r="U94" s="147">
        <f>SUMIFS('Plan rashoda za unos u SAP'!$K$3:$K$480,'Plan rashoda za unos u SAP'!$C$3:$C$480,"=63",'Plan rashoda za unos u SAP'!$N$3:$N$480,"=32")+SUMIFS('ANALITIKA EU PROJEKATA'!$I$3:$I$499,'ANALITIKA EU PROJEKATA'!$A$3:$A$499,"=63",'ANALITIKA EU PROJEKATA'!$Q$3:$Q$499,"=32")</f>
        <v>0</v>
      </c>
      <c r="V94" s="147">
        <f>SUMIFS('Plan rashoda za unos u SAP'!$K$3:$K$480,'Plan rashoda za unos u SAP'!$C$3:$C$480,"=71",'Plan rashoda za unos u SAP'!$N$3:$N$480,"=32")+SUMIFS('ANALITIKA EU PROJEKATA'!$I$3:$I$499,'ANALITIKA EU PROJEKATA'!$A$3:$A$499,"=71",'ANALITIKA EU PROJEKATA'!$Q$3:$Q$499,"=32")</f>
        <v>0</v>
      </c>
      <c r="W94" s="147">
        <f>SUMIFS('Plan rashoda za unos u SAP'!$K$3:$K$480,'Plan rashoda za unos u SAP'!$C$3:$C$480,"=81",'Plan rashoda za unos u SAP'!$N$3:$N$480,"=32")+SUMIFS('ANALITIKA EU PROJEKATA'!$I$3:$I$499,'ANALITIKA EU PROJEKATA'!$A$3:$A$499,"=81",'ANALITIKA EU PROJEKATA'!$Q$3:$Q$499,"=32")</f>
        <v>0</v>
      </c>
      <c r="X94" s="152"/>
      <c r="Y94" s="152"/>
      <c r="Z94" s="152"/>
      <c r="AA94" s="152"/>
      <c r="AB94" s="152"/>
      <c r="AC94" s="152"/>
      <c r="AD94" s="152"/>
      <c r="AE94" s="152"/>
      <c r="AF94" s="152"/>
      <c r="AG94" s="152"/>
      <c r="AH94" s="152"/>
      <c r="AI94" s="152"/>
      <c r="AJ94" s="152"/>
      <c r="AK94" s="152"/>
      <c r="AL94" s="152"/>
      <c r="AM94" s="152"/>
      <c r="AN94" s="152"/>
      <c r="AO94" s="152"/>
      <c r="AP94" s="152"/>
      <c r="AQ94" s="152"/>
    </row>
    <row r="95" spans="1:43" ht="12" customHeight="1">
      <c r="A95" s="131">
        <v>2023</v>
      </c>
      <c r="B95" s="150">
        <v>34</v>
      </c>
      <c r="C95" s="151" t="s">
        <v>3438</v>
      </c>
      <c r="D95" s="162">
        <f t="shared" si="24"/>
        <v>52839.139799999997</v>
      </c>
      <c r="E95" s="147">
        <f>SUMIFS('Plan rashoda za unos u SAP'!$K$3:$K$480,'Plan rashoda za unos u SAP'!$C$3:$C$480,"=11",'Plan rashoda za unos u SAP'!$N$3:$N$480,"=34")+SUMIFS('ANALITIKA EU PROJEKATA'!$I$3:$I$499,'ANALITIKA EU PROJEKATA'!$A$3:$A$499,"=11",'ANALITIKA EU PROJEKATA'!$Q$3:$Q$499,"=34")</f>
        <v>0</v>
      </c>
      <c r="F95" s="147">
        <f>SUMIFS('Plan rashoda za unos u SAP'!$K$3:$K$480,'Plan rashoda za unos u SAP'!$C$3:$C$480,"=12",'Plan rashoda za unos u SAP'!$N$3:$N$480,"=34")+SUMIFS('ANALITIKA EU PROJEKATA'!$I$3:$I$499,'ANALITIKA EU PROJEKATA'!$A$3:$A$499,"=12",'ANALITIKA EU PROJEKATA'!$Q$3:$Q$499,"=34")</f>
        <v>0</v>
      </c>
      <c r="G95" s="147">
        <f>SUMIFS('Plan rashoda za unos u SAP'!$K$3:$K$480,'Plan rashoda za unos u SAP'!$C$3:$C$480,"=31",'Plan rashoda za unos u SAP'!$N$3:$N$480,"=34")+SUMIFS('ANALITIKA EU PROJEKATA'!$I$3:$I$499,'ANALITIKA EU PROJEKATA'!$A$3:$A$499,"=31",'ANALITIKA EU PROJEKATA'!$Q$3:$Q$499,"=34")</f>
        <v>8253.6291000000001</v>
      </c>
      <c r="H95" s="147">
        <f>SUMIFS('Plan rashoda za unos u SAP'!$K$3:$K$480,'Plan rashoda za unos u SAP'!$C$3:$C$480,"=41",'Plan rashoda za unos u SAP'!$N$3:$N$480,"=34")+SUMIFS('ANALITIKA EU PROJEKATA'!$I$3:$I$499,'ANALITIKA EU PROJEKATA'!$A$3:$A$499,"=41",'ANALITIKA EU PROJEKATA'!$Q$3:$Q$499,"=34")</f>
        <v>0</v>
      </c>
      <c r="I95" s="147">
        <f>SUMIFS('Plan rashoda za unos u SAP'!$K$3:$K$480,'Plan rashoda za unos u SAP'!$C$3:$C$480,"=43",'Plan rashoda za unos u SAP'!$N$3:$N$480,"=34")+SUMIFS('ANALITIKA EU PROJEKATA'!$I$3:$I$499,'ANALITIKA EU PROJEKATA'!$A$3:$A$499,"=43",'ANALITIKA EU PROJEKATA'!$Q$3:$Q$499,"=34")</f>
        <v>44585.510699999999</v>
      </c>
      <c r="J95" s="147">
        <f>SUMIFS('Plan rashoda za unos u SAP'!$K$3:$K$480,'Plan rashoda za unos u SAP'!$C$3:$C$480,"=51",'Plan rashoda za unos u SAP'!$N$3:$N$480,"=34")+SUMIFS('ANALITIKA EU PROJEKATA'!$I$3:$I$499,'ANALITIKA EU PROJEKATA'!$A$3:$A$499,"=51",'ANALITIKA EU PROJEKATA'!$Q$3:$Q$499,"=34")</f>
        <v>0</v>
      </c>
      <c r="K95" s="147">
        <f>SUMIFS('Plan rashoda za unos u SAP'!$K$3:$K$480,'Plan rashoda za unos u SAP'!$C$3:$C$480,"=52",'Plan rashoda za unos u SAP'!$N$3:$N$480,"=34")+SUMIFS('ANALITIKA EU PROJEKATA'!$I$3:$I$499,'ANALITIKA EU PROJEKATA'!$A$3:$A$499,"=52",'ANALITIKA EU PROJEKATA'!$Q$3:$Q$499,"=34")</f>
        <v>0</v>
      </c>
      <c r="L95" s="147">
        <f>SUMIFS('Plan rashoda za unos u SAP'!$K$3:$K$480,'Plan rashoda za unos u SAP'!$C$3:$C$480,"=552",'Plan rashoda za unos u SAP'!$N$3:$N$480,"=34")+SUMIFS('ANALITIKA EU PROJEKATA'!$I$3:$I$499,'ANALITIKA EU PROJEKATA'!$A$3:$A$499,"=552",'ANALITIKA EU PROJEKATA'!$Q$3:$Q$499,"=34")</f>
        <v>0</v>
      </c>
      <c r="M95" s="147">
        <f>SUMIFS('Plan rashoda za unos u SAP'!$K$3:$K$480,'Plan rashoda za unos u SAP'!$C$3:$C$480,"=559",'Plan rashoda za unos u SAP'!$N$3:$N$480,"=34")+SUMIFS('ANALITIKA EU PROJEKATA'!$I$3:$I$499,'ANALITIKA EU PROJEKATA'!$A$3:$A$499,"=559",'ANALITIKA EU PROJEKATA'!$Q$3:$Q$499,"=34")</f>
        <v>0</v>
      </c>
      <c r="N95" s="147">
        <f>SUMIFS('Plan rashoda za unos u SAP'!$K$3:$K$480,'Plan rashoda za unos u SAP'!$C$3:$C$480,"=561",'Plan rashoda za unos u SAP'!$N$3:$N$480,"=34")+SUMIFS('ANALITIKA EU PROJEKATA'!$I$3:$I$499,'ANALITIKA EU PROJEKATA'!$A$3:$A$499,"=561",'ANALITIKA EU PROJEKATA'!$Q$3:$Q$499,"=34")</f>
        <v>0</v>
      </c>
      <c r="O95" s="147">
        <f>SUMIFS('Plan rashoda za unos u SAP'!$K$3:$K$480,'Plan rashoda za unos u SAP'!$C$3:$C$480,"=563",'Plan rashoda za unos u SAP'!$N$3:$N$480,"=34")+SUMIFS('ANALITIKA EU PROJEKATA'!$I$3:$I$499,'ANALITIKA EU PROJEKATA'!$A$3:$A$499,"=563",'ANALITIKA EU PROJEKATA'!$Q$3:$Q$499,"=34")</f>
        <v>0</v>
      </c>
      <c r="P95" s="147">
        <f>SUMIFS('Plan rashoda za unos u SAP'!$K$3:$K$480,'Plan rashoda za unos u SAP'!$C$3:$C$480,"=573",'Plan rashoda za unos u SAP'!$N$3:$N$480,"=34")+SUMIFS('ANALITIKA EU PROJEKATA'!$I$3:$I$499,'ANALITIKA EU PROJEKATA'!$A$3:$A$499,"=573",'ANALITIKA EU PROJEKATA'!$Q$3:$Q$499,"=34")</f>
        <v>0</v>
      </c>
      <c r="Q95" s="147">
        <f>SUMIFS('Plan rashoda za unos u SAP'!$K$3:$K$480,'Plan rashoda za unos u SAP'!$C$3:$C$480,"=575",'Plan rashoda za unos u SAP'!$N$3:$N$480,"=34")+SUMIFS('ANALITIKA EU PROJEKATA'!$I$3:$I$499,'ANALITIKA EU PROJEKATA'!$A$3:$A$499,"=575",'ANALITIKA EU PROJEKATA'!$Q$3:$Q$499,"=34")</f>
        <v>0</v>
      </c>
      <c r="R95" s="147">
        <f>SUMIFS('Plan rashoda za unos u SAP'!$K$3:$K$480,'Plan rashoda za unos u SAP'!$C$3:$C$480,"=576",'Plan rashoda za unos u SAP'!$N$3:$N$480,"=34")+SUMIFS('ANALITIKA EU PROJEKATA'!$I$3:$I$499,'ANALITIKA EU PROJEKATA'!$A$3:$A$499,"=576",'ANALITIKA EU PROJEKATA'!$Q$3:$Q$499,"=34")</f>
        <v>0</v>
      </c>
      <c r="S95" s="147">
        <f>SUMIFS('Plan rashoda za unos u SAP'!$K$3:$K$480,'Plan rashoda za unos u SAP'!$C$3:$C$480,"=581",'Plan rashoda za unos u SAP'!$N$3:$N$480,"=34")+SUMIFS('ANALITIKA EU PROJEKATA'!$I$3:$I$499,'ANALITIKA EU PROJEKATA'!$A$3:$A$499,"=581",'ANALITIKA EU PROJEKATA'!$Q$3:$Q$499,"=34")</f>
        <v>0</v>
      </c>
      <c r="T95" s="147">
        <f>SUMIFS('Plan rashoda za unos u SAP'!$K$3:$K$480,'Plan rashoda za unos u SAP'!$C$3:$C$480,"=61",'Plan rashoda za unos u SAP'!$N$3:$N$480,"=34")+SUMIFS('ANALITIKA EU PROJEKATA'!$I$3:$I$499,'ANALITIKA EU PROJEKATA'!$A$3:$A$499,"=61",'ANALITIKA EU PROJEKATA'!$Q$3:$Q$499,"=34")</f>
        <v>0</v>
      </c>
      <c r="U95" s="147">
        <f>SUMIFS('Plan rashoda za unos u SAP'!$K$3:$K$480,'Plan rashoda za unos u SAP'!$C$3:$C$480,"=63",'Plan rashoda za unos u SAP'!$N$3:$N$480,"=34")+SUMIFS('ANALITIKA EU PROJEKATA'!$I$3:$I$499,'ANALITIKA EU PROJEKATA'!$A$3:$A$499,"=63",'ANALITIKA EU PROJEKATA'!$Q$3:$Q$499,"=34")</f>
        <v>0</v>
      </c>
      <c r="V95" s="147">
        <f>SUMIFS('Plan rashoda za unos u SAP'!$K$3:$K$480,'Plan rashoda za unos u SAP'!$C$3:$C$480,"=71",'Plan rashoda za unos u SAP'!$N$3:$N$480,"=34")+SUMIFS('ANALITIKA EU PROJEKATA'!$I$3:$I$499,'ANALITIKA EU PROJEKATA'!$A$3:$A$499,"=71",'ANALITIKA EU PROJEKATA'!$Q$3:$Q$499,"=34")</f>
        <v>0</v>
      </c>
      <c r="W95" s="147">
        <f>SUMIFS('Plan rashoda za unos u SAP'!$K$3:$K$480,'Plan rashoda za unos u SAP'!$C$3:$C$480,"=81",'Plan rashoda za unos u SAP'!$N$3:$N$480,"=34")+SUMIFS('ANALITIKA EU PROJEKATA'!$I$3:$I$499,'ANALITIKA EU PROJEKATA'!$A$3:$A$499,"=81",'ANALITIKA EU PROJEKATA'!$Q$3:$Q$499,"=34")</f>
        <v>0</v>
      </c>
      <c r="X95" s="152"/>
      <c r="Y95" s="152"/>
      <c r="Z95" s="152"/>
      <c r="AA95" s="152"/>
      <c r="AB95" s="152"/>
      <c r="AC95" s="152"/>
      <c r="AD95" s="152"/>
      <c r="AE95" s="152"/>
      <c r="AF95" s="152"/>
      <c r="AG95" s="152"/>
      <c r="AH95" s="152"/>
      <c r="AI95" s="152"/>
      <c r="AJ95" s="152"/>
      <c r="AK95" s="152"/>
      <c r="AL95" s="152"/>
      <c r="AM95" s="152"/>
      <c r="AN95" s="152"/>
      <c r="AO95" s="152"/>
      <c r="AP95" s="152"/>
      <c r="AQ95" s="152"/>
    </row>
    <row r="96" spans="1:43" ht="12" customHeight="1">
      <c r="A96" s="131">
        <v>2023</v>
      </c>
      <c r="B96" s="150">
        <v>35</v>
      </c>
      <c r="C96" s="151" t="s">
        <v>3442</v>
      </c>
      <c r="D96" s="162">
        <f t="shared" si="24"/>
        <v>0</v>
      </c>
      <c r="E96" s="147">
        <f>SUMIFS('Plan rashoda za unos u SAP'!$K$3:$K$480,'Plan rashoda za unos u SAP'!$C$3:$C$480,"=11",'Plan rashoda za unos u SAP'!$N$3:$N$480,"=35")+SUMIFS('ANALITIKA EU PROJEKATA'!$I$3:$I$499,'ANALITIKA EU PROJEKATA'!$A$3:$A$499,"=11",'ANALITIKA EU PROJEKATA'!$Q$3:$Q$499,"=35")</f>
        <v>0</v>
      </c>
      <c r="F96" s="147">
        <f>SUMIFS('Plan rashoda za unos u SAP'!$K$3:$K$480,'Plan rashoda za unos u SAP'!$C$3:$C$480,"=12",'Plan rashoda za unos u SAP'!$N$3:$N$480,"=35")+SUMIFS('ANALITIKA EU PROJEKATA'!$I$3:$I$499,'ANALITIKA EU PROJEKATA'!$A$3:$A$499,"=12",'ANALITIKA EU PROJEKATA'!$Q$3:$Q$499,"=35")</f>
        <v>0</v>
      </c>
      <c r="G96" s="147">
        <f>SUMIFS('Plan rashoda za unos u SAP'!$K$3:$K$480,'Plan rashoda za unos u SAP'!$C$3:$C$480,"=31",'Plan rashoda za unos u SAP'!$N$3:$N$480,"=35")+SUMIFS('ANALITIKA EU PROJEKATA'!$I$3:$I$499,'ANALITIKA EU PROJEKATA'!$A$3:$A$499,"=31",'ANALITIKA EU PROJEKATA'!$Q$3:$Q$499,"=35")</f>
        <v>0</v>
      </c>
      <c r="H96" s="147">
        <f>SUMIFS('Plan rashoda za unos u SAP'!$K$3:$K$480,'Plan rashoda za unos u SAP'!$C$3:$C$480,"=41",'Plan rashoda za unos u SAP'!$N$3:$N$480,"=35")+SUMIFS('ANALITIKA EU PROJEKATA'!$I$3:$I$499,'ANALITIKA EU PROJEKATA'!$A$3:$A$499,"=41",'ANALITIKA EU PROJEKATA'!$Q$3:$Q$499,"=35")</f>
        <v>0</v>
      </c>
      <c r="I96" s="147">
        <f>SUMIFS('Plan rashoda za unos u SAP'!$K$3:$K$480,'Plan rashoda za unos u SAP'!$C$3:$C$480,"=43",'Plan rashoda za unos u SAP'!$N$3:$N$480,"=35")+SUMIFS('ANALITIKA EU PROJEKATA'!$I$3:$I$499,'ANALITIKA EU PROJEKATA'!$A$3:$A$499,"=43",'ANALITIKA EU PROJEKATA'!$Q$3:$Q$499,"=35")</f>
        <v>0</v>
      </c>
      <c r="J96" s="147">
        <f>SUMIFS('Plan rashoda za unos u SAP'!$K$3:$K$480,'Plan rashoda za unos u SAP'!$C$3:$C$480,"=51",'Plan rashoda za unos u SAP'!$N$3:$N$480,"=35")+SUMIFS('ANALITIKA EU PROJEKATA'!$I$3:$I$499,'ANALITIKA EU PROJEKATA'!$A$3:$A$499,"=51",'ANALITIKA EU PROJEKATA'!$Q$3:$Q$499,"=35")</f>
        <v>0</v>
      </c>
      <c r="K96" s="147">
        <f>SUMIFS('Plan rashoda za unos u SAP'!$K$3:$K$480,'Plan rashoda za unos u SAP'!$C$3:$C$480,"=52",'Plan rashoda za unos u SAP'!$N$3:$N$480,"=35")+SUMIFS('ANALITIKA EU PROJEKATA'!$I$3:$I$499,'ANALITIKA EU PROJEKATA'!$A$3:$A$499,"=52",'ANALITIKA EU PROJEKATA'!$Q$3:$Q$499,"=35")</f>
        <v>0</v>
      </c>
      <c r="L96" s="147">
        <f>SUMIFS('Plan rashoda za unos u SAP'!$K$3:$K$480,'Plan rashoda za unos u SAP'!$C$3:$C$480,"=552",'Plan rashoda za unos u SAP'!$N$3:$N$480,"=35")+SUMIFS('ANALITIKA EU PROJEKATA'!$I$3:$I$499,'ANALITIKA EU PROJEKATA'!$A$3:$A$499,"=552",'ANALITIKA EU PROJEKATA'!$Q$3:$Q$499,"=35")</f>
        <v>0</v>
      </c>
      <c r="M96" s="147">
        <f>SUMIFS('Plan rashoda za unos u SAP'!$K$3:$K$480,'Plan rashoda za unos u SAP'!$C$3:$C$480,"=559",'Plan rashoda za unos u SAP'!$N$3:$N$480,"=35")+SUMIFS('ANALITIKA EU PROJEKATA'!$I$3:$I$499,'ANALITIKA EU PROJEKATA'!$A$3:$A$499,"=559",'ANALITIKA EU PROJEKATA'!$Q$3:$Q$499,"=35")</f>
        <v>0</v>
      </c>
      <c r="N96" s="147">
        <f>SUMIFS('Plan rashoda za unos u SAP'!$K$3:$K$480,'Plan rashoda za unos u SAP'!$C$3:$C$480,"=561",'Plan rashoda za unos u SAP'!$N$3:$N$480,"=35")+SUMIFS('ANALITIKA EU PROJEKATA'!$I$3:$I$499,'ANALITIKA EU PROJEKATA'!$A$3:$A$499,"=561",'ANALITIKA EU PROJEKATA'!$Q$3:$Q$499,"=35")</f>
        <v>0</v>
      </c>
      <c r="O96" s="147">
        <f>SUMIFS('Plan rashoda za unos u SAP'!$K$3:$K$480,'Plan rashoda za unos u SAP'!$C$3:$C$480,"=563",'Plan rashoda za unos u SAP'!$N$3:$N$480,"=35")+SUMIFS('ANALITIKA EU PROJEKATA'!$I$3:$I$499,'ANALITIKA EU PROJEKATA'!$A$3:$A$499,"=563",'ANALITIKA EU PROJEKATA'!$Q$3:$Q$499,"=35")</f>
        <v>0</v>
      </c>
      <c r="P96" s="147">
        <f>SUMIFS('Plan rashoda za unos u SAP'!$K$3:$K$480,'Plan rashoda za unos u SAP'!$C$3:$C$480,"=573",'Plan rashoda za unos u SAP'!$N$3:$N$480,"=35")+SUMIFS('ANALITIKA EU PROJEKATA'!$I$3:$I$499,'ANALITIKA EU PROJEKATA'!$A$3:$A$499,"=573",'ANALITIKA EU PROJEKATA'!$Q$3:$Q$499,"=35")</f>
        <v>0</v>
      </c>
      <c r="Q96" s="147">
        <f>SUMIFS('Plan rashoda za unos u SAP'!$K$3:$K$480,'Plan rashoda za unos u SAP'!$C$3:$C$480,"=575",'Plan rashoda za unos u SAP'!$N$3:$N$480,"=35")+SUMIFS('ANALITIKA EU PROJEKATA'!$I$3:$I$499,'ANALITIKA EU PROJEKATA'!$A$3:$A$499,"=575",'ANALITIKA EU PROJEKATA'!$Q$3:$Q$499,"=35")</f>
        <v>0</v>
      </c>
      <c r="R96" s="147">
        <f>SUMIFS('Plan rashoda za unos u SAP'!$K$3:$K$480,'Plan rashoda za unos u SAP'!$C$3:$C$480,"=576",'Plan rashoda za unos u SAP'!$N$3:$N$480,"=35")+SUMIFS('ANALITIKA EU PROJEKATA'!$I$3:$I$499,'ANALITIKA EU PROJEKATA'!$A$3:$A$499,"=576",'ANALITIKA EU PROJEKATA'!$Q$3:$Q$499,"=35")</f>
        <v>0</v>
      </c>
      <c r="S96" s="147">
        <f>SUMIFS('Plan rashoda za unos u SAP'!$K$3:$K$480,'Plan rashoda za unos u SAP'!$C$3:$C$480,"=581",'Plan rashoda za unos u SAP'!$N$3:$N$480,"=35")+SUMIFS('ANALITIKA EU PROJEKATA'!$I$3:$I$499,'ANALITIKA EU PROJEKATA'!$A$3:$A$499,"=581",'ANALITIKA EU PROJEKATA'!$Q$3:$Q$499,"=35")</f>
        <v>0</v>
      </c>
      <c r="T96" s="147">
        <f>SUMIFS('Plan rashoda za unos u SAP'!$K$3:$K$480,'Plan rashoda za unos u SAP'!$C$3:$C$480,"=61",'Plan rashoda za unos u SAP'!$N$3:$N$480,"=35")+SUMIFS('ANALITIKA EU PROJEKATA'!$I$3:$I$499,'ANALITIKA EU PROJEKATA'!$A$3:$A$499,"=61",'ANALITIKA EU PROJEKATA'!$Q$3:$Q$499,"=35")</f>
        <v>0</v>
      </c>
      <c r="U96" s="147">
        <f>SUMIFS('Plan rashoda za unos u SAP'!$K$3:$K$480,'Plan rashoda za unos u SAP'!$C$3:$C$480,"=63",'Plan rashoda za unos u SAP'!$N$3:$N$480,"=35")+SUMIFS('ANALITIKA EU PROJEKATA'!$I$3:$I$499,'ANALITIKA EU PROJEKATA'!$A$3:$A$499,"=63",'ANALITIKA EU PROJEKATA'!$Q$3:$Q$499,"=35")</f>
        <v>0</v>
      </c>
      <c r="V96" s="147">
        <f>SUMIFS('Plan rashoda za unos u SAP'!$K$3:$K$480,'Plan rashoda za unos u SAP'!$C$3:$C$480,"=71",'Plan rashoda za unos u SAP'!$N$3:$N$480,"=35")+SUMIFS('ANALITIKA EU PROJEKATA'!$I$3:$I$499,'ANALITIKA EU PROJEKATA'!$A$3:$A$499,"=71",'ANALITIKA EU PROJEKATA'!$Q$3:$Q$499,"=35")</f>
        <v>0</v>
      </c>
      <c r="W96" s="147">
        <f>SUMIFS('Plan rashoda za unos u SAP'!$K$3:$K$480,'Plan rashoda za unos u SAP'!$C$3:$C$480,"=81",'Plan rashoda za unos u SAP'!$N$3:$N$480,"=35")+SUMIFS('ANALITIKA EU PROJEKATA'!$I$3:$I$499,'ANALITIKA EU PROJEKATA'!$A$3:$A$499,"=81",'ANALITIKA EU PROJEKATA'!$Q$3:$Q$499,"=35")</f>
        <v>0</v>
      </c>
      <c r="X96" s="152"/>
      <c r="Y96" s="152"/>
      <c r="Z96" s="152"/>
      <c r="AA96" s="152"/>
      <c r="AB96" s="152"/>
      <c r="AC96" s="152"/>
      <c r="AD96" s="152"/>
      <c r="AE96" s="152"/>
      <c r="AF96" s="152"/>
      <c r="AG96" s="152"/>
      <c r="AH96" s="152"/>
      <c r="AI96" s="152"/>
      <c r="AJ96" s="152"/>
      <c r="AK96" s="152"/>
      <c r="AL96" s="152"/>
      <c r="AM96" s="152"/>
      <c r="AN96" s="152"/>
      <c r="AO96" s="152"/>
      <c r="AP96" s="152"/>
      <c r="AQ96" s="152"/>
    </row>
    <row r="97" spans="1:43" ht="12" customHeight="1">
      <c r="A97" s="131">
        <v>2023</v>
      </c>
      <c r="B97" s="150">
        <v>36</v>
      </c>
      <c r="C97" s="155" t="s">
        <v>3445</v>
      </c>
      <c r="D97" s="162">
        <f t="shared" si="24"/>
        <v>0</v>
      </c>
      <c r="E97" s="147">
        <f>SUMIFS('Plan rashoda za unos u SAP'!$K$3:$K$480,'Plan rashoda za unos u SAP'!$C$3:$C$480,"=11",'Plan rashoda za unos u SAP'!$N$3:$N$480,"=36")+SUMIFS('ANALITIKA EU PROJEKATA'!$I$3:$I$499,'ANALITIKA EU PROJEKATA'!$A$3:$A$499,"=11",'ANALITIKA EU PROJEKATA'!$Q$3:$Q$499,"=36")</f>
        <v>0</v>
      </c>
      <c r="F97" s="147">
        <f>SUMIFS('Plan rashoda za unos u SAP'!$K$3:$K$480,'Plan rashoda za unos u SAP'!$C$3:$C$480,"=12",'Plan rashoda za unos u SAP'!$N$3:$N$480,"=36")+SUMIFS('ANALITIKA EU PROJEKATA'!$I$3:$I$499,'ANALITIKA EU PROJEKATA'!$A$3:$A$499,"=12",'ANALITIKA EU PROJEKATA'!$Q$3:$Q$499,"=36")</f>
        <v>0</v>
      </c>
      <c r="G97" s="147">
        <f>SUMIFS('Plan rashoda za unos u SAP'!$K$3:$K$480,'Plan rashoda za unos u SAP'!$C$3:$C$480,"=31",'Plan rashoda za unos u SAP'!$N$3:$N$480,"=36")+SUMIFS('ANALITIKA EU PROJEKATA'!$I$3:$I$499,'ANALITIKA EU PROJEKATA'!$A$3:$A$499,"=31",'ANALITIKA EU PROJEKATA'!$Q$3:$Q$499,"=36")</f>
        <v>0</v>
      </c>
      <c r="H97" s="147">
        <f>SUMIFS('Plan rashoda za unos u SAP'!$K$3:$K$480,'Plan rashoda za unos u SAP'!$C$3:$C$480,"=41",'Plan rashoda za unos u SAP'!$N$3:$N$480,"=36")+SUMIFS('ANALITIKA EU PROJEKATA'!$I$3:$I$499,'ANALITIKA EU PROJEKATA'!$A$3:$A$499,"=41",'ANALITIKA EU PROJEKATA'!$Q$3:$Q$499,"=36")</f>
        <v>0</v>
      </c>
      <c r="I97" s="147">
        <f>SUMIFS('Plan rashoda za unos u SAP'!$K$3:$K$480,'Plan rashoda za unos u SAP'!$C$3:$C$480,"=43",'Plan rashoda za unos u SAP'!$N$3:$N$480,"=36")+SUMIFS('ANALITIKA EU PROJEKATA'!$I$3:$I$499,'ANALITIKA EU PROJEKATA'!$A$3:$A$499,"=43",'ANALITIKA EU PROJEKATA'!$Q$3:$Q$499,"=36")</f>
        <v>0</v>
      </c>
      <c r="J97" s="147">
        <f>SUMIFS('Plan rashoda za unos u SAP'!$K$3:$K$480,'Plan rashoda za unos u SAP'!$C$3:$C$480,"=51",'Plan rashoda za unos u SAP'!$N$3:$N$480,"=36")+SUMIFS('ANALITIKA EU PROJEKATA'!$I$3:$I$499,'ANALITIKA EU PROJEKATA'!$A$3:$A$499,"=51",'ANALITIKA EU PROJEKATA'!$Q$3:$Q$499,"=36")</f>
        <v>0</v>
      </c>
      <c r="K97" s="147">
        <f>SUMIFS('Plan rashoda za unos u SAP'!$K$3:$K$480,'Plan rashoda za unos u SAP'!$C$3:$C$480,"=52",'Plan rashoda za unos u SAP'!$N$3:$N$480,"=36")+SUMIFS('ANALITIKA EU PROJEKATA'!$I$3:$I$499,'ANALITIKA EU PROJEKATA'!$A$3:$A$499,"=52",'ANALITIKA EU PROJEKATA'!$Q$3:$Q$499,"=36")</f>
        <v>0</v>
      </c>
      <c r="L97" s="147">
        <f>SUMIFS('Plan rashoda za unos u SAP'!$K$3:$K$480,'Plan rashoda za unos u SAP'!$C$3:$C$480,"=552",'Plan rashoda za unos u SAP'!$N$3:$N$480,"=36")+SUMIFS('ANALITIKA EU PROJEKATA'!$I$3:$I$499,'ANALITIKA EU PROJEKATA'!$A$3:$A$499,"=552",'ANALITIKA EU PROJEKATA'!$Q$3:$Q$499,"=36")</f>
        <v>0</v>
      </c>
      <c r="M97" s="147">
        <f>SUMIFS('Plan rashoda za unos u SAP'!$K$3:$K$480,'Plan rashoda za unos u SAP'!$C$3:$C$480,"=559",'Plan rashoda za unos u SAP'!$N$3:$N$480,"=36")+SUMIFS('ANALITIKA EU PROJEKATA'!$I$3:$I$499,'ANALITIKA EU PROJEKATA'!$A$3:$A$499,"=559",'ANALITIKA EU PROJEKATA'!$Q$3:$Q$499,"=36")</f>
        <v>0</v>
      </c>
      <c r="N97" s="147">
        <f>SUMIFS('Plan rashoda za unos u SAP'!$K$3:$K$480,'Plan rashoda za unos u SAP'!$C$3:$C$480,"=561",'Plan rashoda za unos u SAP'!$N$3:$N$480,"=36")+SUMIFS('ANALITIKA EU PROJEKATA'!$I$3:$I$499,'ANALITIKA EU PROJEKATA'!$A$3:$A$499,"=561",'ANALITIKA EU PROJEKATA'!$Q$3:$Q$499,"=36")</f>
        <v>0</v>
      </c>
      <c r="O97" s="147">
        <f>SUMIFS('Plan rashoda za unos u SAP'!$K$3:$K$480,'Plan rashoda za unos u SAP'!$C$3:$C$480,"=563",'Plan rashoda za unos u SAP'!$N$3:$N$480,"=36")+SUMIFS('ANALITIKA EU PROJEKATA'!$I$3:$I$499,'ANALITIKA EU PROJEKATA'!$A$3:$A$499,"=563",'ANALITIKA EU PROJEKATA'!$Q$3:$Q$499,"=36")</f>
        <v>0</v>
      </c>
      <c r="P97" s="147">
        <f>SUMIFS('Plan rashoda za unos u SAP'!$K$3:$K$480,'Plan rashoda za unos u SAP'!$C$3:$C$480,"=573",'Plan rashoda za unos u SAP'!$N$3:$N$480,"=36")+SUMIFS('ANALITIKA EU PROJEKATA'!$I$3:$I$499,'ANALITIKA EU PROJEKATA'!$A$3:$A$499,"=573",'ANALITIKA EU PROJEKATA'!$Q$3:$Q$499,"=36")</f>
        <v>0</v>
      </c>
      <c r="Q97" s="147">
        <f>SUMIFS('Plan rashoda za unos u SAP'!$K$3:$K$480,'Plan rashoda za unos u SAP'!$C$3:$C$480,"=575",'Plan rashoda za unos u SAP'!$N$3:$N$480,"=36")+SUMIFS('ANALITIKA EU PROJEKATA'!$I$3:$I$499,'ANALITIKA EU PROJEKATA'!$A$3:$A$499,"=575",'ANALITIKA EU PROJEKATA'!$Q$3:$Q$499,"=36")</f>
        <v>0</v>
      </c>
      <c r="R97" s="147">
        <f>SUMIFS('Plan rashoda za unos u SAP'!$K$3:$K$480,'Plan rashoda za unos u SAP'!$C$3:$C$480,"=576",'Plan rashoda za unos u SAP'!$N$3:$N$480,"=36")+SUMIFS('ANALITIKA EU PROJEKATA'!$I$3:$I$499,'ANALITIKA EU PROJEKATA'!$A$3:$A$499,"=576",'ANALITIKA EU PROJEKATA'!$Q$3:$Q$499,"=36")</f>
        <v>0</v>
      </c>
      <c r="S97" s="147">
        <f>SUMIFS('Plan rashoda za unos u SAP'!$K$3:$K$480,'Plan rashoda za unos u SAP'!$C$3:$C$480,"=581",'Plan rashoda za unos u SAP'!$N$3:$N$480,"=36")+SUMIFS('ANALITIKA EU PROJEKATA'!$I$3:$I$499,'ANALITIKA EU PROJEKATA'!$A$3:$A$499,"=581",'ANALITIKA EU PROJEKATA'!$Q$3:$Q$499,"=36")</f>
        <v>0</v>
      </c>
      <c r="T97" s="147">
        <f>SUMIFS('Plan rashoda za unos u SAP'!$K$3:$K$480,'Plan rashoda za unos u SAP'!$C$3:$C$480,"=61",'Plan rashoda za unos u SAP'!$N$3:$N$480,"=36")+SUMIFS('ANALITIKA EU PROJEKATA'!$I$3:$I$499,'ANALITIKA EU PROJEKATA'!$A$3:$A$499,"=61",'ANALITIKA EU PROJEKATA'!$Q$3:$Q$499,"=36")</f>
        <v>0</v>
      </c>
      <c r="U97" s="147">
        <f>SUMIFS('Plan rashoda za unos u SAP'!$K$3:$K$480,'Plan rashoda za unos u SAP'!$C$3:$C$480,"=63",'Plan rashoda za unos u SAP'!$N$3:$N$480,"=36")+SUMIFS('ANALITIKA EU PROJEKATA'!$I$3:$I$499,'ANALITIKA EU PROJEKATA'!$A$3:$A$499,"=63",'ANALITIKA EU PROJEKATA'!$Q$3:$Q$499,"=36")</f>
        <v>0</v>
      </c>
      <c r="V97" s="147">
        <f>SUMIFS('Plan rashoda za unos u SAP'!$K$3:$K$480,'Plan rashoda za unos u SAP'!$C$3:$C$480,"=71",'Plan rashoda za unos u SAP'!$N$3:$N$480,"=36")+SUMIFS('ANALITIKA EU PROJEKATA'!$I$3:$I$499,'ANALITIKA EU PROJEKATA'!$A$3:$A$499,"=71",'ANALITIKA EU PROJEKATA'!$Q$3:$Q$499,"=36")</f>
        <v>0</v>
      </c>
      <c r="W97" s="147">
        <f>SUMIFS('Plan rashoda za unos u SAP'!$K$3:$K$480,'Plan rashoda za unos u SAP'!$C$3:$C$480,"=81",'Plan rashoda za unos u SAP'!$N$3:$N$480,"=36")+SUMIFS('ANALITIKA EU PROJEKATA'!$I$3:$I$499,'ANALITIKA EU PROJEKATA'!$A$3:$A$499,"=81",'ANALITIKA EU PROJEKATA'!$Q$3:$Q$499,"=36")</f>
        <v>0</v>
      </c>
      <c r="X97" s="152"/>
      <c r="Y97" s="152"/>
      <c r="Z97" s="152"/>
      <c r="AA97" s="152"/>
      <c r="AB97" s="152"/>
      <c r="AC97" s="152"/>
      <c r="AD97" s="152"/>
      <c r="AE97" s="152"/>
      <c r="AF97" s="152"/>
      <c r="AG97" s="152"/>
      <c r="AH97" s="152"/>
      <c r="AI97" s="152"/>
      <c r="AJ97" s="152"/>
      <c r="AK97" s="152"/>
      <c r="AL97" s="152"/>
      <c r="AM97" s="152"/>
      <c r="AN97" s="152"/>
      <c r="AO97" s="152"/>
      <c r="AP97" s="152"/>
      <c r="AQ97" s="152"/>
    </row>
    <row r="98" spans="1:43" ht="12" customHeight="1">
      <c r="A98" s="131">
        <v>2023</v>
      </c>
      <c r="B98" s="150">
        <v>37</v>
      </c>
      <c r="C98" s="151" t="s">
        <v>3450</v>
      </c>
      <c r="D98" s="162">
        <f t="shared" si="24"/>
        <v>299087.19939999998</v>
      </c>
      <c r="E98" s="147">
        <f>SUMIFS('Plan rashoda za unos u SAP'!$K$3:$K$480,'Plan rashoda za unos u SAP'!$C$3:$C$480,"=11",'Plan rashoda za unos u SAP'!$N$3:$N$480,"=37")+SUMIFS('ANALITIKA EU PROJEKATA'!$I$3:$I$499,'ANALITIKA EU PROJEKATA'!$A$3:$A$499,"=11",'ANALITIKA EU PROJEKATA'!$Q$3:$Q$499,"=37")</f>
        <v>0</v>
      </c>
      <c r="F98" s="147">
        <f>SUMIFS('Plan rashoda za unos u SAP'!$K$3:$K$480,'Plan rashoda za unos u SAP'!$C$3:$C$480,"=12",'Plan rashoda za unos u SAP'!$N$3:$N$480,"=37")+SUMIFS('ANALITIKA EU PROJEKATA'!$I$3:$I$499,'ANALITIKA EU PROJEKATA'!$A$3:$A$499,"=12",'ANALITIKA EU PROJEKATA'!$Q$3:$Q$499,"=37")</f>
        <v>0</v>
      </c>
      <c r="G98" s="147">
        <f>SUMIFS('Plan rashoda za unos u SAP'!$K$3:$K$480,'Plan rashoda za unos u SAP'!$C$3:$C$480,"=31",'Plan rashoda za unos u SAP'!$N$3:$N$480,"=37")+SUMIFS('ANALITIKA EU PROJEKATA'!$I$3:$I$499,'ANALITIKA EU PROJEKATA'!$A$3:$A$499,"=31",'ANALITIKA EU PROJEKATA'!$Q$3:$Q$499,"=37")</f>
        <v>76507.5</v>
      </c>
      <c r="H98" s="147">
        <f>SUMIFS('Plan rashoda za unos u SAP'!$K$3:$K$480,'Plan rashoda za unos u SAP'!$C$3:$C$480,"=41",'Plan rashoda za unos u SAP'!$N$3:$N$480,"=37")+SUMIFS('ANALITIKA EU PROJEKATA'!$I$3:$I$499,'ANALITIKA EU PROJEKATA'!$A$3:$A$499,"=41",'ANALITIKA EU PROJEKATA'!$Q$3:$Q$499,"=37")</f>
        <v>0</v>
      </c>
      <c r="I98" s="147">
        <f>SUMIFS('Plan rashoda za unos u SAP'!$K$3:$K$480,'Plan rashoda za unos u SAP'!$C$3:$C$480,"=43",'Plan rashoda za unos u SAP'!$N$3:$N$480,"=37")+SUMIFS('ANALITIKA EU PROJEKATA'!$I$3:$I$499,'ANALITIKA EU PROJEKATA'!$A$3:$A$499,"=43",'ANALITIKA EU PROJEKATA'!$Q$3:$Q$499,"=37")</f>
        <v>102264.79540000002</v>
      </c>
      <c r="J98" s="147">
        <f>SUMIFS('Plan rashoda za unos u SAP'!$K$3:$K$480,'Plan rashoda za unos u SAP'!$C$3:$C$480,"=51",'Plan rashoda za unos u SAP'!$N$3:$N$480,"=37")+SUMIFS('ANALITIKA EU PROJEKATA'!$I$3:$I$499,'ANALITIKA EU PROJEKATA'!$A$3:$A$499,"=51",'ANALITIKA EU PROJEKATA'!$Q$3:$Q$499,"=37")</f>
        <v>0</v>
      </c>
      <c r="K98" s="147">
        <f>SUMIFS('Plan rashoda za unos u SAP'!$K$3:$K$480,'Plan rashoda za unos u SAP'!$C$3:$C$480,"=52",'Plan rashoda za unos u SAP'!$N$3:$N$480,"=37")+SUMIFS('ANALITIKA EU PROJEKATA'!$I$3:$I$499,'ANALITIKA EU PROJEKATA'!$A$3:$A$499,"=52",'ANALITIKA EU PROJEKATA'!$Q$3:$Q$499,"=37")</f>
        <v>120314.90399999999</v>
      </c>
      <c r="L98" s="147">
        <f>SUMIFS('Plan rashoda za unos u SAP'!$K$3:$K$480,'Plan rashoda za unos u SAP'!$C$3:$C$480,"=552",'Plan rashoda za unos u SAP'!$N$3:$N$480,"=37")+SUMIFS('ANALITIKA EU PROJEKATA'!$I$3:$I$499,'ANALITIKA EU PROJEKATA'!$A$3:$A$499,"=552",'ANALITIKA EU PROJEKATA'!$Q$3:$Q$499,"=37")</f>
        <v>0</v>
      </c>
      <c r="M98" s="147">
        <f>SUMIFS('Plan rashoda za unos u SAP'!$K$3:$K$480,'Plan rashoda za unos u SAP'!$C$3:$C$480,"=559",'Plan rashoda za unos u SAP'!$N$3:$N$480,"=37")+SUMIFS('ANALITIKA EU PROJEKATA'!$I$3:$I$499,'ANALITIKA EU PROJEKATA'!$A$3:$A$499,"=559",'ANALITIKA EU PROJEKATA'!$Q$3:$Q$499,"=37")</f>
        <v>0</v>
      </c>
      <c r="N98" s="147">
        <f>SUMIFS('Plan rashoda za unos u SAP'!$K$3:$K$480,'Plan rashoda za unos u SAP'!$C$3:$C$480,"=561",'Plan rashoda za unos u SAP'!$N$3:$N$480,"=37")+SUMIFS('ANALITIKA EU PROJEKATA'!$I$3:$I$499,'ANALITIKA EU PROJEKATA'!$A$3:$A$499,"=561",'ANALITIKA EU PROJEKATA'!$Q$3:$Q$499,"=37")</f>
        <v>0</v>
      </c>
      <c r="O98" s="147">
        <f>SUMIFS('Plan rashoda za unos u SAP'!$K$3:$K$480,'Plan rashoda za unos u SAP'!$C$3:$C$480,"=563",'Plan rashoda za unos u SAP'!$N$3:$N$480,"=37")+SUMIFS('ANALITIKA EU PROJEKATA'!$I$3:$I$499,'ANALITIKA EU PROJEKATA'!$A$3:$A$499,"=563",'ANALITIKA EU PROJEKATA'!$Q$3:$Q$499,"=37")</f>
        <v>0</v>
      </c>
      <c r="P98" s="147">
        <f>SUMIFS('Plan rashoda za unos u SAP'!$K$3:$K$480,'Plan rashoda za unos u SAP'!$C$3:$C$480,"=573",'Plan rashoda za unos u SAP'!$N$3:$N$480,"=37")+SUMIFS('ANALITIKA EU PROJEKATA'!$I$3:$I$499,'ANALITIKA EU PROJEKATA'!$A$3:$A$499,"=573",'ANALITIKA EU PROJEKATA'!$Q$3:$Q$499,"=37")</f>
        <v>0</v>
      </c>
      <c r="Q98" s="147">
        <f>SUMIFS('Plan rashoda za unos u SAP'!$K$3:$K$480,'Plan rashoda za unos u SAP'!$C$3:$C$480,"=575",'Plan rashoda za unos u SAP'!$N$3:$N$480,"=37")+SUMIFS('ANALITIKA EU PROJEKATA'!$I$3:$I$499,'ANALITIKA EU PROJEKATA'!$A$3:$A$499,"=575",'ANALITIKA EU PROJEKATA'!$Q$3:$Q$499,"=37")</f>
        <v>0</v>
      </c>
      <c r="R98" s="147">
        <f>SUMIFS('Plan rashoda za unos u SAP'!$K$3:$K$480,'Plan rashoda za unos u SAP'!$C$3:$C$480,"=576",'Plan rashoda za unos u SAP'!$N$3:$N$480,"=37")+SUMIFS('ANALITIKA EU PROJEKATA'!$I$3:$I$499,'ANALITIKA EU PROJEKATA'!$A$3:$A$499,"=576",'ANALITIKA EU PROJEKATA'!$Q$3:$Q$499,"=37")</f>
        <v>0</v>
      </c>
      <c r="S98" s="147">
        <f>SUMIFS('Plan rashoda za unos u SAP'!$K$3:$K$480,'Plan rashoda za unos u SAP'!$C$3:$C$480,"=581",'Plan rashoda za unos u SAP'!$N$3:$N$480,"=37")+SUMIFS('ANALITIKA EU PROJEKATA'!$I$3:$I$499,'ANALITIKA EU PROJEKATA'!$A$3:$A$499,"=581",'ANALITIKA EU PROJEKATA'!$Q$3:$Q$499,"=37")</f>
        <v>0</v>
      </c>
      <c r="T98" s="147">
        <f>SUMIFS('Plan rashoda za unos u SAP'!$K$3:$K$480,'Plan rashoda za unos u SAP'!$C$3:$C$480,"=61",'Plan rashoda za unos u SAP'!$N$3:$N$480,"=37")+SUMIFS('ANALITIKA EU PROJEKATA'!$I$3:$I$499,'ANALITIKA EU PROJEKATA'!$A$3:$A$499,"=61",'ANALITIKA EU PROJEKATA'!$Q$3:$Q$499,"=37")</f>
        <v>0</v>
      </c>
      <c r="U98" s="147">
        <f>SUMIFS('Plan rashoda za unos u SAP'!$K$3:$K$480,'Plan rashoda za unos u SAP'!$C$3:$C$480,"=63",'Plan rashoda za unos u SAP'!$N$3:$N$480,"=37")+SUMIFS('ANALITIKA EU PROJEKATA'!$I$3:$I$499,'ANALITIKA EU PROJEKATA'!$A$3:$A$499,"=63",'ANALITIKA EU PROJEKATA'!$Q$3:$Q$499,"=37")</f>
        <v>0</v>
      </c>
      <c r="V98" s="147">
        <f>SUMIFS('Plan rashoda za unos u SAP'!$K$3:$K$480,'Plan rashoda za unos u SAP'!$C$3:$C$480,"=71",'Plan rashoda za unos u SAP'!$N$3:$N$480,"=37")+SUMIFS('ANALITIKA EU PROJEKATA'!$I$3:$I$499,'ANALITIKA EU PROJEKATA'!$A$3:$A$499,"=71",'ANALITIKA EU PROJEKATA'!$Q$3:$Q$499,"=37")</f>
        <v>0</v>
      </c>
      <c r="W98" s="147">
        <f>SUMIFS('Plan rashoda za unos u SAP'!$K$3:$K$480,'Plan rashoda za unos u SAP'!$C$3:$C$480,"=81",'Plan rashoda za unos u SAP'!$N$3:$N$480,"=37")+SUMIFS('ANALITIKA EU PROJEKATA'!$I$3:$I$499,'ANALITIKA EU PROJEKATA'!$A$3:$A$499,"=81",'ANALITIKA EU PROJEKATA'!$Q$3:$Q$499,"=37")</f>
        <v>0</v>
      </c>
      <c r="X98" s="152"/>
      <c r="Y98" s="152"/>
      <c r="Z98" s="152"/>
      <c r="AA98" s="152"/>
      <c r="AB98" s="152"/>
      <c r="AC98" s="152"/>
      <c r="AD98" s="152"/>
      <c r="AE98" s="152"/>
      <c r="AF98" s="152"/>
      <c r="AG98" s="152"/>
      <c r="AH98" s="152"/>
      <c r="AI98" s="152"/>
      <c r="AJ98" s="152"/>
      <c r="AK98" s="152"/>
      <c r="AL98" s="152"/>
      <c r="AM98" s="152"/>
      <c r="AN98" s="152"/>
      <c r="AO98" s="152"/>
      <c r="AP98" s="152"/>
      <c r="AQ98" s="152"/>
    </row>
    <row r="99" spans="1:43" ht="12" customHeight="1">
      <c r="A99" s="131">
        <v>2023</v>
      </c>
      <c r="B99" s="150">
        <v>38</v>
      </c>
      <c r="C99" s="151" t="s">
        <v>3453</v>
      </c>
      <c r="D99" s="162">
        <f t="shared" si="24"/>
        <v>0</v>
      </c>
      <c r="E99" s="147">
        <f>SUMIFS('Plan rashoda za unos u SAP'!$K$3:$K$480,'Plan rashoda za unos u SAP'!$C$3:$C$480,"=11",'Plan rashoda za unos u SAP'!$N$3:$N$480,"=38")+SUMIFS('ANALITIKA EU PROJEKATA'!$I$3:$I$499,'ANALITIKA EU PROJEKATA'!$A$3:$A$499,"=11",'ANALITIKA EU PROJEKATA'!$Q$3:$Q$499,"=38")</f>
        <v>0</v>
      </c>
      <c r="F99" s="147">
        <f>SUMIFS('Plan rashoda za unos u SAP'!$K$3:$K$480,'Plan rashoda za unos u SAP'!$C$3:$C$480,"=12",'Plan rashoda za unos u SAP'!$N$3:$N$480,"=38")+SUMIFS('ANALITIKA EU PROJEKATA'!$I$3:$I$499,'ANALITIKA EU PROJEKATA'!$A$3:$A$499,"=12",'ANALITIKA EU PROJEKATA'!$Q$3:$Q$499,"=38")</f>
        <v>0</v>
      </c>
      <c r="G99" s="147">
        <f>SUMIFS('Plan rashoda za unos u SAP'!$K$3:$K$480,'Plan rashoda za unos u SAP'!$C$3:$C$480,"=31",'Plan rashoda za unos u SAP'!$N$3:$N$480,"=38")+SUMIFS('ANALITIKA EU PROJEKATA'!$I$3:$I$499,'ANALITIKA EU PROJEKATA'!$A$3:$A$499,"=31",'ANALITIKA EU PROJEKATA'!$Q$3:$Q$499,"=38")</f>
        <v>0</v>
      </c>
      <c r="H99" s="147">
        <f>SUMIFS('Plan rashoda za unos u SAP'!$K$3:$K$480,'Plan rashoda za unos u SAP'!$C$3:$C$480,"=41",'Plan rashoda za unos u SAP'!$N$3:$N$480,"=38")+SUMIFS('ANALITIKA EU PROJEKATA'!$I$3:$I$499,'ANALITIKA EU PROJEKATA'!$A$3:$A$499,"=41",'ANALITIKA EU PROJEKATA'!$Q$3:$Q$499,"=38")</f>
        <v>0</v>
      </c>
      <c r="I99" s="147">
        <f>SUMIFS('Plan rashoda za unos u SAP'!$K$3:$K$480,'Plan rashoda za unos u SAP'!$C$3:$C$480,"=43",'Plan rashoda za unos u SAP'!$N$3:$N$480,"=38")+SUMIFS('ANALITIKA EU PROJEKATA'!$I$3:$I$499,'ANALITIKA EU PROJEKATA'!$A$3:$A$499,"=43",'ANALITIKA EU PROJEKATA'!$Q$3:$Q$499,"=38")</f>
        <v>0</v>
      </c>
      <c r="J99" s="147">
        <f>SUMIFS('Plan rashoda za unos u SAP'!$K$3:$K$480,'Plan rashoda za unos u SAP'!$C$3:$C$480,"=51",'Plan rashoda za unos u SAP'!$N$3:$N$480,"=38")+SUMIFS('ANALITIKA EU PROJEKATA'!$I$3:$I$499,'ANALITIKA EU PROJEKATA'!$A$3:$A$499,"=51",'ANALITIKA EU PROJEKATA'!$Q$3:$Q$499,"=38")</f>
        <v>0</v>
      </c>
      <c r="K99" s="147">
        <f>SUMIFS('Plan rashoda za unos u SAP'!$K$3:$K$480,'Plan rashoda za unos u SAP'!$C$3:$C$480,"=52",'Plan rashoda za unos u SAP'!$N$3:$N$480,"=38")+SUMIFS('ANALITIKA EU PROJEKATA'!$I$3:$I$499,'ANALITIKA EU PROJEKATA'!$A$3:$A$499,"=52",'ANALITIKA EU PROJEKATA'!$Q$3:$Q$499,"=38")</f>
        <v>0</v>
      </c>
      <c r="L99" s="147">
        <f>SUMIFS('Plan rashoda za unos u SAP'!$K$3:$K$480,'Plan rashoda za unos u SAP'!$C$3:$C$480,"=552",'Plan rashoda za unos u SAP'!$N$3:$N$480,"=38")+SUMIFS('ANALITIKA EU PROJEKATA'!$I$3:$I$499,'ANALITIKA EU PROJEKATA'!$A$3:$A$499,"=552",'ANALITIKA EU PROJEKATA'!$Q$3:$Q$499,"=38")</f>
        <v>0</v>
      </c>
      <c r="M99" s="147">
        <f>SUMIFS('Plan rashoda za unos u SAP'!$K$3:$K$480,'Plan rashoda za unos u SAP'!$C$3:$C$480,"=559",'Plan rashoda za unos u SAP'!$N$3:$N$480,"=38")+SUMIFS('ANALITIKA EU PROJEKATA'!$I$3:$I$499,'ANALITIKA EU PROJEKATA'!$A$3:$A$499,"=559",'ANALITIKA EU PROJEKATA'!$Q$3:$Q$499,"=38")</f>
        <v>0</v>
      </c>
      <c r="N99" s="147">
        <f>SUMIFS('Plan rashoda za unos u SAP'!$K$3:$K$480,'Plan rashoda za unos u SAP'!$C$3:$C$480,"=561",'Plan rashoda za unos u SAP'!$N$3:$N$480,"=38")+SUMIFS('ANALITIKA EU PROJEKATA'!$I$3:$I$499,'ANALITIKA EU PROJEKATA'!$A$3:$A$499,"=561",'ANALITIKA EU PROJEKATA'!$Q$3:$Q$499,"=38")</f>
        <v>0</v>
      </c>
      <c r="O99" s="147">
        <f>SUMIFS('Plan rashoda za unos u SAP'!$K$3:$K$480,'Plan rashoda za unos u SAP'!$C$3:$C$480,"=563",'Plan rashoda za unos u SAP'!$N$3:$N$480,"=38")+SUMIFS('ANALITIKA EU PROJEKATA'!$I$3:$I$499,'ANALITIKA EU PROJEKATA'!$A$3:$A$499,"=563",'ANALITIKA EU PROJEKATA'!$Q$3:$Q$499,"=38")</f>
        <v>0</v>
      </c>
      <c r="P99" s="147">
        <f>SUMIFS('Plan rashoda za unos u SAP'!$K$3:$K$480,'Plan rashoda za unos u SAP'!$C$3:$C$480,"=573",'Plan rashoda za unos u SAP'!$N$3:$N$480,"=38")+SUMIFS('ANALITIKA EU PROJEKATA'!$I$3:$I$499,'ANALITIKA EU PROJEKATA'!$A$3:$A$499,"=573",'ANALITIKA EU PROJEKATA'!$Q$3:$Q$499,"=38")</f>
        <v>0</v>
      </c>
      <c r="Q99" s="147">
        <f>SUMIFS('Plan rashoda za unos u SAP'!$K$3:$K$480,'Plan rashoda za unos u SAP'!$C$3:$C$480,"=575",'Plan rashoda za unos u SAP'!$N$3:$N$480,"=38")+SUMIFS('ANALITIKA EU PROJEKATA'!$I$3:$I$499,'ANALITIKA EU PROJEKATA'!$A$3:$A$499,"=575",'ANALITIKA EU PROJEKATA'!$Q$3:$Q$499,"=38")</f>
        <v>0</v>
      </c>
      <c r="R99" s="147">
        <f>SUMIFS('Plan rashoda za unos u SAP'!$K$3:$K$480,'Plan rashoda za unos u SAP'!$C$3:$C$480,"=576",'Plan rashoda za unos u SAP'!$N$3:$N$480,"=38")+SUMIFS('ANALITIKA EU PROJEKATA'!$I$3:$I$499,'ANALITIKA EU PROJEKATA'!$A$3:$A$499,"=576",'ANALITIKA EU PROJEKATA'!$Q$3:$Q$499,"=38")</f>
        <v>0</v>
      </c>
      <c r="S99" s="147">
        <f>SUMIFS('Plan rashoda za unos u SAP'!$K$3:$K$480,'Plan rashoda za unos u SAP'!$C$3:$C$480,"=581",'Plan rashoda za unos u SAP'!$N$3:$N$480,"=38")+SUMIFS('ANALITIKA EU PROJEKATA'!$I$3:$I$499,'ANALITIKA EU PROJEKATA'!$A$3:$A$499,"=581",'ANALITIKA EU PROJEKATA'!$Q$3:$Q$499,"=38")</f>
        <v>0</v>
      </c>
      <c r="T99" s="147">
        <f>SUMIFS('Plan rashoda za unos u SAP'!$K$3:$K$480,'Plan rashoda za unos u SAP'!$C$3:$C$480,"=61",'Plan rashoda za unos u SAP'!$N$3:$N$480,"=38")+SUMIFS('ANALITIKA EU PROJEKATA'!$I$3:$I$499,'ANALITIKA EU PROJEKATA'!$A$3:$A$499,"=61",'ANALITIKA EU PROJEKATA'!$Q$3:$Q$499,"=38")</f>
        <v>0</v>
      </c>
      <c r="U99" s="147">
        <f>SUMIFS('Plan rashoda za unos u SAP'!$K$3:$K$480,'Plan rashoda za unos u SAP'!$C$3:$C$480,"=63",'Plan rashoda za unos u SAP'!$N$3:$N$480,"=38")+SUMIFS('ANALITIKA EU PROJEKATA'!$I$3:$I$499,'ANALITIKA EU PROJEKATA'!$A$3:$A$499,"=63",'ANALITIKA EU PROJEKATA'!$Q$3:$Q$499,"=38")</f>
        <v>0</v>
      </c>
      <c r="V99" s="147">
        <f>SUMIFS('Plan rashoda za unos u SAP'!$K$3:$K$480,'Plan rashoda za unos u SAP'!$C$3:$C$480,"=71",'Plan rashoda za unos u SAP'!$N$3:$N$480,"=38")+SUMIFS('ANALITIKA EU PROJEKATA'!$I$3:$I$499,'ANALITIKA EU PROJEKATA'!$A$3:$A$499,"=71",'ANALITIKA EU PROJEKATA'!$Q$3:$Q$499,"=38")</f>
        <v>0</v>
      </c>
      <c r="W99" s="147">
        <f>SUMIFS('Plan rashoda za unos u SAP'!$K$3:$K$480,'Plan rashoda za unos u SAP'!$C$3:$C$480,"=81",'Plan rashoda za unos u SAP'!$N$3:$N$480,"=38")+SUMIFS('ANALITIKA EU PROJEKATA'!$I$3:$I$499,'ANALITIKA EU PROJEKATA'!$A$3:$A$499,"=81",'ANALITIKA EU PROJEKATA'!$Q$3:$Q$499,"=38")</f>
        <v>0</v>
      </c>
      <c r="X99" s="152"/>
      <c r="Y99" s="152"/>
      <c r="Z99" s="152"/>
      <c r="AA99" s="152"/>
      <c r="AB99" s="152"/>
      <c r="AC99" s="152"/>
      <c r="AD99" s="152"/>
      <c r="AE99" s="152"/>
      <c r="AF99" s="152"/>
      <c r="AG99" s="152"/>
      <c r="AH99" s="152"/>
      <c r="AI99" s="152"/>
      <c r="AJ99" s="152"/>
      <c r="AK99" s="152"/>
      <c r="AL99" s="152"/>
      <c r="AM99" s="152"/>
      <c r="AN99" s="152"/>
      <c r="AO99" s="152"/>
      <c r="AP99" s="152"/>
      <c r="AQ99" s="152"/>
    </row>
    <row r="100" spans="1:43" ht="12" customHeight="1">
      <c r="A100" s="131">
        <v>2023</v>
      </c>
      <c r="B100" s="156">
        <v>4</v>
      </c>
      <c r="C100" s="157" t="s">
        <v>3458</v>
      </c>
      <c r="D100" s="158">
        <f t="shared" si="24"/>
        <v>6080883.6530000009</v>
      </c>
      <c r="E100" s="163">
        <f t="shared" ref="E100:W100" si="27">SUM(E101:E105)</f>
        <v>0</v>
      </c>
      <c r="F100" s="163">
        <f t="shared" si="27"/>
        <v>0</v>
      </c>
      <c r="G100" s="163">
        <f t="shared" si="27"/>
        <v>1284771.5807</v>
      </c>
      <c r="H100" s="163">
        <f t="shared" si="27"/>
        <v>0</v>
      </c>
      <c r="I100" s="163">
        <f t="shared" si="27"/>
        <v>3875201.2908161609</v>
      </c>
      <c r="J100" s="163">
        <f t="shared" si="27"/>
        <v>0</v>
      </c>
      <c r="K100" s="163">
        <f t="shared" si="27"/>
        <v>884710.78148383985</v>
      </c>
      <c r="L100" s="163">
        <f t="shared" si="27"/>
        <v>0</v>
      </c>
      <c r="M100" s="163">
        <f t="shared" si="27"/>
        <v>0</v>
      </c>
      <c r="N100" s="163">
        <f t="shared" si="27"/>
        <v>0</v>
      </c>
      <c r="O100" s="163">
        <f t="shared" si="27"/>
        <v>0</v>
      </c>
      <c r="P100" s="163">
        <f t="shared" si="27"/>
        <v>0</v>
      </c>
      <c r="Q100" s="163">
        <f t="shared" si="27"/>
        <v>0</v>
      </c>
      <c r="R100" s="163">
        <f t="shared" si="27"/>
        <v>0</v>
      </c>
      <c r="S100" s="163">
        <f t="shared" si="27"/>
        <v>0</v>
      </c>
      <c r="T100" s="163">
        <f t="shared" si="27"/>
        <v>36200</v>
      </c>
      <c r="U100" s="163">
        <f t="shared" si="27"/>
        <v>0</v>
      </c>
      <c r="V100" s="163">
        <f t="shared" si="27"/>
        <v>0</v>
      </c>
      <c r="W100" s="163">
        <f t="shared" si="27"/>
        <v>0</v>
      </c>
      <c r="X100" s="129"/>
      <c r="Y100" s="129"/>
      <c r="Z100" s="129"/>
      <c r="AA100" s="129"/>
      <c r="AB100" s="129"/>
      <c r="AC100" s="129"/>
      <c r="AD100" s="129"/>
      <c r="AE100" s="129"/>
      <c r="AF100" s="129"/>
      <c r="AG100" s="129"/>
      <c r="AH100" s="129"/>
      <c r="AI100" s="129"/>
      <c r="AJ100" s="129"/>
      <c r="AK100" s="129"/>
      <c r="AL100" s="129"/>
      <c r="AM100" s="129"/>
      <c r="AN100" s="129"/>
      <c r="AO100" s="129"/>
      <c r="AP100" s="129"/>
      <c r="AQ100" s="129"/>
    </row>
    <row r="101" spans="1:43" ht="12" customHeight="1">
      <c r="A101" s="131">
        <v>2023</v>
      </c>
      <c r="B101" s="140">
        <v>41</v>
      </c>
      <c r="C101" s="141" t="s">
        <v>3459</v>
      </c>
      <c r="D101" s="162">
        <f t="shared" si="24"/>
        <v>1018694.3021999999</v>
      </c>
      <c r="E101" s="147">
        <f>SUMIFS('Plan rashoda za unos u SAP'!$K$3:$K$480,'Plan rashoda za unos u SAP'!$C$3:$C$480,"=11",'Plan rashoda za unos u SAP'!$N$3:$N$480,"=41")+SUMIFS('ANALITIKA EU PROJEKATA'!$I$3:$I$499,'ANALITIKA EU PROJEKATA'!$A$3:$A$499,"=11",'ANALITIKA EU PROJEKATA'!$Q$3:$Q$499,"=41")</f>
        <v>0</v>
      </c>
      <c r="F101" s="147">
        <f>SUMIFS('Plan rashoda za unos u SAP'!$K$3:$K$480,'Plan rashoda za unos u SAP'!$C$3:$C$480,"=12",'Plan rashoda za unos u SAP'!$N$3:$N$480,"=41")+SUMIFS('ANALITIKA EU PROJEKATA'!$I$3:$I$499,'ANALITIKA EU PROJEKATA'!$A$3:$A$499,"=12",'ANALITIKA EU PROJEKATA'!$Q$3:$Q$499,"=41")</f>
        <v>0</v>
      </c>
      <c r="G101" s="147">
        <f>SUMIFS('Plan rashoda za unos u SAP'!$K$3:$K$480,'Plan rashoda za unos u SAP'!$C$3:$C$480,"=31",'Plan rashoda za unos u SAP'!$N$3:$N$480,"=41")+SUMIFS('ANALITIKA EU PROJEKATA'!$I$3:$I$499,'ANALITIKA EU PROJEKATA'!$A$3:$A$499,"=31",'ANALITIKA EU PROJEKATA'!$Q$3:$Q$499,"=41")</f>
        <v>10201</v>
      </c>
      <c r="H101" s="147">
        <f>SUMIFS('Plan rashoda za unos u SAP'!$K$3:$K$480,'Plan rashoda za unos u SAP'!$C$3:$C$480,"=41",'Plan rashoda za unos u SAP'!$N$3:$N$480,"=41")+SUMIFS('ANALITIKA EU PROJEKATA'!$I$3:$I$499,'ANALITIKA EU PROJEKATA'!$A$3:$A$499,"=41",'ANALITIKA EU PROJEKATA'!$Q$3:$Q$499,"=41")</f>
        <v>0</v>
      </c>
      <c r="I101" s="147">
        <f>SUMIFS('Plan rashoda za unos u SAP'!$K$3:$K$480,'Plan rashoda za unos u SAP'!$C$3:$C$480,"=43",'Plan rashoda za unos u SAP'!$N$3:$N$480,"=41")+SUMIFS('ANALITIKA EU PROJEKATA'!$I$3:$I$499,'ANALITIKA EU PROJEKATA'!$A$3:$A$499,"=43",'ANALITIKA EU PROJEKATA'!$Q$3:$Q$499,"=41")</f>
        <v>1008493.3021999999</v>
      </c>
      <c r="J101" s="147">
        <f>SUMIFS('Plan rashoda za unos u SAP'!$K$3:$K$480,'Plan rashoda za unos u SAP'!$C$3:$C$480,"=51",'Plan rashoda za unos u SAP'!$N$3:$N$480,"=41")+SUMIFS('ANALITIKA EU PROJEKATA'!$I$3:$I$499,'ANALITIKA EU PROJEKATA'!$A$3:$A$499,"=51",'ANALITIKA EU PROJEKATA'!$Q$3:$Q$499,"=41")</f>
        <v>0</v>
      </c>
      <c r="K101" s="147">
        <f>SUMIFS('Plan rashoda za unos u SAP'!$K$3:$K$480,'Plan rashoda za unos u SAP'!$C$3:$C$480,"=52",'Plan rashoda za unos u SAP'!$N$3:$N$480,"=41")+SUMIFS('ANALITIKA EU PROJEKATA'!$I$3:$I$499,'ANALITIKA EU PROJEKATA'!$A$3:$A$499,"=52",'ANALITIKA EU PROJEKATA'!$Q$3:$Q$499,"=41")</f>
        <v>0</v>
      </c>
      <c r="L101" s="147">
        <f>SUMIFS('Plan rashoda za unos u SAP'!$K$3:$K$480,'Plan rashoda za unos u SAP'!$C$3:$C$480,"=552",'Plan rashoda za unos u SAP'!$N$3:$N$480,"=41")+SUMIFS('ANALITIKA EU PROJEKATA'!$I$3:$I$499,'ANALITIKA EU PROJEKATA'!$A$3:$A$499,"=552",'ANALITIKA EU PROJEKATA'!$Q$3:$Q$499,"=41")</f>
        <v>0</v>
      </c>
      <c r="M101" s="147">
        <f>SUMIFS('Plan rashoda za unos u SAP'!$K$3:$K$480,'Plan rashoda za unos u SAP'!$C$3:$C$480,"=559",'Plan rashoda za unos u SAP'!$N$3:$N$480,"=41")+SUMIFS('ANALITIKA EU PROJEKATA'!$I$3:$I$499,'ANALITIKA EU PROJEKATA'!$A$3:$A$499,"=559",'ANALITIKA EU PROJEKATA'!$Q$3:$Q$499,"=41")</f>
        <v>0</v>
      </c>
      <c r="N101" s="147">
        <f>SUMIFS('Plan rashoda za unos u SAP'!$K$3:$K$480,'Plan rashoda za unos u SAP'!$C$3:$C$480,"=561",'Plan rashoda za unos u SAP'!$N$3:$N$480,"=41")+SUMIFS('ANALITIKA EU PROJEKATA'!$I$3:$I$499,'ANALITIKA EU PROJEKATA'!$A$3:$A$499,"=561",'ANALITIKA EU PROJEKATA'!$Q$3:$Q$499,"=41")</f>
        <v>0</v>
      </c>
      <c r="O101" s="147">
        <f>SUMIFS('Plan rashoda za unos u SAP'!$K$3:$K$480,'Plan rashoda za unos u SAP'!$C$3:$C$480,"=563",'Plan rashoda za unos u SAP'!$N$3:$N$480,"=41")+SUMIFS('ANALITIKA EU PROJEKATA'!$I$3:$I$499,'ANALITIKA EU PROJEKATA'!$A$3:$A$499,"=563",'ANALITIKA EU PROJEKATA'!$Q$3:$Q$499,"=41")</f>
        <v>0</v>
      </c>
      <c r="P101" s="147">
        <f>SUMIFS('Plan rashoda za unos u SAP'!$K$3:$K$480,'Plan rashoda za unos u SAP'!$C$3:$C$480,"=573",'Plan rashoda za unos u SAP'!$N$3:$N$480,"=41")+SUMIFS('ANALITIKA EU PROJEKATA'!$I$3:$I$499,'ANALITIKA EU PROJEKATA'!$A$3:$A$499,"=573",'ANALITIKA EU PROJEKATA'!$Q$3:$Q$499,"=41")</f>
        <v>0</v>
      </c>
      <c r="Q101" s="147">
        <f>SUMIFS('Plan rashoda za unos u SAP'!$K$3:$K$480,'Plan rashoda za unos u SAP'!$C$3:$C$480,"=575",'Plan rashoda za unos u SAP'!$N$3:$N$480,"=41")+SUMIFS('ANALITIKA EU PROJEKATA'!$I$3:$I$499,'ANALITIKA EU PROJEKATA'!$A$3:$A$499,"=575",'ANALITIKA EU PROJEKATA'!$Q$3:$Q$499,"=41")</f>
        <v>0</v>
      </c>
      <c r="R101" s="147">
        <f>SUMIFS('Plan rashoda za unos u SAP'!$K$3:$K$480,'Plan rashoda za unos u SAP'!$C$3:$C$480,"=576",'Plan rashoda za unos u SAP'!$N$3:$N$480,"=41")+SUMIFS('ANALITIKA EU PROJEKATA'!$I$3:$I$499,'ANALITIKA EU PROJEKATA'!$A$3:$A$499,"=576",'ANALITIKA EU PROJEKATA'!$Q$3:$Q$499,"=41")</f>
        <v>0</v>
      </c>
      <c r="S101" s="147">
        <f>SUMIFS('Plan rashoda za unos u SAP'!$K$3:$K$480,'Plan rashoda za unos u SAP'!$C$3:$C$480,"=581",'Plan rashoda za unos u SAP'!$N$3:$N$480,"=41")+SUMIFS('ANALITIKA EU PROJEKATA'!$I$3:$I$499,'ANALITIKA EU PROJEKATA'!$A$3:$A$499,"=581",'ANALITIKA EU PROJEKATA'!$Q$3:$Q$499,"=41")</f>
        <v>0</v>
      </c>
      <c r="T101" s="147">
        <f>SUMIFS('Plan rashoda za unos u SAP'!$K$3:$K$480,'Plan rashoda za unos u SAP'!$C$3:$C$480,"=61",'Plan rashoda za unos u SAP'!$N$3:$N$480,"=41")+SUMIFS('ANALITIKA EU PROJEKATA'!$I$3:$I$499,'ANALITIKA EU PROJEKATA'!$A$3:$A$499,"=61",'ANALITIKA EU PROJEKATA'!$Q$3:$Q$499,"=41")</f>
        <v>0</v>
      </c>
      <c r="U101" s="147">
        <f>SUMIFS('Plan rashoda za unos u SAP'!$K$3:$K$480,'Plan rashoda za unos u SAP'!$C$3:$C$480,"=63",'Plan rashoda za unos u SAP'!$N$3:$N$480,"=41")+SUMIFS('ANALITIKA EU PROJEKATA'!$I$3:$I$499,'ANALITIKA EU PROJEKATA'!$A$3:$A$499,"=63",'ANALITIKA EU PROJEKATA'!$Q$3:$Q$499,"=41")</f>
        <v>0</v>
      </c>
      <c r="V101" s="147">
        <f>SUMIFS('Plan rashoda za unos u SAP'!$K$3:$K$480,'Plan rashoda za unos u SAP'!$C$3:$C$480,"=71",'Plan rashoda za unos u SAP'!$N$3:$N$480,"=41")+SUMIFS('ANALITIKA EU PROJEKATA'!$I$3:$I$499,'ANALITIKA EU PROJEKATA'!$A$3:$A$499,"=71",'ANALITIKA EU PROJEKATA'!$Q$3:$Q$499,"=41")</f>
        <v>0</v>
      </c>
      <c r="W101" s="147">
        <f>SUMIFS('Plan rashoda za unos u SAP'!$K$3:$K$480,'Plan rashoda za unos u SAP'!$C$3:$C$480,"=81",'Plan rashoda za unos u SAP'!$N$3:$N$480,"=41")+SUMIFS('ANALITIKA EU PROJEKATA'!$I$3:$I$499,'ANALITIKA EU PROJEKATA'!$A$3:$A$499,"=81",'ANALITIKA EU PROJEKATA'!$Q$3:$Q$499,"=41")</f>
        <v>0</v>
      </c>
      <c r="X101" s="152"/>
      <c r="Y101" s="152"/>
      <c r="Z101" s="152"/>
      <c r="AA101" s="152"/>
      <c r="AB101" s="152"/>
      <c r="AC101" s="152"/>
      <c r="AD101" s="152"/>
      <c r="AE101" s="152"/>
      <c r="AF101" s="152"/>
      <c r="AG101" s="152"/>
      <c r="AH101" s="152"/>
      <c r="AI101" s="152"/>
      <c r="AJ101" s="152"/>
      <c r="AK101" s="152"/>
      <c r="AL101" s="152"/>
      <c r="AM101" s="152"/>
      <c r="AN101" s="152"/>
      <c r="AO101" s="152"/>
      <c r="AP101" s="152"/>
      <c r="AQ101" s="152"/>
    </row>
    <row r="102" spans="1:43" ht="12" customHeight="1">
      <c r="A102" s="131">
        <v>2023</v>
      </c>
      <c r="B102" s="150">
        <v>42</v>
      </c>
      <c r="C102" s="151" t="s">
        <v>3462</v>
      </c>
      <c r="D102" s="162">
        <f t="shared" si="24"/>
        <v>4960179.3508000011</v>
      </c>
      <c r="E102" s="147">
        <f>SUMIFS('Plan rashoda za unos u SAP'!$K$3:$K$480,'Plan rashoda za unos u SAP'!$C$3:$C$480,"=11",'Plan rashoda za unos u SAP'!$N$3:$N$480,"=42")+SUMIFS('ANALITIKA EU PROJEKATA'!$I$3:$I$499,'ANALITIKA EU PROJEKATA'!$A$3:$A$499,"=11",'ANALITIKA EU PROJEKATA'!$Q$3:$Q$499,"=42")</f>
        <v>0</v>
      </c>
      <c r="F102" s="147">
        <f>SUMIFS('Plan rashoda za unos u SAP'!$K$3:$K$480,'Plan rashoda za unos u SAP'!$C$3:$C$480,"=12",'Plan rashoda za unos u SAP'!$N$3:$N$480,"=42")+SUMIFS('ANALITIKA EU PROJEKATA'!$I$3:$I$499,'ANALITIKA EU PROJEKATA'!$A$3:$A$499,"=12",'ANALITIKA EU PROJEKATA'!$Q$3:$Q$499,"=42")</f>
        <v>0</v>
      </c>
      <c r="G102" s="147">
        <f>SUMIFS('Plan rashoda za unos u SAP'!$K$3:$K$480,'Plan rashoda za unos u SAP'!$C$3:$C$480,"=31",'Plan rashoda za unos u SAP'!$N$3:$N$480,"=42")+SUMIFS('ANALITIKA EU PROJEKATA'!$I$3:$I$499,'ANALITIKA EU PROJEKATA'!$A$3:$A$499,"=31",'ANALITIKA EU PROJEKATA'!$Q$3:$Q$499,"=42")</f>
        <v>1172560.5807</v>
      </c>
      <c r="H102" s="147">
        <f>SUMIFS('Plan rashoda za unos u SAP'!$K$3:$K$480,'Plan rashoda za unos u SAP'!$C$3:$C$480,"=41",'Plan rashoda za unos u SAP'!$N$3:$N$480,"=42")+SUMIFS('ANALITIKA EU PROJEKATA'!$I$3:$I$499,'ANALITIKA EU PROJEKATA'!$A$3:$A$499,"=41",'ANALITIKA EU PROJEKATA'!$Q$3:$Q$499,"=42")</f>
        <v>0</v>
      </c>
      <c r="I102" s="147">
        <f>SUMIFS('Plan rashoda za unos u SAP'!$K$3:$K$480,'Plan rashoda za unos u SAP'!$C$3:$C$480,"=43",'Plan rashoda za unos u SAP'!$N$3:$N$480,"=42")+SUMIFS('ANALITIKA EU PROJEKATA'!$I$3:$I$499,'ANALITIKA EU PROJEKATA'!$A$3:$A$499,"=43",'ANALITIKA EU PROJEKATA'!$Q$3:$Q$499,"=42")</f>
        <v>2866707.988616161</v>
      </c>
      <c r="J102" s="147">
        <f>SUMIFS('Plan rashoda za unos u SAP'!$K$3:$K$480,'Plan rashoda za unos u SAP'!$C$3:$C$480,"=51",'Plan rashoda za unos u SAP'!$N$3:$N$480,"=42")+SUMIFS('ANALITIKA EU PROJEKATA'!$I$3:$I$499,'ANALITIKA EU PROJEKATA'!$A$3:$A$499,"=51",'ANALITIKA EU PROJEKATA'!$Q$3:$Q$499,"=42")</f>
        <v>0</v>
      </c>
      <c r="K102" s="147">
        <f>SUMIFS('Plan rashoda za unos u SAP'!$K$3:$K$480,'Plan rashoda za unos u SAP'!$C$3:$C$480,"=52",'Plan rashoda za unos u SAP'!$N$3:$N$480,"=42")+SUMIFS('ANALITIKA EU PROJEKATA'!$I$3:$I$499,'ANALITIKA EU PROJEKATA'!$A$3:$A$499,"=52",'ANALITIKA EU PROJEKATA'!$Q$3:$Q$499,"=42")</f>
        <v>884710.78148383985</v>
      </c>
      <c r="L102" s="147">
        <f>SUMIFS('Plan rashoda za unos u SAP'!$K$3:$K$480,'Plan rashoda za unos u SAP'!$C$3:$C$480,"=552",'Plan rashoda za unos u SAP'!$N$3:$N$480,"=42")+SUMIFS('ANALITIKA EU PROJEKATA'!$I$3:$I$499,'ANALITIKA EU PROJEKATA'!$A$3:$A$499,"=552",'ANALITIKA EU PROJEKATA'!$Q$3:$Q$499,"=42")</f>
        <v>0</v>
      </c>
      <c r="M102" s="147">
        <f>SUMIFS('Plan rashoda za unos u SAP'!$K$3:$K$480,'Plan rashoda za unos u SAP'!$C$3:$C$480,"=559",'Plan rashoda za unos u SAP'!$N$3:$N$480,"=42")+SUMIFS('ANALITIKA EU PROJEKATA'!$I$3:$I$499,'ANALITIKA EU PROJEKATA'!$A$3:$A$499,"=559",'ANALITIKA EU PROJEKATA'!$Q$3:$Q$499,"=42")</f>
        <v>0</v>
      </c>
      <c r="N102" s="147">
        <f>SUMIFS('Plan rashoda za unos u SAP'!$K$3:$K$480,'Plan rashoda za unos u SAP'!$C$3:$C$480,"=561",'Plan rashoda za unos u SAP'!$N$3:$N$480,"=42")+SUMIFS('ANALITIKA EU PROJEKATA'!$I$3:$I$499,'ANALITIKA EU PROJEKATA'!$A$3:$A$499,"=561",'ANALITIKA EU PROJEKATA'!$Q$3:$Q$499,"=42")</f>
        <v>0</v>
      </c>
      <c r="O102" s="147">
        <f>SUMIFS('Plan rashoda za unos u SAP'!$K$3:$K$480,'Plan rashoda za unos u SAP'!$C$3:$C$480,"=563",'Plan rashoda za unos u SAP'!$N$3:$N$480,"=42")+SUMIFS('ANALITIKA EU PROJEKATA'!$I$3:$I$499,'ANALITIKA EU PROJEKATA'!$A$3:$A$499,"=563",'ANALITIKA EU PROJEKATA'!$Q$3:$Q$499,"=42")</f>
        <v>0</v>
      </c>
      <c r="P102" s="147">
        <f>SUMIFS('Plan rashoda za unos u SAP'!$K$3:$K$480,'Plan rashoda za unos u SAP'!$C$3:$C$480,"=573",'Plan rashoda za unos u SAP'!$N$3:$N$480,"=42")+SUMIFS('ANALITIKA EU PROJEKATA'!$I$3:$I$499,'ANALITIKA EU PROJEKATA'!$A$3:$A$499,"=573",'ANALITIKA EU PROJEKATA'!$Q$3:$Q$499,"=42")</f>
        <v>0</v>
      </c>
      <c r="Q102" s="147">
        <f>SUMIFS('Plan rashoda za unos u SAP'!$K$3:$K$480,'Plan rashoda za unos u SAP'!$C$3:$C$480,"=575",'Plan rashoda za unos u SAP'!$N$3:$N$480,"=42")+SUMIFS('ANALITIKA EU PROJEKATA'!$I$3:$I$499,'ANALITIKA EU PROJEKATA'!$A$3:$A$499,"=575",'ANALITIKA EU PROJEKATA'!$Q$3:$Q$499,"=42")</f>
        <v>0</v>
      </c>
      <c r="R102" s="147">
        <f>SUMIFS('Plan rashoda za unos u SAP'!$K$3:$K$480,'Plan rashoda za unos u SAP'!$C$3:$C$480,"=576",'Plan rashoda za unos u SAP'!$N$3:$N$480,"=42")+SUMIFS('ANALITIKA EU PROJEKATA'!$I$3:$I$499,'ANALITIKA EU PROJEKATA'!$A$3:$A$499,"=576",'ANALITIKA EU PROJEKATA'!$Q$3:$Q$499,"=42")</f>
        <v>0</v>
      </c>
      <c r="S102" s="147">
        <f>SUMIFS('Plan rashoda za unos u SAP'!$K$3:$K$480,'Plan rashoda za unos u SAP'!$C$3:$C$480,"=581",'Plan rashoda za unos u SAP'!$N$3:$N$480,"=42")+SUMIFS('ANALITIKA EU PROJEKATA'!$I$3:$I$499,'ANALITIKA EU PROJEKATA'!$A$3:$A$499,"=581",'ANALITIKA EU PROJEKATA'!$Q$3:$Q$499,"=42")</f>
        <v>0</v>
      </c>
      <c r="T102" s="147">
        <f>SUMIFS('Plan rashoda za unos u SAP'!$K$3:$K$480,'Plan rashoda za unos u SAP'!$C$3:$C$480,"=61",'Plan rashoda za unos u SAP'!$N$3:$N$480,"=42")+SUMIFS('ANALITIKA EU PROJEKATA'!$I$3:$I$499,'ANALITIKA EU PROJEKATA'!$A$3:$A$499,"=61",'ANALITIKA EU PROJEKATA'!$Q$3:$Q$499,"=42")</f>
        <v>36200</v>
      </c>
      <c r="U102" s="147">
        <f>SUMIFS('Plan rashoda za unos u SAP'!$K$3:$K$480,'Plan rashoda za unos u SAP'!$C$3:$C$480,"=63",'Plan rashoda za unos u SAP'!$N$3:$N$480,"=42")+SUMIFS('ANALITIKA EU PROJEKATA'!$I$3:$I$499,'ANALITIKA EU PROJEKATA'!$A$3:$A$499,"=63",'ANALITIKA EU PROJEKATA'!$Q$3:$Q$499,"=42")</f>
        <v>0</v>
      </c>
      <c r="V102" s="147">
        <f>SUMIFS('Plan rashoda za unos u SAP'!$K$3:$K$480,'Plan rashoda za unos u SAP'!$C$3:$C$480,"=71",'Plan rashoda za unos u SAP'!$N$3:$N$480,"=42")+SUMIFS('ANALITIKA EU PROJEKATA'!$I$3:$I$499,'ANALITIKA EU PROJEKATA'!$A$3:$A$499,"=71",'ANALITIKA EU PROJEKATA'!$Q$3:$Q$499,"=42")</f>
        <v>0</v>
      </c>
      <c r="W102" s="147">
        <f>SUMIFS('Plan rashoda za unos u SAP'!$K$3:$K$480,'Plan rashoda za unos u SAP'!$C$3:$C$480,"=81",'Plan rashoda za unos u SAP'!$N$3:$N$480,"=42")+SUMIFS('ANALITIKA EU PROJEKATA'!$I$3:$I$499,'ANALITIKA EU PROJEKATA'!$A$3:$A$499,"=81",'ANALITIKA EU PROJEKATA'!$Q$3:$Q$499,"=42")</f>
        <v>0</v>
      </c>
      <c r="X102" s="152"/>
      <c r="Y102" s="152"/>
      <c r="Z102" s="152"/>
      <c r="AA102" s="152"/>
      <c r="AB102" s="152"/>
      <c r="AC102" s="152"/>
      <c r="AD102" s="152"/>
      <c r="AE102" s="152"/>
      <c r="AF102" s="152"/>
      <c r="AG102" s="152"/>
      <c r="AH102" s="152"/>
      <c r="AI102" s="152"/>
      <c r="AJ102" s="152"/>
      <c r="AK102" s="152"/>
      <c r="AL102" s="152"/>
      <c r="AM102" s="152"/>
      <c r="AN102" s="152"/>
      <c r="AO102" s="152"/>
      <c r="AP102" s="152"/>
      <c r="AQ102" s="152"/>
    </row>
    <row r="103" spans="1:43" ht="12" customHeight="1">
      <c r="A103" s="131">
        <v>2023</v>
      </c>
      <c r="B103" s="140">
        <v>43</v>
      </c>
      <c r="C103" s="141" t="s">
        <v>3469</v>
      </c>
      <c r="D103" s="162">
        <f t="shared" si="24"/>
        <v>0</v>
      </c>
      <c r="E103" s="147">
        <f>SUMIFS('Plan rashoda za unos u SAP'!$K$3:$K$480,'Plan rashoda za unos u SAP'!$C$3:$C$480,"=11",'Plan rashoda za unos u SAP'!$N$3:$N$480,"=43")+SUMIFS('ANALITIKA EU PROJEKATA'!$I$3:$I$499,'ANALITIKA EU PROJEKATA'!$A$3:$A$499,"=11",'ANALITIKA EU PROJEKATA'!$Q$3:$Q$499,"=43")</f>
        <v>0</v>
      </c>
      <c r="F103" s="147">
        <f>SUMIFS('Plan rashoda za unos u SAP'!$K$3:$K$480,'Plan rashoda za unos u SAP'!$C$3:$C$480,"=12",'Plan rashoda za unos u SAP'!$N$3:$N$480,"=43")+SUMIFS('ANALITIKA EU PROJEKATA'!$I$3:$I$499,'ANALITIKA EU PROJEKATA'!$A$3:$A$499,"=12",'ANALITIKA EU PROJEKATA'!$Q$3:$Q$499,"=43")</f>
        <v>0</v>
      </c>
      <c r="G103" s="147">
        <f>SUMIFS('Plan rashoda za unos u SAP'!$K$3:$K$480,'Plan rashoda za unos u SAP'!$C$3:$C$480,"=31",'Plan rashoda za unos u SAP'!$N$3:$N$480,"=43")+SUMIFS('ANALITIKA EU PROJEKATA'!$I$3:$I$499,'ANALITIKA EU PROJEKATA'!$A$3:$A$499,"=31",'ANALITIKA EU PROJEKATA'!$Q$3:$Q$499,"=43")</f>
        <v>0</v>
      </c>
      <c r="H103" s="147">
        <f>SUMIFS('Plan rashoda za unos u SAP'!$K$3:$K$480,'Plan rashoda za unos u SAP'!$C$3:$C$480,"=41",'Plan rashoda za unos u SAP'!$N$3:$N$480,"=43")+SUMIFS('ANALITIKA EU PROJEKATA'!$I$3:$I$499,'ANALITIKA EU PROJEKATA'!$A$3:$A$499,"=41",'ANALITIKA EU PROJEKATA'!$Q$3:$Q$499,"=43")</f>
        <v>0</v>
      </c>
      <c r="I103" s="147">
        <f>SUMIFS('Plan rashoda za unos u SAP'!$K$3:$K$480,'Plan rashoda za unos u SAP'!$C$3:$C$480,"=43",'Plan rashoda za unos u SAP'!$N$3:$N$480,"=43")+SUMIFS('ANALITIKA EU PROJEKATA'!$I$3:$I$499,'ANALITIKA EU PROJEKATA'!$A$3:$A$499,"=43",'ANALITIKA EU PROJEKATA'!$Q$3:$Q$499,"=43")</f>
        <v>0</v>
      </c>
      <c r="J103" s="147">
        <f>SUMIFS('Plan rashoda za unos u SAP'!$K$3:$K$480,'Plan rashoda za unos u SAP'!$C$3:$C$480,"=51",'Plan rashoda za unos u SAP'!$N$3:$N$480,"=43")+SUMIFS('ANALITIKA EU PROJEKATA'!$I$3:$I$499,'ANALITIKA EU PROJEKATA'!$A$3:$A$499,"=51",'ANALITIKA EU PROJEKATA'!$Q$3:$Q$499,"=43")</f>
        <v>0</v>
      </c>
      <c r="K103" s="147">
        <f>SUMIFS('Plan rashoda za unos u SAP'!$K$3:$K$480,'Plan rashoda za unos u SAP'!$C$3:$C$480,"=52",'Plan rashoda za unos u SAP'!$N$3:$N$480,"=43")+SUMIFS('ANALITIKA EU PROJEKATA'!$I$3:$I$499,'ANALITIKA EU PROJEKATA'!$A$3:$A$499,"=52",'ANALITIKA EU PROJEKATA'!$Q$3:$Q$499,"=43")</f>
        <v>0</v>
      </c>
      <c r="L103" s="147">
        <f>SUMIFS('Plan rashoda za unos u SAP'!$K$3:$K$480,'Plan rashoda za unos u SAP'!$C$3:$C$480,"=552",'Plan rashoda za unos u SAP'!$N$3:$N$480,"=43")+SUMIFS('ANALITIKA EU PROJEKATA'!$I$3:$I$499,'ANALITIKA EU PROJEKATA'!$A$3:$A$499,"=552",'ANALITIKA EU PROJEKATA'!$Q$3:$Q$499,"=43")</f>
        <v>0</v>
      </c>
      <c r="M103" s="147">
        <f>SUMIFS('Plan rashoda za unos u SAP'!$K$3:$K$480,'Plan rashoda za unos u SAP'!$C$3:$C$480,"=559",'Plan rashoda za unos u SAP'!$N$3:$N$480,"=43")+SUMIFS('ANALITIKA EU PROJEKATA'!$I$3:$I$499,'ANALITIKA EU PROJEKATA'!$A$3:$A$499,"=559",'ANALITIKA EU PROJEKATA'!$Q$3:$Q$499,"=43")</f>
        <v>0</v>
      </c>
      <c r="N103" s="147">
        <f>SUMIFS('Plan rashoda za unos u SAP'!$K$3:$K$480,'Plan rashoda za unos u SAP'!$C$3:$C$480,"=561",'Plan rashoda za unos u SAP'!$N$3:$N$480,"=43")+SUMIFS('ANALITIKA EU PROJEKATA'!$I$3:$I$499,'ANALITIKA EU PROJEKATA'!$A$3:$A$499,"=561",'ANALITIKA EU PROJEKATA'!$Q$3:$Q$499,"=43")</f>
        <v>0</v>
      </c>
      <c r="O103" s="147">
        <f>SUMIFS('Plan rashoda za unos u SAP'!$K$3:$K$480,'Plan rashoda za unos u SAP'!$C$3:$C$480,"=563",'Plan rashoda za unos u SAP'!$N$3:$N$480,"=43")+SUMIFS('ANALITIKA EU PROJEKATA'!$I$3:$I$499,'ANALITIKA EU PROJEKATA'!$A$3:$A$499,"=563",'ANALITIKA EU PROJEKATA'!$Q$3:$Q$499,"=43")</f>
        <v>0</v>
      </c>
      <c r="P103" s="147">
        <f>SUMIFS('Plan rashoda za unos u SAP'!$K$3:$K$480,'Plan rashoda za unos u SAP'!$C$3:$C$480,"=573",'Plan rashoda za unos u SAP'!$N$3:$N$480,"=43")+SUMIFS('ANALITIKA EU PROJEKATA'!$I$3:$I$499,'ANALITIKA EU PROJEKATA'!$A$3:$A$499,"=573",'ANALITIKA EU PROJEKATA'!$Q$3:$Q$499,"=43")</f>
        <v>0</v>
      </c>
      <c r="Q103" s="147">
        <f>SUMIFS('Plan rashoda za unos u SAP'!$K$3:$K$480,'Plan rashoda za unos u SAP'!$C$3:$C$480,"=575",'Plan rashoda za unos u SAP'!$N$3:$N$480,"=43")+SUMIFS('ANALITIKA EU PROJEKATA'!$I$3:$I$499,'ANALITIKA EU PROJEKATA'!$A$3:$A$499,"=575",'ANALITIKA EU PROJEKATA'!$Q$3:$Q$499,"=43")</f>
        <v>0</v>
      </c>
      <c r="R103" s="147">
        <f>SUMIFS('Plan rashoda za unos u SAP'!$K$3:$K$480,'Plan rashoda za unos u SAP'!$C$3:$C$480,"=576",'Plan rashoda za unos u SAP'!$N$3:$N$480,"=43")+SUMIFS('ANALITIKA EU PROJEKATA'!$I$3:$I$499,'ANALITIKA EU PROJEKATA'!$A$3:$A$499,"=576",'ANALITIKA EU PROJEKATA'!$Q$3:$Q$499,"=43")</f>
        <v>0</v>
      </c>
      <c r="S103" s="147">
        <f>SUMIFS('Plan rashoda za unos u SAP'!$K$3:$K$480,'Plan rashoda za unos u SAP'!$C$3:$C$480,"=581",'Plan rashoda za unos u SAP'!$N$3:$N$480,"=43")+SUMIFS('ANALITIKA EU PROJEKATA'!$I$3:$I$499,'ANALITIKA EU PROJEKATA'!$A$3:$A$499,"=581",'ANALITIKA EU PROJEKATA'!$Q$3:$Q$499,"=43")</f>
        <v>0</v>
      </c>
      <c r="T103" s="147">
        <f>SUMIFS('Plan rashoda za unos u SAP'!$K$3:$K$480,'Plan rashoda za unos u SAP'!$C$3:$C$480,"=61",'Plan rashoda za unos u SAP'!$N$3:$N$480,"=43")+SUMIFS('ANALITIKA EU PROJEKATA'!$I$3:$I$499,'ANALITIKA EU PROJEKATA'!$A$3:$A$499,"=61",'ANALITIKA EU PROJEKATA'!$Q$3:$Q$499,"=43")</f>
        <v>0</v>
      </c>
      <c r="U103" s="147">
        <f>SUMIFS('Plan rashoda za unos u SAP'!$K$3:$K$480,'Plan rashoda za unos u SAP'!$C$3:$C$480,"=63",'Plan rashoda za unos u SAP'!$N$3:$N$480,"=43")+SUMIFS('ANALITIKA EU PROJEKATA'!$I$3:$I$499,'ANALITIKA EU PROJEKATA'!$A$3:$A$499,"=63",'ANALITIKA EU PROJEKATA'!$Q$3:$Q$499,"=43")</f>
        <v>0</v>
      </c>
      <c r="V103" s="147">
        <f>SUMIFS('Plan rashoda za unos u SAP'!$K$3:$K$480,'Plan rashoda za unos u SAP'!$C$3:$C$480,"=71",'Plan rashoda za unos u SAP'!$N$3:$N$480,"=43")+SUMIFS('ANALITIKA EU PROJEKATA'!$I$3:$I$499,'ANALITIKA EU PROJEKATA'!$A$3:$A$499,"=71",'ANALITIKA EU PROJEKATA'!$Q$3:$Q$499,"=43")</f>
        <v>0</v>
      </c>
      <c r="W103" s="147">
        <f>SUMIFS('Plan rashoda za unos u SAP'!$K$3:$K$480,'Plan rashoda za unos u SAP'!$C$3:$C$480,"=81",'Plan rashoda za unos u SAP'!$N$3:$N$480,"=43")+SUMIFS('ANALITIKA EU PROJEKATA'!$I$3:$I$499,'ANALITIKA EU PROJEKATA'!$A$3:$A$499,"=81",'ANALITIKA EU PROJEKATA'!$Q$3:$Q$499,"=43")</f>
        <v>0</v>
      </c>
      <c r="X103" s="144"/>
      <c r="Y103" s="144"/>
      <c r="Z103" s="144"/>
      <c r="AA103" s="144"/>
      <c r="AB103" s="144"/>
      <c r="AC103" s="144"/>
      <c r="AD103" s="144"/>
      <c r="AE103" s="144"/>
      <c r="AF103" s="144"/>
      <c r="AG103" s="144"/>
      <c r="AH103" s="144"/>
      <c r="AI103" s="144"/>
      <c r="AJ103" s="144"/>
      <c r="AK103" s="144"/>
      <c r="AL103" s="144"/>
      <c r="AM103" s="144"/>
      <c r="AN103" s="144"/>
      <c r="AO103" s="144"/>
      <c r="AP103" s="144"/>
      <c r="AQ103" s="144"/>
    </row>
    <row r="104" spans="1:43" ht="12" customHeight="1">
      <c r="A104" s="131">
        <v>2023</v>
      </c>
      <c r="B104" s="140">
        <v>44</v>
      </c>
      <c r="C104" s="141" t="s">
        <v>3470</v>
      </c>
      <c r="D104" s="162">
        <f t="shared" si="24"/>
        <v>0</v>
      </c>
      <c r="E104" s="147">
        <f>SUMIFS('Plan rashoda za unos u SAP'!$K$3:$K$480,'Plan rashoda za unos u SAP'!$C$3:$C$480,"=11",'Plan rashoda za unos u SAP'!$N$3:$N$480,"=44")+SUMIFS('ANALITIKA EU PROJEKATA'!$I$3:$I$499,'ANALITIKA EU PROJEKATA'!$A$3:$A$499,"=11",'ANALITIKA EU PROJEKATA'!$Q$3:$Q$499,"=44")</f>
        <v>0</v>
      </c>
      <c r="F104" s="147">
        <f>SUMIFS('Plan rashoda za unos u SAP'!$K$3:$K$480,'Plan rashoda za unos u SAP'!$C$3:$C$480,"=12",'Plan rashoda za unos u SAP'!$N$3:$N$480,"=44")+SUMIFS('ANALITIKA EU PROJEKATA'!$I$3:$I$499,'ANALITIKA EU PROJEKATA'!$A$3:$A$499,"=12",'ANALITIKA EU PROJEKATA'!$Q$3:$Q$499,"=44")</f>
        <v>0</v>
      </c>
      <c r="G104" s="147">
        <f>SUMIFS('Plan rashoda za unos u SAP'!$K$3:$K$480,'Plan rashoda za unos u SAP'!$C$3:$C$480,"=31",'Plan rashoda za unos u SAP'!$N$3:$N$480,"=44")+SUMIFS('ANALITIKA EU PROJEKATA'!$I$3:$I$499,'ANALITIKA EU PROJEKATA'!$A$3:$A$499,"=31",'ANALITIKA EU PROJEKATA'!$Q$3:$Q$499,"=44")</f>
        <v>0</v>
      </c>
      <c r="H104" s="147">
        <f>SUMIFS('Plan rashoda za unos u SAP'!$K$3:$K$480,'Plan rashoda za unos u SAP'!$C$3:$C$480,"=41",'Plan rashoda za unos u SAP'!$N$3:$N$480,"=44")+SUMIFS('ANALITIKA EU PROJEKATA'!$I$3:$I$499,'ANALITIKA EU PROJEKATA'!$A$3:$A$499,"=41",'ANALITIKA EU PROJEKATA'!$Q$3:$Q$499,"=44")</f>
        <v>0</v>
      </c>
      <c r="I104" s="147">
        <f>SUMIFS('Plan rashoda za unos u SAP'!$K$3:$K$480,'Plan rashoda za unos u SAP'!$C$3:$C$480,"=43",'Plan rashoda za unos u SAP'!$N$3:$N$480,"=44")+SUMIFS('ANALITIKA EU PROJEKATA'!$I$3:$I$499,'ANALITIKA EU PROJEKATA'!$A$3:$A$499,"=43",'ANALITIKA EU PROJEKATA'!$Q$3:$Q$499,"=44")</f>
        <v>0</v>
      </c>
      <c r="J104" s="147">
        <f>SUMIFS('Plan rashoda za unos u SAP'!$K$3:$K$480,'Plan rashoda za unos u SAP'!$C$3:$C$480,"=51",'Plan rashoda za unos u SAP'!$N$3:$N$480,"=44")+SUMIFS('ANALITIKA EU PROJEKATA'!$I$3:$I$499,'ANALITIKA EU PROJEKATA'!$A$3:$A$499,"=51",'ANALITIKA EU PROJEKATA'!$Q$3:$Q$499,"=44")</f>
        <v>0</v>
      </c>
      <c r="K104" s="147">
        <f>SUMIFS('Plan rashoda za unos u SAP'!$K$3:$K$480,'Plan rashoda za unos u SAP'!$C$3:$C$480,"=52",'Plan rashoda za unos u SAP'!$N$3:$N$480,"=44")+SUMIFS('ANALITIKA EU PROJEKATA'!$I$3:$I$499,'ANALITIKA EU PROJEKATA'!$A$3:$A$499,"=52",'ANALITIKA EU PROJEKATA'!$Q$3:$Q$499,"=44")</f>
        <v>0</v>
      </c>
      <c r="L104" s="147">
        <f>SUMIFS('Plan rashoda za unos u SAP'!$K$3:$K$480,'Plan rashoda za unos u SAP'!$C$3:$C$480,"=552",'Plan rashoda za unos u SAP'!$N$3:$N$480,"=44")+SUMIFS('ANALITIKA EU PROJEKATA'!$I$3:$I$499,'ANALITIKA EU PROJEKATA'!$A$3:$A$499,"=552",'ANALITIKA EU PROJEKATA'!$Q$3:$Q$499,"=44")</f>
        <v>0</v>
      </c>
      <c r="M104" s="147">
        <f>SUMIFS('Plan rashoda za unos u SAP'!$K$3:$K$480,'Plan rashoda za unos u SAP'!$C$3:$C$480,"=559",'Plan rashoda za unos u SAP'!$N$3:$N$480,"=44")+SUMIFS('ANALITIKA EU PROJEKATA'!$I$3:$I$499,'ANALITIKA EU PROJEKATA'!$A$3:$A$499,"=559",'ANALITIKA EU PROJEKATA'!$Q$3:$Q$499,"=44")</f>
        <v>0</v>
      </c>
      <c r="N104" s="147">
        <f>SUMIFS('Plan rashoda za unos u SAP'!$K$3:$K$480,'Plan rashoda za unos u SAP'!$C$3:$C$480,"=561",'Plan rashoda za unos u SAP'!$N$3:$N$480,"=44")+SUMIFS('ANALITIKA EU PROJEKATA'!$I$3:$I$499,'ANALITIKA EU PROJEKATA'!$A$3:$A$499,"=561",'ANALITIKA EU PROJEKATA'!$Q$3:$Q$499,"=44")</f>
        <v>0</v>
      </c>
      <c r="O104" s="147">
        <f>SUMIFS('Plan rashoda za unos u SAP'!$K$3:$K$480,'Plan rashoda za unos u SAP'!$C$3:$C$480,"=563",'Plan rashoda za unos u SAP'!$N$3:$N$480,"=44")+SUMIFS('ANALITIKA EU PROJEKATA'!$I$3:$I$499,'ANALITIKA EU PROJEKATA'!$A$3:$A$499,"=563",'ANALITIKA EU PROJEKATA'!$Q$3:$Q$499,"=44")</f>
        <v>0</v>
      </c>
      <c r="P104" s="147">
        <f>SUMIFS('Plan rashoda za unos u SAP'!$K$3:$K$480,'Plan rashoda za unos u SAP'!$C$3:$C$480,"=573",'Plan rashoda za unos u SAP'!$N$3:$N$480,"=44")+SUMIFS('ANALITIKA EU PROJEKATA'!$I$3:$I$499,'ANALITIKA EU PROJEKATA'!$A$3:$A$499,"=573",'ANALITIKA EU PROJEKATA'!$Q$3:$Q$499,"=44")</f>
        <v>0</v>
      </c>
      <c r="Q104" s="147">
        <f>SUMIFS('Plan rashoda za unos u SAP'!$K$3:$K$480,'Plan rashoda za unos u SAP'!$C$3:$C$480,"=575",'Plan rashoda za unos u SAP'!$N$3:$N$480,"=44")+SUMIFS('ANALITIKA EU PROJEKATA'!$I$3:$I$499,'ANALITIKA EU PROJEKATA'!$A$3:$A$499,"=575",'ANALITIKA EU PROJEKATA'!$Q$3:$Q$499,"=44")</f>
        <v>0</v>
      </c>
      <c r="R104" s="147">
        <f>SUMIFS('Plan rashoda za unos u SAP'!$K$3:$K$480,'Plan rashoda za unos u SAP'!$C$3:$C$480,"=576",'Plan rashoda za unos u SAP'!$N$3:$N$480,"=44")+SUMIFS('ANALITIKA EU PROJEKATA'!$I$3:$I$499,'ANALITIKA EU PROJEKATA'!$A$3:$A$499,"=576",'ANALITIKA EU PROJEKATA'!$Q$3:$Q$499,"=44")</f>
        <v>0</v>
      </c>
      <c r="S104" s="147">
        <f>SUMIFS('Plan rashoda za unos u SAP'!$K$3:$K$480,'Plan rashoda za unos u SAP'!$C$3:$C$480,"=581",'Plan rashoda za unos u SAP'!$N$3:$N$480,"=44")+SUMIFS('ANALITIKA EU PROJEKATA'!$I$3:$I$499,'ANALITIKA EU PROJEKATA'!$A$3:$A$499,"=581",'ANALITIKA EU PROJEKATA'!$Q$3:$Q$499,"=44")</f>
        <v>0</v>
      </c>
      <c r="T104" s="147">
        <f>SUMIFS('Plan rashoda za unos u SAP'!$K$3:$K$480,'Plan rashoda za unos u SAP'!$C$3:$C$480,"=61",'Plan rashoda za unos u SAP'!$N$3:$N$480,"=44")+SUMIFS('ANALITIKA EU PROJEKATA'!$I$3:$I$499,'ANALITIKA EU PROJEKATA'!$A$3:$A$499,"=61",'ANALITIKA EU PROJEKATA'!$Q$3:$Q$499,"=44")</f>
        <v>0</v>
      </c>
      <c r="U104" s="147">
        <f>SUMIFS('Plan rashoda za unos u SAP'!$K$3:$K$480,'Plan rashoda za unos u SAP'!$C$3:$C$480,"=63",'Plan rashoda za unos u SAP'!$N$3:$N$480,"=44")+SUMIFS('ANALITIKA EU PROJEKATA'!$I$3:$I$499,'ANALITIKA EU PROJEKATA'!$A$3:$A$499,"=63",'ANALITIKA EU PROJEKATA'!$Q$3:$Q$499,"=44")</f>
        <v>0</v>
      </c>
      <c r="V104" s="147">
        <f>SUMIFS('Plan rashoda za unos u SAP'!$K$3:$K$480,'Plan rashoda za unos u SAP'!$C$3:$C$480,"=71",'Plan rashoda za unos u SAP'!$N$3:$N$480,"=44")+SUMIFS('ANALITIKA EU PROJEKATA'!$I$3:$I$499,'ANALITIKA EU PROJEKATA'!$A$3:$A$499,"=71",'ANALITIKA EU PROJEKATA'!$Q$3:$Q$499,"=44")</f>
        <v>0</v>
      </c>
      <c r="W104" s="147">
        <f>SUMIFS('Plan rashoda za unos u SAP'!$K$3:$K$480,'Plan rashoda za unos u SAP'!$C$3:$C$480,"=81",'Plan rashoda za unos u SAP'!$N$3:$N$480,"=44")+SUMIFS('ANALITIKA EU PROJEKATA'!$I$3:$I$499,'ANALITIKA EU PROJEKATA'!$A$3:$A$499,"=81",'ANALITIKA EU PROJEKATA'!$Q$3:$Q$499,"=44")</f>
        <v>0</v>
      </c>
      <c r="X104" s="144"/>
      <c r="Y104" s="144"/>
      <c r="Z104" s="144"/>
      <c r="AA104" s="144"/>
      <c r="AB104" s="144"/>
      <c r="AC104" s="144"/>
      <c r="AD104" s="144"/>
      <c r="AE104" s="144"/>
      <c r="AF104" s="144"/>
      <c r="AG104" s="144"/>
      <c r="AH104" s="144"/>
      <c r="AI104" s="144"/>
      <c r="AJ104" s="144"/>
      <c r="AK104" s="144"/>
      <c r="AL104" s="144"/>
      <c r="AM104" s="144"/>
      <c r="AN104" s="144"/>
      <c r="AO104" s="144"/>
      <c r="AP104" s="144"/>
      <c r="AQ104" s="144"/>
    </row>
    <row r="105" spans="1:43" ht="12" customHeight="1">
      <c r="A105" s="131">
        <v>2023</v>
      </c>
      <c r="B105" s="150">
        <v>45</v>
      </c>
      <c r="C105" s="151" t="s">
        <v>3472</v>
      </c>
      <c r="D105" s="162">
        <f t="shared" si="24"/>
        <v>102010</v>
      </c>
      <c r="E105" s="147">
        <f>SUMIFS('Plan rashoda za unos u SAP'!$K$3:$K$480,'Plan rashoda za unos u SAP'!$C$3:$C$480,"=11",'Plan rashoda za unos u SAP'!$N$3:$N$480,"=45")+SUMIFS('ANALITIKA EU PROJEKATA'!$I$3:$I$499,'ANALITIKA EU PROJEKATA'!$A$3:$A$499,"=11",'ANALITIKA EU PROJEKATA'!$Q$3:$Q$499,"=45")</f>
        <v>0</v>
      </c>
      <c r="F105" s="147">
        <f>SUMIFS('Plan rashoda za unos u SAP'!$K$3:$K$480,'Plan rashoda za unos u SAP'!$C$3:$C$480,"=12",'Plan rashoda za unos u SAP'!$N$3:$N$480,"=45")+SUMIFS('ANALITIKA EU PROJEKATA'!$I$3:$I$499,'ANALITIKA EU PROJEKATA'!$A$3:$A$499,"=12",'ANALITIKA EU PROJEKATA'!$Q$3:$Q$499,"=45")</f>
        <v>0</v>
      </c>
      <c r="G105" s="147">
        <f>SUMIFS('Plan rashoda za unos u SAP'!$K$3:$K$480,'Plan rashoda za unos u SAP'!$C$3:$C$480,"=31",'Plan rashoda za unos u SAP'!$N$3:$N$480,"=45")+SUMIFS('ANALITIKA EU PROJEKATA'!$I$3:$I$499,'ANALITIKA EU PROJEKATA'!$A$3:$A$499,"=31",'ANALITIKA EU PROJEKATA'!$Q$3:$Q$499,"=45")</f>
        <v>102010</v>
      </c>
      <c r="H105" s="147">
        <f>SUMIFS('Plan rashoda za unos u SAP'!$K$3:$K$480,'Plan rashoda za unos u SAP'!$C$3:$C$480,"=41",'Plan rashoda za unos u SAP'!$N$3:$N$480,"=45")+SUMIFS('ANALITIKA EU PROJEKATA'!$I$3:$I$499,'ANALITIKA EU PROJEKATA'!$A$3:$A$499,"=41",'ANALITIKA EU PROJEKATA'!$Q$3:$Q$499,"=45")</f>
        <v>0</v>
      </c>
      <c r="I105" s="147">
        <f>SUMIFS('Plan rashoda za unos u SAP'!$K$3:$K$480,'Plan rashoda za unos u SAP'!$C$3:$C$480,"=43",'Plan rashoda za unos u SAP'!$N$3:$N$480,"=45")+SUMIFS('ANALITIKA EU PROJEKATA'!$I$3:$I$499,'ANALITIKA EU PROJEKATA'!$A$3:$A$499,"=43",'ANALITIKA EU PROJEKATA'!$Q$3:$Q$499,"=45")</f>
        <v>0</v>
      </c>
      <c r="J105" s="147">
        <f>SUMIFS('Plan rashoda za unos u SAP'!$K$3:$K$480,'Plan rashoda za unos u SAP'!$C$3:$C$480,"=51",'Plan rashoda za unos u SAP'!$N$3:$N$480,"=45")+SUMIFS('ANALITIKA EU PROJEKATA'!$I$3:$I$499,'ANALITIKA EU PROJEKATA'!$A$3:$A$499,"=51",'ANALITIKA EU PROJEKATA'!$Q$3:$Q$499,"=45")</f>
        <v>0</v>
      </c>
      <c r="K105" s="147">
        <f>SUMIFS('Plan rashoda za unos u SAP'!$K$3:$K$480,'Plan rashoda za unos u SAP'!$C$3:$C$480,"=52",'Plan rashoda za unos u SAP'!$N$3:$N$480,"=45")+SUMIFS('ANALITIKA EU PROJEKATA'!$I$3:$I$499,'ANALITIKA EU PROJEKATA'!$A$3:$A$499,"=52",'ANALITIKA EU PROJEKATA'!$Q$3:$Q$499,"=45")</f>
        <v>0</v>
      </c>
      <c r="L105" s="147">
        <f>SUMIFS('Plan rashoda za unos u SAP'!$K$3:$K$480,'Plan rashoda za unos u SAP'!$C$3:$C$480,"=552",'Plan rashoda za unos u SAP'!$N$3:$N$480,"=45")+SUMIFS('ANALITIKA EU PROJEKATA'!$I$3:$I$499,'ANALITIKA EU PROJEKATA'!$A$3:$A$499,"=552",'ANALITIKA EU PROJEKATA'!$Q$3:$Q$499,"=45")</f>
        <v>0</v>
      </c>
      <c r="M105" s="147">
        <f>SUMIFS('Plan rashoda za unos u SAP'!$K$3:$K$480,'Plan rashoda za unos u SAP'!$C$3:$C$480,"=559",'Plan rashoda za unos u SAP'!$N$3:$N$480,"=45")+SUMIFS('ANALITIKA EU PROJEKATA'!$I$3:$I$499,'ANALITIKA EU PROJEKATA'!$A$3:$A$499,"=559",'ANALITIKA EU PROJEKATA'!$Q$3:$Q$499,"=45")</f>
        <v>0</v>
      </c>
      <c r="N105" s="147">
        <f>SUMIFS('Plan rashoda za unos u SAP'!$K$3:$K$480,'Plan rashoda za unos u SAP'!$C$3:$C$480,"=561",'Plan rashoda za unos u SAP'!$N$3:$N$480,"=45")+SUMIFS('ANALITIKA EU PROJEKATA'!$I$3:$I$499,'ANALITIKA EU PROJEKATA'!$A$3:$A$499,"=561",'ANALITIKA EU PROJEKATA'!$Q$3:$Q$499,"=45")</f>
        <v>0</v>
      </c>
      <c r="O105" s="147">
        <f>SUMIFS('Plan rashoda za unos u SAP'!$K$3:$K$480,'Plan rashoda za unos u SAP'!$C$3:$C$480,"=563",'Plan rashoda za unos u SAP'!$N$3:$N$480,"=45")+SUMIFS('ANALITIKA EU PROJEKATA'!$I$3:$I$499,'ANALITIKA EU PROJEKATA'!$A$3:$A$499,"=563",'ANALITIKA EU PROJEKATA'!$Q$3:$Q$499,"=45")</f>
        <v>0</v>
      </c>
      <c r="P105" s="147">
        <f>SUMIFS('Plan rashoda za unos u SAP'!$K$3:$K$480,'Plan rashoda za unos u SAP'!$C$3:$C$480,"=573",'Plan rashoda za unos u SAP'!$N$3:$N$480,"=45")+SUMIFS('ANALITIKA EU PROJEKATA'!$I$3:$I$499,'ANALITIKA EU PROJEKATA'!$A$3:$A$499,"=573",'ANALITIKA EU PROJEKATA'!$Q$3:$Q$499,"=45")</f>
        <v>0</v>
      </c>
      <c r="Q105" s="147">
        <f>SUMIFS('Plan rashoda za unos u SAP'!$K$3:$K$480,'Plan rashoda za unos u SAP'!$C$3:$C$480,"=575",'Plan rashoda za unos u SAP'!$N$3:$N$480,"=45")+SUMIFS('ANALITIKA EU PROJEKATA'!$I$3:$I$499,'ANALITIKA EU PROJEKATA'!$A$3:$A$499,"=575",'ANALITIKA EU PROJEKATA'!$Q$3:$Q$499,"=45")</f>
        <v>0</v>
      </c>
      <c r="R105" s="147">
        <f>SUMIFS('Plan rashoda za unos u SAP'!$K$3:$K$480,'Plan rashoda za unos u SAP'!$C$3:$C$480,"=576",'Plan rashoda za unos u SAP'!$N$3:$N$480,"=45")+SUMIFS('ANALITIKA EU PROJEKATA'!$I$3:$I$499,'ANALITIKA EU PROJEKATA'!$A$3:$A$499,"=576",'ANALITIKA EU PROJEKATA'!$Q$3:$Q$499,"=45")</f>
        <v>0</v>
      </c>
      <c r="S105" s="147">
        <f>SUMIFS('Plan rashoda za unos u SAP'!$K$3:$K$480,'Plan rashoda za unos u SAP'!$C$3:$C$480,"=581",'Plan rashoda za unos u SAP'!$N$3:$N$480,"=45")+SUMIFS('ANALITIKA EU PROJEKATA'!$I$3:$I$499,'ANALITIKA EU PROJEKATA'!$A$3:$A$499,"=581",'ANALITIKA EU PROJEKATA'!$Q$3:$Q$499,"=45")</f>
        <v>0</v>
      </c>
      <c r="T105" s="147">
        <f>SUMIFS('Plan rashoda za unos u SAP'!$K$3:$K$480,'Plan rashoda za unos u SAP'!$C$3:$C$480,"=61",'Plan rashoda za unos u SAP'!$N$3:$N$480,"=45")+SUMIFS('ANALITIKA EU PROJEKATA'!$I$3:$I$499,'ANALITIKA EU PROJEKATA'!$A$3:$A$499,"=61",'ANALITIKA EU PROJEKATA'!$Q$3:$Q$499,"=45")</f>
        <v>0</v>
      </c>
      <c r="U105" s="147">
        <f>SUMIFS('Plan rashoda za unos u SAP'!$K$3:$K$480,'Plan rashoda za unos u SAP'!$C$3:$C$480,"=63",'Plan rashoda za unos u SAP'!$N$3:$N$480,"=45")+SUMIFS('ANALITIKA EU PROJEKATA'!$I$3:$I$499,'ANALITIKA EU PROJEKATA'!$A$3:$A$499,"=63",'ANALITIKA EU PROJEKATA'!$Q$3:$Q$499,"=45")</f>
        <v>0</v>
      </c>
      <c r="V105" s="147">
        <f>SUMIFS('Plan rashoda za unos u SAP'!$K$3:$K$480,'Plan rashoda za unos u SAP'!$C$3:$C$480,"=71",'Plan rashoda za unos u SAP'!$N$3:$N$480,"=45")+SUMIFS('ANALITIKA EU PROJEKATA'!$I$3:$I$499,'ANALITIKA EU PROJEKATA'!$A$3:$A$499,"=71",'ANALITIKA EU PROJEKATA'!$Q$3:$Q$499,"=45")</f>
        <v>0</v>
      </c>
      <c r="W105" s="147">
        <f>SUMIFS('Plan rashoda za unos u SAP'!$K$3:$K$480,'Plan rashoda za unos u SAP'!$C$3:$C$480,"=81",'Plan rashoda za unos u SAP'!$N$3:$N$480,"=45")+SUMIFS('ANALITIKA EU PROJEKATA'!$I$3:$I$499,'ANALITIKA EU PROJEKATA'!$A$3:$A$499,"=81",'ANALITIKA EU PROJEKATA'!$Q$3:$Q$499,"=45")</f>
        <v>0</v>
      </c>
      <c r="X105" s="152"/>
      <c r="Y105" s="152"/>
      <c r="Z105" s="152"/>
      <c r="AA105" s="152"/>
      <c r="AB105" s="152"/>
      <c r="AC105" s="152"/>
      <c r="AD105" s="152"/>
      <c r="AE105" s="152"/>
      <c r="AF105" s="152"/>
      <c r="AG105" s="152"/>
      <c r="AH105" s="152"/>
      <c r="AI105" s="152"/>
      <c r="AJ105" s="152"/>
      <c r="AK105" s="152"/>
      <c r="AL105" s="152"/>
      <c r="AM105" s="152"/>
      <c r="AN105" s="152"/>
      <c r="AO105" s="152"/>
      <c r="AP105" s="152"/>
      <c r="AQ105" s="152"/>
    </row>
    <row r="106" spans="1:43" ht="12" customHeight="1">
      <c r="A106" s="131">
        <v>2023</v>
      </c>
      <c r="B106" s="136">
        <v>5</v>
      </c>
      <c r="C106" s="137" t="s">
        <v>118</v>
      </c>
      <c r="D106" s="158">
        <f t="shared" si="24"/>
        <v>0</v>
      </c>
      <c r="E106" s="139">
        <f t="shared" ref="E106:W106" si="28">SUM(E107:E108)</f>
        <v>0</v>
      </c>
      <c r="F106" s="139">
        <f t="shared" si="28"/>
        <v>0</v>
      </c>
      <c r="G106" s="139">
        <f t="shared" si="28"/>
        <v>0</v>
      </c>
      <c r="H106" s="139">
        <f t="shared" si="28"/>
        <v>0</v>
      </c>
      <c r="I106" s="139">
        <f t="shared" si="28"/>
        <v>0</v>
      </c>
      <c r="J106" s="139">
        <f t="shared" si="28"/>
        <v>0</v>
      </c>
      <c r="K106" s="139">
        <f t="shared" si="28"/>
        <v>0</v>
      </c>
      <c r="L106" s="139">
        <f t="shared" si="28"/>
        <v>0</v>
      </c>
      <c r="M106" s="139">
        <f t="shared" si="28"/>
        <v>0</v>
      </c>
      <c r="N106" s="139">
        <f t="shared" si="28"/>
        <v>0</v>
      </c>
      <c r="O106" s="139">
        <f t="shared" si="28"/>
        <v>0</v>
      </c>
      <c r="P106" s="139">
        <f t="shared" si="28"/>
        <v>0</v>
      </c>
      <c r="Q106" s="139">
        <f t="shared" si="28"/>
        <v>0</v>
      </c>
      <c r="R106" s="139">
        <f t="shared" si="28"/>
        <v>0</v>
      </c>
      <c r="S106" s="139">
        <f t="shared" si="28"/>
        <v>0</v>
      </c>
      <c r="T106" s="139">
        <f t="shared" si="28"/>
        <v>0</v>
      </c>
      <c r="U106" s="139">
        <f t="shared" si="28"/>
        <v>0</v>
      </c>
      <c r="V106" s="139">
        <f t="shared" si="28"/>
        <v>0</v>
      </c>
      <c r="W106" s="139">
        <f t="shared" si="28"/>
        <v>0</v>
      </c>
      <c r="X106" s="129"/>
      <c r="Y106" s="129"/>
      <c r="Z106" s="129"/>
      <c r="AA106" s="129"/>
      <c r="AB106" s="129"/>
      <c r="AC106" s="129"/>
      <c r="AD106" s="129"/>
      <c r="AE106" s="129"/>
      <c r="AF106" s="129"/>
      <c r="AG106" s="129"/>
      <c r="AH106" s="129"/>
      <c r="AI106" s="129"/>
      <c r="AJ106" s="129"/>
      <c r="AK106" s="129"/>
      <c r="AL106" s="129"/>
      <c r="AM106" s="129"/>
      <c r="AN106" s="129"/>
      <c r="AO106" s="129"/>
      <c r="AP106" s="129"/>
      <c r="AQ106" s="129"/>
    </row>
    <row r="107" spans="1:43" ht="12" customHeight="1">
      <c r="A107" s="131">
        <v>2023</v>
      </c>
      <c r="B107" s="140">
        <v>51</v>
      </c>
      <c r="C107" s="141" t="s">
        <v>3473</v>
      </c>
      <c r="D107" s="142">
        <f t="shared" si="24"/>
        <v>0</v>
      </c>
      <c r="E107" s="147">
        <f>SUMIFS('Plan rashoda za unos u SAP'!$K$3:$K$480,'Plan rashoda za unos u SAP'!$C$3:$C$480,"=11",'Plan rashoda za unos u SAP'!$N$3:$N$480,"=51")+SUMIFS('ANALITIKA EU PROJEKATA'!$I$3:$I$499,'ANALITIKA EU PROJEKATA'!$A$3:$A$499,"=11",'ANALITIKA EU PROJEKATA'!$Q$3:$Q$499,"=51")</f>
        <v>0</v>
      </c>
      <c r="F107" s="147">
        <f>SUMIFS('Plan rashoda za unos u SAP'!$K$3:$K$480,'Plan rashoda za unos u SAP'!$C$3:$C$480,"=12",'Plan rashoda za unos u SAP'!$N$3:$N$480,"=51")+SUMIFS('ANALITIKA EU PROJEKATA'!$I$3:$I$499,'ANALITIKA EU PROJEKATA'!$A$3:$A$499,"=12",'ANALITIKA EU PROJEKATA'!$Q$3:$Q$499,"=51")</f>
        <v>0</v>
      </c>
      <c r="G107" s="147">
        <f>SUMIFS('Plan rashoda za unos u SAP'!$K$3:$K$480,'Plan rashoda za unos u SAP'!$C$3:$C$480,"=31",'Plan rashoda za unos u SAP'!$N$3:$N$480,"=51")+SUMIFS('ANALITIKA EU PROJEKATA'!$I$3:$I$499,'ANALITIKA EU PROJEKATA'!$A$3:$A$499,"=31",'ANALITIKA EU PROJEKATA'!$Q$3:$Q$499,"=51")</f>
        <v>0</v>
      </c>
      <c r="H107" s="147">
        <f>SUMIFS('Plan rashoda za unos u SAP'!$K$3:$K$480,'Plan rashoda za unos u SAP'!$C$3:$C$480,"=41",'Plan rashoda za unos u SAP'!$N$3:$N$480,"=51")+SUMIFS('ANALITIKA EU PROJEKATA'!$I$3:$I$499,'ANALITIKA EU PROJEKATA'!$A$3:$A$499,"=41",'ANALITIKA EU PROJEKATA'!$Q$3:$Q$499,"=51")</f>
        <v>0</v>
      </c>
      <c r="I107" s="147">
        <f>SUMIFS('Plan rashoda za unos u SAP'!$K$3:$K$480,'Plan rashoda za unos u SAP'!$C$3:$C$480,"=43",'Plan rashoda za unos u SAP'!$N$3:$N$480,"=51")+SUMIFS('ANALITIKA EU PROJEKATA'!$I$3:$I$499,'ANALITIKA EU PROJEKATA'!$A$3:$A$499,"=43",'ANALITIKA EU PROJEKATA'!$Q$3:$Q$499,"=51")</f>
        <v>0</v>
      </c>
      <c r="J107" s="147">
        <f>SUMIFS('Plan rashoda za unos u SAP'!$K$3:$K$480,'Plan rashoda za unos u SAP'!$C$3:$C$480,"=51",'Plan rashoda za unos u SAP'!$N$3:$N$480,"=51")+SUMIFS('ANALITIKA EU PROJEKATA'!$I$3:$I$499,'ANALITIKA EU PROJEKATA'!$A$3:$A$499,"=51",'ANALITIKA EU PROJEKATA'!$Q$3:$Q$499,"=51")</f>
        <v>0</v>
      </c>
      <c r="K107" s="147">
        <f>SUMIFS('Plan rashoda za unos u SAP'!$K$3:$K$480,'Plan rashoda za unos u SAP'!$C$3:$C$480,"=52",'Plan rashoda za unos u SAP'!$N$3:$N$480,"=51")+SUMIFS('ANALITIKA EU PROJEKATA'!$I$3:$I$499,'ANALITIKA EU PROJEKATA'!$A$3:$A$499,"=52",'ANALITIKA EU PROJEKATA'!$Q$3:$Q$499,"=51")</f>
        <v>0</v>
      </c>
      <c r="L107" s="147">
        <f>SUMIFS('Plan rashoda za unos u SAP'!$K$3:$K$480,'Plan rashoda za unos u SAP'!$C$3:$C$480,"=552",'Plan rashoda za unos u SAP'!$N$3:$N$480,"=51")+SUMIFS('ANALITIKA EU PROJEKATA'!$I$3:$I$499,'ANALITIKA EU PROJEKATA'!$A$3:$A$499,"=552",'ANALITIKA EU PROJEKATA'!$Q$3:$Q$499,"=51")</f>
        <v>0</v>
      </c>
      <c r="M107" s="147">
        <f>SUMIFS('Plan rashoda za unos u SAP'!$K$3:$K$480,'Plan rashoda za unos u SAP'!$C$3:$C$480,"=559",'Plan rashoda za unos u SAP'!$N$3:$N$480,"=51")+SUMIFS('ANALITIKA EU PROJEKATA'!$I$3:$I$499,'ANALITIKA EU PROJEKATA'!$A$3:$A$499,"=559",'ANALITIKA EU PROJEKATA'!$Q$3:$Q$499,"=51")</f>
        <v>0</v>
      </c>
      <c r="N107" s="147">
        <f>SUMIFS('Plan rashoda za unos u SAP'!$K$3:$K$480,'Plan rashoda za unos u SAP'!$C$3:$C$480,"=561",'Plan rashoda za unos u SAP'!$N$3:$N$480,"=51")+SUMIFS('ANALITIKA EU PROJEKATA'!$I$3:$I$499,'ANALITIKA EU PROJEKATA'!$A$3:$A$499,"=561",'ANALITIKA EU PROJEKATA'!$Q$3:$Q$499,"=51")</f>
        <v>0</v>
      </c>
      <c r="O107" s="147">
        <f>SUMIFS('Plan rashoda za unos u SAP'!$K$3:$K$480,'Plan rashoda za unos u SAP'!$C$3:$C$480,"=563",'Plan rashoda za unos u SAP'!$N$3:$N$480,"=51")+SUMIFS('ANALITIKA EU PROJEKATA'!$I$3:$I$499,'ANALITIKA EU PROJEKATA'!$A$3:$A$499,"=563",'ANALITIKA EU PROJEKATA'!$Q$3:$Q$499,"=51")</f>
        <v>0</v>
      </c>
      <c r="P107" s="147">
        <f>SUMIFS('Plan rashoda za unos u SAP'!$K$3:$K$480,'Plan rashoda za unos u SAP'!$C$3:$C$480,"=573",'Plan rashoda za unos u SAP'!$N$3:$N$480,"=51")+SUMIFS('ANALITIKA EU PROJEKATA'!$I$3:$I$499,'ANALITIKA EU PROJEKATA'!$A$3:$A$499,"=573",'ANALITIKA EU PROJEKATA'!$Q$3:$Q$499,"=51")</f>
        <v>0</v>
      </c>
      <c r="Q107" s="147">
        <f>SUMIFS('Plan rashoda za unos u SAP'!$K$3:$K$480,'Plan rashoda za unos u SAP'!$C$3:$C$480,"=575",'Plan rashoda za unos u SAP'!$N$3:$N$480,"=51")+SUMIFS('ANALITIKA EU PROJEKATA'!$I$3:$I$499,'ANALITIKA EU PROJEKATA'!$A$3:$A$499,"=575",'ANALITIKA EU PROJEKATA'!$Q$3:$Q$499,"=51")</f>
        <v>0</v>
      </c>
      <c r="R107" s="147">
        <f>SUMIFS('Plan rashoda za unos u SAP'!$K$3:$K$480,'Plan rashoda za unos u SAP'!$C$3:$C$480,"=576",'Plan rashoda za unos u SAP'!$N$3:$N$480,"=51")+SUMIFS('ANALITIKA EU PROJEKATA'!$I$3:$I$499,'ANALITIKA EU PROJEKATA'!$A$3:$A$499,"=576",'ANALITIKA EU PROJEKATA'!$Q$3:$Q$499,"=51")</f>
        <v>0</v>
      </c>
      <c r="S107" s="147">
        <f>SUMIFS('Plan rashoda za unos u SAP'!$K$3:$K$480,'Plan rashoda za unos u SAP'!$C$3:$C$480,"=581",'Plan rashoda za unos u SAP'!$N$3:$N$480,"=51")+SUMIFS('ANALITIKA EU PROJEKATA'!$I$3:$I$499,'ANALITIKA EU PROJEKATA'!$A$3:$A$499,"=581",'ANALITIKA EU PROJEKATA'!$Q$3:$Q$499,"=51")</f>
        <v>0</v>
      </c>
      <c r="T107" s="147">
        <f>SUMIFS('Plan rashoda za unos u SAP'!$K$3:$K$480,'Plan rashoda za unos u SAP'!$C$3:$C$480,"=61",'Plan rashoda za unos u SAP'!$N$3:$N$480,"=51")+SUMIFS('ANALITIKA EU PROJEKATA'!$I$3:$I$499,'ANALITIKA EU PROJEKATA'!$A$3:$A$499,"=61",'ANALITIKA EU PROJEKATA'!$Q$3:$Q$499,"=51")</f>
        <v>0</v>
      </c>
      <c r="U107" s="147">
        <f>SUMIFS('Plan rashoda za unos u SAP'!$K$3:$K$480,'Plan rashoda za unos u SAP'!$C$3:$C$480,"=63",'Plan rashoda za unos u SAP'!$N$3:$N$480,"=51")+SUMIFS('ANALITIKA EU PROJEKATA'!$I$3:$I$499,'ANALITIKA EU PROJEKATA'!$A$3:$A$499,"=63",'ANALITIKA EU PROJEKATA'!$Q$3:$Q$499,"=51")</f>
        <v>0</v>
      </c>
      <c r="V107" s="147">
        <f>SUMIFS('Plan rashoda za unos u SAP'!$K$3:$K$480,'Plan rashoda za unos u SAP'!$C$3:$C$480,"=71",'Plan rashoda za unos u SAP'!$N$3:$N$480,"=51")+SUMIFS('ANALITIKA EU PROJEKATA'!$I$3:$I$499,'ANALITIKA EU PROJEKATA'!$A$3:$A$499,"=71",'ANALITIKA EU PROJEKATA'!$Q$3:$Q$499,"=51")</f>
        <v>0</v>
      </c>
      <c r="W107" s="147">
        <f>SUMIFS('Plan rashoda za unos u SAP'!$K$3:$K$480,'Plan rashoda za unos u SAP'!$C$3:$C$480,"=81",'Plan rashoda za unos u SAP'!$N$3:$N$480,"=51")+SUMIFS('ANALITIKA EU PROJEKATA'!$I$3:$I$499,'ANALITIKA EU PROJEKATA'!$A$3:$A$499,"=81",'ANALITIKA EU PROJEKATA'!$Q$3:$Q$499,"=51")</f>
        <v>0</v>
      </c>
      <c r="X107" s="144"/>
      <c r="Y107" s="144"/>
      <c r="Z107" s="144"/>
      <c r="AA107" s="144"/>
      <c r="AB107" s="144"/>
      <c r="AC107" s="144"/>
      <c r="AD107" s="144"/>
      <c r="AE107" s="144"/>
      <c r="AF107" s="144"/>
      <c r="AG107" s="144"/>
      <c r="AH107" s="144"/>
      <c r="AI107" s="144"/>
      <c r="AJ107" s="144"/>
      <c r="AK107" s="144"/>
      <c r="AL107" s="144"/>
      <c r="AM107" s="144"/>
      <c r="AN107" s="144"/>
      <c r="AO107" s="144"/>
      <c r="AP107" s="144"/>
      <c r="AQ107" s="144"/>
    </row>
    <row r="108" spans="1:43" ht="12" customHeight="1">
      <c r="A108" s="131">
        <v>2023</v>
      </c>
      <c r="B108" s="140">
        <v>54</v>
      </c>
      <c r="C108" s="141" t="s">
        <v>3477</v>
      </c>
      <c r="D108" s="142">
        <f t="shared" si="24"/>
        <v>0</v>
      </c>
      <c r="E108" s="147">
        <f>SUMIFS('Plan rashoda za unos u SAP'!$K$3:$K$480,'Plan rashoda za unos u SAP'!$C$3:$C$480,"=11",'Plan rashoda za unos u SAP'!$N$3:$N$480,"=54")+SUMIFS('ANALITIKA EU PROJEKATA'!$I$3:$I$499,'ANALITIKA EU PROJEKATA'!$A$3:$A$499,"=11",'ANALITIKA EU PROJEKATA'!$Q$3:$Q$499,"=54")</f>
        <v>0</v>
      </c>
      <c r="F108" s="147">
        <f>SUMIFS('Plan rashoda za unos u SAP'!$K$3:$K$480,'Plan rashoda za unos u SAP'!$C$3:$C$480,"=12",'Plan rashoda za unos u SAP'!$N$3:$N$480,"=54")+SUMIFS('ANALITIKA EU PROJEKATA'!$I$3:$I$499,'ANALITIKA EU PROJEKATA'!$A$3:$A$499,"=12",'ANALITIKA EU PROJEKATA'!$Q$3:$Q$499,"=54")</f>
        <v>0</v>
      </c>
      <c r="G108" s="147">
        <f>SUMIFS('Plan rashoda za unos u SAP'!$K$3:$K$480,'Plan rashoda za unos u SAP'!$C$3:$C$480,"=31",'Plan rashoda za unos u SAP'!$N$3:$N$480,"=54")+SUMIFS('ANALITIKA EU PROJEKATA'!$I$3:$I$499,'ANALITIKA EU PROJEKATA'!$A$3:$A$499,"=31",'ANALITIKA EU PROJEKATA'!$Q$3:$Q$499,"=54")</f>
        <v>0</v>
      </c>
      <c r="H108" s="147">
        <f>SUMIFS('Plan rashoda za unos u SAP'!$K$3:$K$480,'Plan rashoda za unos u SAP'!$C$3:$C$480,"=41",'Plan rashoda za unos u SAP'!$N$3:$N$480,"=54")+SUMIFS('ANALITIKA EU PROJEKATA'!$I$3:$I$499,'ANALITIKA EU PROJEKATA'!$A$3:$A$499,"=41",'ANALITIKA EU PROJEKATA'!$Q$3:$Q$499,"=54")</f>
        <v>0</v>
      </c>
      <c r="I108" s="147">
        <f>SUMIFS('Plan rashoda za unos u SAP'!$K$3:$K$480,'Plan rashoda za unos u SAP'!$C$3:$C$480,"=43",'Plan rashoda za unos u SAP'!$N$3:$N$480,"=54")+SUMIFS('ANALITIKA EU PROJEKATA'!$I$3:$I$499,'ANALITIKA EU PROJEKATA'!$A$3:$A$499,"=43",'ANALITIKA EU PROJEKATA'!$Q$3:$Q$499,"=54")</f>
        <v>0</v>
      </c>
      <c r="J108" s="147">
        <f>SUMIFS('Plan rashoda za unos u SAP'!$K$3:$K$480,'Plan rashoda za unos u SAP'!$C$3:$C$480,"=51",'Plan rashoda za unos u SAP'!$N$3:$N$480,"=54")+SUMIFS('ANALITIKA EU PROJEKATA'!$I$3:$I$499,'ANALITIKA EU PROJEKATA'!$A$3:$A$499,"=51",'ANALITIKA EU PROJEKATA'!$Q$3:$Q$499,"=54")</f>
        <v>0</v>
      </c>
      <c r="K108" s="147">
        <f>SUMIFS('Plan rashoda za unos u SAP'!$K$3:$K$480,'Plan rashoda za unos u SAP'!$C$3:$C$480,"=52",'Plan rashoda za unos u SAP'!$N$3:$N$480,"=54")+SUMIFS('ANALITIKA EU PROJEKATA'!$I$3:$I$499,'ANALITIKA EU PROJEKATA'!$A$3:$A$499,"=52",'ANALITIKA EU PROJEKATA'!$Q$3:$Q$499,"=54")</f>
        <v>0</v>
      </c>
      <c r="L108" s="147">
        <f>SUMIFS('Plan rashoda za unos u SAP'!$K$3:$K$480,'Plan rashoda za unos u SAP'!$C$3:$C$480,"=552",'Plan rashoda za unos u SAP'!$N$3:$N$480,"=54")+SUMIFS('ANALITIKA EU PROJEKATA'!$I$3:$I$499,'ANALITIKA EU PROJEKATA'!$A$3:$A$499,"=552",'ANALITIKA EU PROJEKATA'!$Q$3:$Q$499,"=54")</f>
        <v>0</v>
      </c>
      <c r="M108" s="147">
        <f>SUMIFS('Plan rashoda za unos u SAP'!$K$3:$K$480,'Plan rashoda za unos u SAP'!$C$3:$C$480,"=559",'Plan rashoda za unos u SAP'!$N$3:$N$480,"=54")+SUMIFS('ANALITIKA EU PROJEKATA'!$I$3:$I$499,'ANALITIKA EU PROJEKATA'!$A$3:$A$499,"=559",'ANALITIKA EU PROJEKATA'!$Q$3:$Q$499,"=54")</f>
        <v>0</v>
      </c>
      <c r="N108" s="147">
        <f>SUMIFS('Plan rashoda za unos u SAP'!$K$3:$K$480,'Plan rashoda za unos u SAP'!$C$3:$C$480,"=561",'Plan rashoda za unos u SAP'!$N$3:$N$480,"=54")+SUMIFS('ANALITIKA EU PROJEKATA'!$I$3:$I$499,'ANALITIKA EU PROJEKATA'!$A$3:$A$499,"=561",'ANALITIKA EU PROJEKATA'!$Q$3:$Q$499,"=54")</f>
        <v>0</v>
      </c>
      <c r="O108" s="147">
        <f>SUMIFS('Plan rashoda za unos u SAP'!$K$3:$K$480,'Plan rashoda za unos u SAP'!$C$3:$C$480,"=563",'Plan rashoda za unos u SAP'!$N$3:$N$480,"=54")+SUMIFS('ANALITIKA EU PROJEKATA'!$I$3:$I$499,'ANALITIKA EU PROJEKATA'!$A$3:$A$499,"=563",'ANALITIKA EU PROJEKATA'!$Q$3:$Q$499,"=54")</f>
        <v>0</v>
      </c>
      <c r="P108" s="147">
        <f>SUMIFS('Plan rashoda za unos u SAP'!$K$3:$K$480,'Plan rashoda za unos u SAP'!$C$3:$C$480,"=573",'Plan rashoda za unos u SAP'!$N$3:$N$480,"=54")+SUMIFS('ANALITIKA EU PROJEKATA'!$I$3:$I$499,'ANALITIKA EU PROJEKATA'!$A$3:$A$499,"=573",'ANALITIKA EU PROJEKATA'!$Q$3:$Q$499,"=54")</f>
        <v>0</v>
      </c>
      <c r="Q108" s="147">
        <f>SUMIFS('Plan rashoda za unos u SAP'!$K$3:$K$480,'Plan rashoda za unos u SAP'!$C$3:$C$480,"=575",'Plan rashoda za unos u SAP'!$N$3:$N$480,"=54")+SUMIFS('ANALITIKA EU PROJEKATA'!$I$3:$I$499,'ANALITIKA EU PROJEKATA'!$A$3:$A$499,"=575",'ANALITIKA EU PROJEKATA'!$Q$3:$Q$499,"=54")</f>
        <v>0</v>
      </c>
      <c r="R108" s="147">
        <f>SUMIFS('Plan rashoda za unos u SAP'!$K$3:$K$480,'Plan rashoda za unos u SAP'!$C$3:$C$480,"=576",'Plan rashoda za unos u SAP'!$N$3:$N$480,"=54")+SUMIFS('ANALITIKA EU PROJEKATA'!$I$3:$I$499,'ANALITIKA EU PROJEKATA'!$A$3:$A$499,"=576",'ANALITIKA EU PROJEKATA'!$Q$3:$Q$499,"=54")</f>
        <v>0</v>
      </c>
      <c r="S108" s="147">
        <f>SUMIFS('Plan rashoda za unos u SAP'!$K$3:$K$480,'Plan rashoda za unos u SAP'!$C$3:$C$480,"=581",'Plan rashoda za unos u SAP'!$N$3:$N$480,"=54")+SUMIFS('ANALITIKA EU PROJEKATA'!$I$3:$I$499,'ANALITIKA EU PROJEKATA'!$A$3:$A$499,"=581",'ANALITIKA EU PROJEKATA'!$Q$3:$Q$499,"=54")</f>
        <v>0</v>
      </c>
      <c r="T108" s="147">
        <f>SUMIFS('Plan rashoda za unos u SAP'!$K$3:$K$480,'Plan rashoda za unos u SAP'!$C$3:$C$480,"=61",'Plan rashoda za unos u SAP'!$N$3:$N$480,"=54")+SUMIFS('ANALITIKA EU PROJEKATA'!$I$3:$I$499,'ANALITIKA EU PROJEKATA'!$A$3:$A$499,"=61",'ANALITIKA EU PROJEKATA'!$Q$3:$Q$499,"=54")</f>
        <v>0</v>
      </c>
      <c r="U108" s="147">
        <f>SUMIFS('Plan rashoda za unos u SAP'!$K$3:$K$480,'Plan rashoda za unos u SAP'!$C$3:$C$480,"=63",'Plan rashoda za unos u SAP'!$N$3:$N$480,"=54")+SUMIFS('ANALITIKA EU PROJEKATA'!$I$3:$I$499,'ANALITIKA EU PROJEKATA'!$A$3:$A$499,"=63",'ANALITIKA EU PROJEKATA'!$Q$3:$Q$499,"=54")</f>
        <v>0</v>
      </c>
      <c r="V108" s="147">
        <f>SUMIFS('Plan rashoda za unos u SAP'!$K$3:$K$480,'Plan rashoda za unos u SAP'!$C$3:$C$480,"=71",'Plan rashoda za unos u SAP'!$N$3:$N$480,"=54")+SUMIFS('ANALITIKA EU PROJEKATA'!$I$3:$I$499,'ANALITIKA EU PROJEKATA'!$A$3:$A$499,"=71",'ANALITIKA EU PROJEKATA'!$Q$3:$Q$499,"=54")</f>
        <v>0</v>
      </c>
      <c r="W108" s="147">
        <f>SUMIFS('Plan rashoda za unos u SAP'!$K$3:$K$480,'Plan rashoda za unos u SAP'!$C$3:$C$480,"=81",'Plan rashoda za unos u SAP'!$N$3:$N$480,"=54")+SUMIFS('ANALITIKA EU PROJEKATA'!$I$3:$I$499,'ANALITIKA EU PROJEKATA'!$A$3:$A$499,"=81",'ANALITIKA EU PROJEKATA'!$Q$3:$Q$499,"=54")</f>
        <v>0</v>
      </c>
      <c r="X108" s="144"/>
      <c r="Y108" s="144"/>
      <c r="Z108" s="144"/>
      <c r="AA108" s="144"/>
      <c r="AB108" s="144"/>
      <c r="AC108" s="144"/>
      <c r="AD108" s="144"/>
      <c r="AE108" s="144"/>
      <c r="AF108" s="144"/>
      <c r="AG108" s="144"/>
      <c r="AH108" s="144"/>
      <c r="AI108" s="144"/>
      <c r="AJ108" s="144"/>
      <c r="AK108" s="144"/>
      <c r="AL108" s="144"/>
      <c r="AM108" s="144"/>
      <c r="AN108" s="144"/>
      <c r="AO108" s="144"/>
      <c r="AP108" s="144"/>
      <c r="AQ108" s="144"/>
    </row>
    <row r="109" spans="1:43" ht="12.75" customHeight="1">
      <c r="A109" s="129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129"/>
      <c r="Y109" s="129"/>
      <c r="Z109" s="129"/>
      <c r="AA109" s="129"/>
      <c r="AB109" s="129"/>
      <c r="AC109" s="129"/>
      <c r="AD109" s="129"/>
      <c r="AE109" s="129"/>
      <c r="AF109" s="129"/>
      <c r="AG109" s="129"/>
      <c r="AH109" s="129"/>
      <c r="AI109" s="129"/>
      <c r="AJ109" s="129"/>
      <c r="AK109" s="129"/>
      <c r="AL109" s="129"/>
      <c r="AM109" s="129"/>
      <c r="AN109" s="129"/>
      <c r="AO109" s="129"/>
      <c r="AP109" s="129"/>
      <c r="AQ109" s="129"/>
    </row>
    <row r="110" spans="1:43" ht="12.75" customHeight="1">
      <c r="A110" s="129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129"/>
      <c r="Y110" s="129"/>
      <c r="Z110" s="129"/>
      <c r="AA110" s="129"/>
      <c r="AB110" s="129"/>
      <c r="AC110" s="129"/>
      <c r="AD110" s="129"/>
      <c r="AE110" s="129"/>
      <c r="AF110" s="129"/>
      <c r="AG110" s="129"/>
      <c r="AH110" s="129"/>
      <c r="AI110" s="129"/>
      <c r="AJ110" s="129"/>
      <c r="AK110" s="129"/>
      <c r="AL110" s="129"/>
      <c r="AM110" s="129"/>
      <c r="AN110" s="129"/>
      <c r="AO110" s="129"/>
      <c r="AP110" s="129"/>
      <c r="AQ110" s="129"/>
    </row>
    <row r="111" spans="1:43" ht="12.75" customHeight="1">
      <c r="A111" s="129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129"/>
      <c r="Y111" s="129"/>
      <c r="Z111" s="129"/>
      <c r="AA111" s="129"/>
      <c r="AB111" s="129"/>
      <c r="AC111" s="129"/>
      <c r="AD111" s="129"/>
      <c r="AE111" s="129"/>
      <c r="AF111" s="129"/>
      <c r="AG111" s="129"/>
      <c r="AH111" s="129"/>
      <c r="AI111" s="129"/>
      <c r="AJ111" s="129"/>
      <c r="AK111" s="129"/>
      <c r="AL111" s="129"/>
      <c r="AM111" s="129"/>
      <c r="AN111" s="129"/>
      <c r="AO111" s="129"/>
      <c r="AP111" s="129"/>
      <c r="AQ111" s="129"/>
    </row>
    <row r="112" spans="1:43" ht="12.75" customHeight="1">
      <c r="A112" s="129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129"/>
      <c r="Y112" s="129"/>
      <c r="Z112" s="129"/>
      <c r="AA112" s="129"/>
      <c r="AB112" s="129"/>
      <c r="AC112" s="129"/>
      <c r="AD112" s="129"/>
      <c r="AE112" s="129"/>
      <c r="AF112" s="129"/>
      <c r="AG112" s="129"/>
      <c r="AH112" s="129"/>
      <c r="AI112" s="129"/>
      <c r="AJ112" s="129"/>
      <c r="AK112" s="129"/>
      <c r="AL112" s="129"/>
      <c r="AM112" s="129"/>
      <c r="AN112" s="129"/>
      <c r="AO112" s="129"/>
      <c r="AP112" s="129"/>
      <c r="AQ112" s="129"/>
    </row>
    <row r="113" spans="1:43" ht="12.75" customHeight="1">
      <c r="A113" s="129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129"/>
      <c r="Y113" s="129"/>
      <c r="Z113" s="129"/>
      <c r="AA113" s="129"/>
      <c r="AB113" s="129"/>
      <c r="AC113" s="129"/>
      <c r="AD113" s="129"/>
      <c r="AE113" s="129"/>
      <c r="AF113" s="129"/>
      <c r="AG113" s="129"/>
      <c r="AH113" s="129"/>
      <c r="AI113" s="129"/>
      <c r="AJ113" s="129"/>
      <c r="AK113" s="129"/>
      <c r="AL113" s="129"/>
      <c r="AM113" s="129"/>
      <c r="AN113" s="129"/>
      <c r="AO113" s="129"/>
      <c r="AP113" s="129"/>
      <c r="AQ113" s="129"/>
    </row>
    <row r="114" spans="1:43" ht="12.75" customHeight="1">
      <c r="A114" s="129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129"/>
      <c r="Y114" s="129"/>
      <c r="Z114" s="129"/>
      <c r="AA114" s="129"/>
      <c r="AB114" s="129"/>
      <c r="AC114" s="129"/>
      <c r="AD114" s="129"/>
      <c r="AE114" s="129"/>
      <c r="AF114" s="129"/>
      <c r="AG114" s="129"/>
      <c r="AH114" s="129"/>
      <c r="AI114" s="129"/>
      <c r="AJ114" s="129"/>
      <c r="AK114" s="129"/>
      <c r="AL114" s="129"/>
      <c r="AM114" s="129"/>
      <c r="AN114" s="129"/>
      <c r="AO114" s="129"/>
      <c r="AP114" s="129"/>
      <c r="AQ114" s="129"/>
    </row>
    <row r="115" spans="1:43" ht="12.75" customHeight="1">
      <c r="A115" s="129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129"/>
      <c r="Y115" s="129"/>
      <c r="Z115" s="129"/>
      <c r="AA115" s="129"/>
      <c r="AB115" s="129"/>
      <c r="AC115" s="129"/>
      <c r="AD115" s="129"/>
      <c r="AE115" s="129"/>
      <c r="AF115" s="129"/>
      <c r="AG115" s="129"/>
      <c r="AH115" s="129"/>
      <c r="AI115" s="129"/>
      <c r="AJ115" s="129"/>
      <c r="AK115" s="129"/>
      <c r="AL115" s="129"/>
      <c r="AM115" s="129"/>
      <c r="AN115" s="129"/>
      <c r="AO115" s="129"/>
      <c r="AP115" s="129"/>
      <c r="AQ115" s="129"/>
    </row>
    <row r="116" spans="1:43" ht="12.75" customHeight="1">
      <c r="A116" s="129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129"/>
      <c r="Y116" s="129"/>
      <c r="Z116" s="129"/>
      <c r="AA116" s="129"/>
      <c r="AB116" s="129"/>
      <c r="AC116" s="129"/>
      <c r="AD116" s="129"/>
      <c r="AE116" s="129"/>
      <c r="AF116" s="129"/>
      <c r="AG116" s="129"/>
      <c r="AH116" s="129"/>
      <c r="AI116" s="129"/>
      <c r="AJ116" s="129"/>
      <c r="AK116" s="129"/>
      <c r="AL116" s="129"/>
      <c r="AM116" s="129"/>
      <c r="AN116" s="129"/>
      <c r="AO116" s="129"/>
      <c r="AP116" s="129"/>
      <c r="AQ116" s="129"/>
    </row>
    <row r="117" spans="1:43" ht="12.75" customHeight="1">
      <c r="A117" s="129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129"/>
      <c r="Y117" s="129"/>
      <c r="Z117" s="129"/>
      <c r="AA117" s="129"/>
      <c r="AB117" s="129"/>
      <c r="AC117" s="129"/>
      <c r="AD117" s="129"/>
      <c r="AE117" s="129"/>
      <c r="AF117" s="129"/>
      <c r="AG117" s="129"/>
      <c r="AH117" s="129"/>
      <c r="AI117" s="129"/>
      <c r="AJ117" s="129"/>
      <c r="AK117" s="129"/>
      <c r="AL117" s="129"/>
      <c r="AM117" s="129"/>
      <c r="AN117" s="129"/>
      <c r="AO117" s="129"/>
      <c r="AP117" s="129"/>
      <c r="AQ117" s="129"/>
    </row>
    <row r="118" spans="1:43" ht="12.75" customHeight="1">
      <c r="A118" s="129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129"/>
      <c r="Y118" s="129"/>
      <c r="Z118" s="129"/>
      <c r="AA118" s="129"/>
      <c r="AB118" s="129"/>
      <c r="AC118" s="129"/>
      <c r="AD118" s="129"/>
      <c r="AE118" s="129"/>
      <c r="AF118" s="129"/>
      <c r="AG118" s="129"/>
      <c r="AH118" s="129"/>
      <c r="AI118" s="129"/>
      <c r="AJ118" s="129"/>
      <c r="AK118" s="129"/>
      <c r="AL118" s="129"/>
      <c r="AM118" s="129"/>
      <c r="AN118" s="129"/>
      <c r="AO118" s="129"/>
      <c r="AP118" s="129"/>
      <c r="AQ118" s="129"/>
    </row>
    <row r="119" spans="1:43" ht="12.75" customHeight="1">
      <c r="A119" s="129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129"/>
      <c r="Y119" s="129"/>
      <c r="Z119" s="129"/>
      <c r="AA119" s="129"/>
      <c r="AB119" s="129"/>
      <c r="AC119" s="129"/>
      <c r="AD119" s="129"/>
      <c r="AE119" s="129"/>
      <c r="AF119" s="129"/>
      <c r="AG119" s="129"/>
      <c r="AH119" s="129"/>
      <c r="AI119" s="129"/>
      <c r="AJ119" s="129"/>
      <c r="AK119" s="129"/>
      <c r="AL119" s="129"/>
      <c r="AM119" s="129"/>
      <c r="AN119" s="129"/>
      <c r="AO119" s="129"/>
      <c r="AP119" s="129"/>
      <c r="AQ119" s="129"/>
    </row>
    <row r="120" spans="1:43" ht="12.75" customHeight="1">
      <c r="A120" s="129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129"/>
      <c r="Y120" s="129"/>
      <c r="Z120" s="129"/>
      <c r="AA120" s="129"/>
      <c r="AB120" s="129"/>
      <c r="AC120" s="129"/>
      <c r="AD120" s="129"/>
      <c r="AE120" s="129"/>
      <c r="AF120" s="129"/>
      <c r="AG120" s="129"/>
      <c r="AH120" s="129"/>
      <c r="AI120" s="129"/>
      <c r="AJ120" s="129"/>
      <c r="AK120" s="129"/>
      <c r="AL120" s="129"/>
      <c r="AM120" s="129"/>
      <c r="AN120" s="129"/>
      <c r="AO120" s="129"/>
      <c r="AP120" s="129"/>
      <c r="AQ120" s="129"/>
    </row>
    <row r="121" spans="1:43" ht="12.75" customHeight="1">
      <c r="A121" s="129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129"/>
      <c r="Y121" s="129"/>
      <c r="Z121" s="129"/>
      <c r="AA121" s="129"/>
      <c r="AB121" s="129"/>
      <c r="AC121" s="129"/>
      <c r="AD121" s="129"/>
      <c r="AE121" s="129"/>
      <c r="AF121" s="129"/>
      <c r="AG121" s="129"/>
      <c r="AH121" s="129"/>
      <c r="AI121" s="129"/>
      <c r="AJ121" s="129"/>
      <c r="AK121" s="129"/>
      <c r="AL121" s="129"/>
      <c r="AM121" s="129"/>
      <c r="AN121" s="129"/>
      <c r="AO121" s="129"/>
      <c r="AP121" s="129"/>
      <c r="AQ121" s="129"/>
    </row>
    <row r="122" spans="1:43" ht="12.75" customHeight="1">
      <c r="A122" s="129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129"/>
      <c r="Y122" s="129"/>
      <c r="Z122" s="129"/>
      <c r="AA122" s="129"/>
      <c r="AB122" s="129"/>
      <c r="AC122" s="129"/>
      <c r="AD122" s="129"/>
      <c r="AE122" s="129"/>
      <c r="AF122" s="129"/>
      <c r="AG122" s="129"/>
      <c r="AH122" s="129"/>
      <c r="AI122" s="129"/>
      <c r="AJ122" s="129"/>
      <c r="AK122" s="129"/>
      <c r="AL122" s="129"/>
      <c r="AM122" s="129"/>
      <c r="AN122" s="129"/>
      <c r="AO122" s="129"/>
      <c r="AP122" s="129"/>
      <c r="AQ122" s="129"/>
    </row>
    <row r="123" spans="1:43" ht="12.75" customHeight="1">
      <c r="A123" s="129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129"/>
      <c r="Y123" s="129"/>
      <c r="Z123" s="129"/>
      <c r="AA123" s="129"/>
      <c r="AB123" s="129"/>
      <c r="AC123" s="129"/>
      <c r="AD123" s="129"/>
      <c r="AE123" s="129"/>
      <c r="AF123" s="129"/>
      <c r="AG123" s="129"/>
      <c r="AH123" s="129"/>
      <c r="AI123" s="129"/>
      <c r="AJ123" s="129"/>
      <c r="AK123" s="129"/>
      <c r="AL123" s="129"/>
      <c r="AM123" s="129"/>
      <c r="AN123" s="129"/>
      <c r="AO123" s="129"/>
      <c r="AP123" s="129"/>
      <c r="AQ123" s="129"/>
    </row>
    <row r="124" spans="1:43" ht="12.75" customHeight="1">
      <c r="A124" s="129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129"/>
      <c r="Y124" s="129"/>
      <c r="Z124" s="129"/>
      <c r="AA124" s="129"/>
      <c r="AB124" s="129"/>
      <c r="AC124" s="129"/>
      <c r="AD124" s="129"/>
      <c r="AE124" s="129"/>
      <c r="AF124" s="129"/>
      <c r="AG124" s="129"/>
      <c r="AH124" s="129"/>
      <c r="AI124" s="129"/>
      <c r="AJ124" s="129"/>
      <c r="AK124" s="129"/>
      <c r="AL124" s="129"/>
      <c r="AM124" s="129"/>
      <c r="AN124" s="129"/>
      <c r="AO124" s="129"/>
      <c r="AP124" s="129"/>
      <c r="AQ124" s="129"/>
    </row>
    <row r="125" spans="1:43" ht="12.75" customHeight="1">
      <c r="A125" s="129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129"/>
      <c r="Y125" s="129"/>
      <c r="Z125" s="129"/>
      <c r="AA125" s="129"/>
      <c r="AB125" s="129"/>
      <c r="AC125" s="129"/>
      <c r="AD125" s="129"/>
      <c r="AE125" s="129"/>
      <c r="AF125" s="129"/>
      <c r="AG125" s="129"/>
      <c r="AH125" s="129"/>
      <c r="AI125" s="129"/>
      <c r="AJ125" s="129"/>
      <c r="AK125" s="129"/>
      <c r="AL125" s="129"/>
      <c r="AM125" s="129"/>
      <c r="AN125" s="129"/>
      <c r="AO125" s="129"/>
      <c r="AP125" s="129"/>
      <c r="AQ125" s="129"/>
    </row>
    <row r="126" spans="1:43" ht="12.75" customHeight="1">
      <c r="A126" s="129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129"/>
      <c r="Y126" s="129"/>
      <c r="Z126" s="129"/>
      <c r="AA126" s="129"/>
      <c r="AB126" s="129"/>
      <c r="AC126" s="129"/>
      <c r="AD126" s="129"/>
      <c r="AE126" s="129"/>
      <c r="AF126" s="129"/>
      <c r="AG126" s="129"/>
      <c r="AH126" s="129"/>
      <c r="AI126" s="129"/>
      <c r="AJ126" s="129"/>
      <c r="AK126" s="129"/>
      <c r="AL126" s="129"/>
      <c r="AM126" s="129"/>
      <c r="AN126" s="129"/>
      <c r="AO126" s="129"/>
      <c r="AP126" s="129"/>
      <c r="AQ126" s="129"/>
    </row>
    <row r="127" spans="1:43" ht="12.75" customHeight="1">
      <c r="A127" s="129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129"/>
      <c r="Y127" s="129"/>
      <c r="Z127" s="129"/>
      <c r="AA127" s="129"/>
      <c r="AB127" s="129"/>
      <c r="AC127" s="129"/>
      <c r="AD127" s="129"/>
      <c r="AE127" s="129"/>
      <c r="AF127" s="129"/>
      <c r="AG127" s="129"/>
      <c r="AH127" s="129"/>
      <c r="AI127" s="129"/>
      <c r="AJ127" s="129"/>
      <c r="AK127" s="129"/>
      <c r="AL127" s="129"/>
      <c r="AM127" s="129"/>
      <c r="AN127" s="129"/>
      <c r="AO127" s="129"/>
      <c r="AP127" s="129"/>
      <c r="AQ127" s="129"/>
    </row>
    <row r="128" spans="1:43" ht="12.75" customHeight="1">
      <c r="A128" s="129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129"/>
      <c r="Y128" s="129"/>
      <c r="Z128" s="129"/>
      <c r="AA128" s="129"/>
      <c r="AB128" s="129"/>
      <c r="AC128" s="129"/>
      <c r="AD128" s="129"/>
      <c r="AE128" s="129"/>
      <c r="AF128" s="129"/>
      <c r="AG128" s="129"/>
      <c r="AH128" s="129"/>
      <c r="AI128" s="129"/>
      <c r="AJ128" s="129"/>
      <c r="AK128" s="129"/>
      <c r="AL128" s="129"/>
      <c r="AM128" s="129"/>
      <c r="AN128" s="129"/>
      <c r="AO128" s="129"/>
      <c r="AP128" s="129"/>
      <c r="AQ128" s="129"/>
    </row>
    <row r="129" spans="1:43" ht="12.75" customHeight="1">
      <c r="A129" s="129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129"/>
      <c r="Y129" s="129"/>
      <c r="Z129" s="129"/>
      <c r="AA129" s="129"/>
      <c r="AB129" s="129"/>
      <c r="AC129" s="129"/>
      <c r="AD129" s="129"/>
      <c r="AE129" s="129"/>
      <c r="AF129" s="129"/>
      <c r="AG129" s="129"/>
      <c r="AH129" s="129"/>
      <c r="AI129" s="129"/>
      <c r="AJ129" s="129"/>
      <c r="AK129" s="129"/>
      <c r="AL129" s="129"/>
      <c r="AM129" s="129"/>
      <c r="AN129" s="129"/>
      <c r="AO129" s="129"/>
      <c r="AP129" s="129"/>
      <c r="AQ129" s="129"/>
    </row>
    <row r="130" spans="1:43" ht="12.75" customHeight="1">
      <c r="A130" s="129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129"/>
      <c r="Y130" s="129"/>
      <c r="Z130" s="129"/>
      <c r="AA130" s="129"/>
      <c r="AB130" s="129"/>
      <c r="AC130" s="129"/>
      <c r="AD130" s="129"/>
      <c r="AE130" s="129"/>
      <c r="AF130" s="129"/>
      <c r="AG130" s="129"/>
      <c r="AH130" s="129"/>
      <c r="AI130" s="129"/>
      <c r="AJ130" s="129"/>
      <c r="AK130" s="129"/>
      <c r="AL130" s="129"/>
      <c r="AM130" s="129"/>
      <c r="AN130" s="129"/>
      <c r="AO130" s="129"/>
      <c r="AP130" s="129"/>
      <c r="AQ130" s="129"/>
    </row>
    <row r="131" spans="1:43" ht="12.75" customHeight="1">
      <c r="A131" s="129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129"/>
      <c r="Y131" s="129"/>
      <c r="Z131" s="129"/>
      <c r="AA131" s="129"/>
      <c r="AB131" s="129"/>
      <c r="AC131" s="129"/>
      <c r="AD131" s="129"/>
      <c r="AE131" s="129"/>
      <c r="AF131" s="129"/>
      <c r="AG131" s="129"/>
      <c r="AH131" s="129"/>
      <c r="AI131" s="129"/>
      <c r="AJ131" s="129"/>
      <c r="AK131" s="129"/>
      <c r="AL131" s="129"/>
      <c r="AM131" s="129"/>
      <c r="AN131" s="129"/>
      <c r="AO131" s="129"/>
      <c r="AP131" s="129"/>
      <c r="AQ131" s="129"/>
    </row>
    <row r="132" spans="1:43" ht="12.75" customHeight="1">
      <c r="A132" s="129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129"/>
      <c r="Y132" s="129"/>
      <c r="Z132" s="129"/>
      <c r="AA132" s="129"/>
      <c r="AB132" s="129"/>
      <c r="AC132" s="129"/>
      <c r="AD132" s="129"/>
      <c r="AE132" s="129"/>
      <c r="AF132" s="129"/>
      <c r="AG132" s="129"/>
      <c r="AH132" s="129"/>
      <c r="AI132" s="129"/>
      <c r="AJ132" s="129"/>
      <c r="AK132" s="129"/>
      <c r="AL132" s="129"/>
      <c r="AM132" s="129"/>
      <c r="AN132" s="129"/>
      <c r="AO132" s="129"/>
      <c r="AP132" s="129"/>
      <c r="AQ132" s="129"/>
    </row>
    <row r="133" spans="1:43" ht="12.75" customHeight="1">
      <c r="A133" s="129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129"/>
      <c r="Y133" s="129"/>
      <c r="Z133" s="129"/>
      <c r="AA133" s="129"/>
      <c r="AB133" s="129"/>
      <c r="AC133" s="129"/>
      <c r="AD133" s="129"/>
      <c r="AE133" s="129"/>
      <c r="AF133" s="129"/>
      <c r="AG133" s="129"/>
      <c r="AH133" s="129"/>
      <c r="AI133" s="129"/>
      <c r="AJ133" s="129"/>
      <c r="AK133" s="129"/>
      <c r="AL133" s="129"/>
      <c r="AM133" s="129"/>
      <c r="AN133" s="129"/>
      <c r="AO133" s="129"/>
      <c r="AP133" s="129"/>
      <c r="AQ133" s="129"/>
    </row>
    <row r="134" spans="1:43" ht="12.75" customHeight="1">
      <c r="A134" s="129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129"/>
      <c r="Y134" s="129"/>
      <c r="Z134" s="129"/>
      <c r="AA134" s="129"/>
      <c r="AB134" s="129"/>
      <c r="AC134" s="129"/>
      <c r="AD134" s="129"/>
      <c r="AE134" s="129"/>
      <c r="AF134" s="129"/>
      <c r="AG134" s="129"/>
      <c r="AH134" s="129"/>
      <c r="AI134" s="129"/>
      <c r="AJ134" s="129"/>
      <c r="AK134" s="129"/>
      <c r="AL134" s="129"/>
      <c r="AM134" s="129"/>
      <c r="AN134" s="129"/>
      <c r="AO134" s="129"/>
      <c r="AP134" s="129"/>
      <c r="AQ134" s="129"/>
    </row>
    <row r="135" spans="1:43" ht="12.75" customHeight="1">
      <c r="A135" s="129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129"/>
      <c r="Y135" s="129"/>
      <c r="Z135" s="129"/>
      <c r="AA135" s="129"/>
      <c r="AB135" s="129"/>
      <c r="AC135" s="129"/>
      <c r="AD135" s="129"/>
      <c r="AE135" s="129"/>
      <c r="AF135" s="129"/>
      <c r="AG135" s="129"/>
      <c r="AH135" s="129"/>
      <c r="AI135" s="129"/>
      <c r="AJ135" s="129"/>
      <c r="AK135" s="129"/>
      <c r="AL135" s="129"/>
      <c r="AM135" s="129"/>
      <c r="AN135" s="129"/>
      <c r="AO135" s="129"/>
      <c r="AP135" s="129"/>
      <c r="AQ135" s="129"/>
    </row>
    <row r="136" spans="1:43" ht="12.75" customHeight="1">
      <c r="A136" s="129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129"/>
      <c r="Y136" s="129"/>
      <c r="Z136" s="129"/>
      <c r="AA136" s="129"/>
      <c r="AB136" s="129"/>
      <c r="AC136" s="129"/>
      <c r="AD136" s="129"/>
      <c r="AE136" s="129"/>
      <c r="AF136" s="129"/>
      <c r="AG136" s="129"/>
      <c r="AH136" s="129"/>
      <c r="AI136" s="129"/>
      <c r="AJ136" s="129"/>
      <c r="AK136" s="129"/>
      <c r="AL136" s="129"/>
      <c r="AM136" s="129"/>
      <c r="AN136" s="129"/>
      <c r="AO136" s="129"/>
      <c r="AP136" s="129"/>
      <c r="AQ136" s="129"/>
    </row>
    <row r="137" spans="1:43" ht="12.75" customHeight="1">
      <c r="A137" s="129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129"/>
      <c r="Y137" s="129"/>
      <c r="Z137" s="129"/>
      <c r="AA137" s="129"/>
      <c r="AB137" s="129"/>
      <c r="AC137" s="129"/>
      <c r="AD137" s="129"/>
      <c r="AE137" s="129"/>
      <c r="AF137" s="129"/>
      <c r="AG137" s="129"/>
      <c r="AH137" s="129"/>
      <c r="AI137" s="129"/>
      <c r="AJ137" s="129"/>
      <c r="AK137" s="129"/>
      <c r="AL137" s="129"/>
      <c r="AM137" s="129"/>
      <c r="AN137" s="129"/>
      <c r="AO137" s="129"/>
      <c r="AP137" s="129"/>
      <c r="AQ137" s="129"/>
    </row>
    <row r="138" spans="1:43" ht="12.75" customHeight="1">
      <c r="A138" s="129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129"/>
      <c r="Y138" s="129"/>
      <c r="Z138" s="129"/>
      <c r="AA138" s="129"/>
      <c r="AB138" s="129"/>
      <c r="AC138" s="129"/>
      <c r="AD138" s="129"/>
      <c r="AE138" s="129"/>
      <c r="AF138" s="129"/>
      <c r="AG138" s="129"/>
      <c r="AH138" s="129"/>
      <c r="AI138" s="129"/>
      <c r="AJ138" s="129"/>
      <c r="AK138" s="129"/>
      <c r="AL138" s="129"/>
      <c r="AM138" s="129"/>
      <c r="AN138" s="129"/>
      <c r="AO138" s="129"/>
      <c r="AP138" s="129"/>
      <c r="AQ138" s="129"/>
    </row>
    <row r="139" spans="1:43" ht="12.75" customHeight="1">
      <c r="A139" s="129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129"/>
      <c r="Y139" s="129"/>
      <c r="Z139" s="129"/>
      <c r="AA139" s="129"/>
      <c r="AB139" s="129"/>
      <c r="AC139" s="129"/>
      <c r="AD139" s="129"/>
      <c r="AE139" s="129"/>
      <c r="AF139" s="129"/>
      <c r="AG139" s="129"/>
      <c r="AH139" s="129"/>
      <c r="AI139" s="129"/>
      <c r="AJ139" s="129"/>
      <c r="AK139" s="129"/>
      <c r="AL139" s="129"/>
      <c r="AM139" s="129"/>
      <c r="AN139" s="129"/>
      <c r="AO139" s="129"/>
      <c r="AP139" s="129"/>
      <c r="AQ139" s="129"/>
    </row>
    <row r="140" spans="1:43" ht="12.75" customHeight="1">
      <c r="A140" s="129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129"/>
      <c r="Y140" s="129"/>
      <c r="Z140" s="129"/>
      <c r="AA140" s="129"/>
      <c r="AB140" s="129"/>
      <c r="AC140" s="129"/>
      <c r="AD140" s="129"/>
      <c r="AE140" s="129"/>
      <c r="AF140" s="129"/>
      <c r="AG140" s="129"/>
      <c r="AH140" s="129"/>
      <c r="AI140" s="129"/>
      <c r="AJ140" s="129"/>
      <c r="AK140" s="129"/>
      <c r="AL140" s="129"/>
      <c r="AM140" s="129"/>
      <c r="AN140" s="129"/>
      <c r="AO140" s="129"/>
      <c r="AP140" s="129"/>
      <c r="AQ140" s="129"/>
    </row>
    <row r="141" spans="1:43" ht="12.75" customHeight="1">
      <c r="A141" s="129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129"/>
      <c r="Y141" s="129"/>
      <c r="Z141" s="129"/>
      <c r="AA141" s="129"/>
      <c r="AB141" s="129"/>
      <c r="AC141" s="129"/>
      <c r="AD141" s="129"/>
      <c r="AE141" s="129"/>
      <c r="AF141" s="129"/>
      <c r="AG141" s="129"/>
      <c r="AH141" s="129"/>
      <c r="AI141" s="129"/>
      <c r="AJ141" s="129"/>
      <c r="AK141" s="129"/>
      <c r="AL141" s="129"/>
      <c r="AM141" s="129"/>
      <c r="AN141" s="129"/>
      <c r="AO141" s="129"/>
      <c r="AP141" s="129"/>
      <c r="AQ141" s="129"/>
    </row>
    <row r="142" spans="1:43" ht="12.75" customHeight="1">
      <c r="A142" s="129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129"/>
      <c r="Y142" s="129"/>
      <c r="Z142" s="129"/>
      <c r="AA142" s="129"/>
      <c r="AB142" s="129"/>
      <c r="AC142" s="129"/>
      <c r="AD142" s="129"/>
      <c r="AE142" s="129"/>
      <c r="AF142" s="129"/>
      <c r="AG142" s="129"/>
      <c r="AH142" s="129"/>
      <c r="AI142" s="129"/>
      <c r="AJ142" s="129"/>
      <c r="AK142" s="129"/>
      <c r="AL142" s="129"/>
      <c r="AM142" s="129"/>
      <c r="AN142" s="129"/>
      <c r="AO142" s="129"/>
      <c r="AP142" s="129"/>
      <c r="AQ142" s="129"/>
    </row>
    <row r="143" spans="1:43" ht="12.75" customHeight="1">
      <c r="A143" s="129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129"/>
      <c r="Y143" s="129"/>
      <c r="Z143" s="129"/>
      <c r="AA143" s="129"/>
      <c r="AB143" s="129"/>
      <c r="AC143" s="129"/>
      <c r="AD143" s="129"/>
      <c r="AE143" s="129"/>
      <c r="AF143" s="129"/>
      <c r="AG143" s="129"/>
      <c r="AH143" s="129"/>
      <c r="AI143" s="129"/>
      <c r="AJ143" s="129"/>
      <c r="AK143" s="129"/>
      <c r="AL143" s="129"/>
      <c r="AM143" s="129"/>
      <c r="AN143" s="129"/>
      <c r="AO143" s="129"/>
      <c r="AP143" s="129"/>
      <c r="AQ143" s="129"/>
    </row>
    <row r="144" spans="1:43" ht="12.75" customHeight="1">
      <c r="A144" s="129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129"/>
      <c r="Y144" s="129"/>
      <c r="Z144" s="129"/>
      <c r="AA144" s="129"/>
      <c r="AB144" s="129"/>
      <c r="AC144" s="129"/>
      <c r="AD144" s="129"/>
      <c r="AE144" s="129"/>
      <c r="AF144" s="129"/>
      <c r="AG144" s="129"/>
      <c r="AH144" s="129"/>
      <c r="AI144" s="129"/>
      <c r="AJ144" s="129"/>
      <c r="AK144" s="129"/>
      <c r="AL144" s="129"/>
      <c r="AM144" s="129"/>
      <c r="AN144" s="129"/>
      <c r="AO144" s="129"/>
      <c r="AP144" s="129"/>
      <c r="AQ144" s="129"/>
    </row>
    <row r="145" spans="1:43" ht="12.75" customHeight="1">
      <c r="A145" s="129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129"/>
      <c r="Y145" s="129"/>
      <c r="Z145" s="129"/>
      <c r="AA145" s="129"/>
      <c r="AB145" s="129"/>
      <c r="AC145" s="129"/>
      <c r="AD145" s="129"/>
      <c r="AE145" s="129"/>
      <c r="AF145" s="129"/>
      <c r="AG145" s="129"/>
      <c r="AH145" s="129"/>
      <c r="AI145" s="129"/>
      <c r="AJ145" s="129"/>
      <c r="AK145" s="129"/>
      <c r="AL145" s="129"/>
      <c r="AM145" s="129"/>
      <c r="AN145" s="129"/>
      <c r="AO145" s="129"/>
      <c r="AP145" s="129"/>
      <c r="AQ145" s="129"/>
    </row>
    <row r="146" spans="1:43" ht="12.75" customHeight="1">
      <c r="A146" s="129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129"/>
      <c r="Y146" s="129"/>
      <c r="Z146" s="129"/>
      <c r="AA146" s="129"/>
      <c r="AB146" s="129"/>
      <c r="AC146" s="129"/>
      <c r="AD146" s="129"/>
      <c r="AE146" s="129"/>
      <c r="AF146" s="129"/>
      <c r="AG146" s="129"/>
      <c r="AH146" s="129"/>
      <c r="AI146" s="129"/>
      <c r="AJ146" s="129"/>
      <c r="AK146" s="129"/>
      <c r="AL146" s="129"/>
      <c r="AM146" s="129"/>
      <c r="AN146" s="129"/>
      <c r="AO146" s="129"/>
      <c r="AP146" s="129"/>
      <c r="AQ146" s="129"/>
    </row>
    <row r="147" spans="1:43" ht="12.75" customHeight="1">
      <c r="A147" s="129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129"/>
      <c r="Y147" s="129"/>
      <c r="Z147" s="129"/>
      <c r="AA147" s="129"/>
      <c r="AB147" s="129"/>
      <c r="AC147" s="129"/>
      <c r="AD147" s="129"/>
      <c r="AE147" s="129"/>
      <c r="AF147" s="129"/>
      <c r="AG147" s="129"/>
      <c r="AH147" s="129"/>
      <c r="AI147" s="129"/>
      <c r="AJ147" s="129"/>
      <c r="AK147" s="129"/>
      <c r="AL147" s="129"/>
      <c r="AM147" s="129"/>
      <c r="AN147" s="129"/>
      <c r="AO147" s="129"/>
      <c r="AP147" s="129"/>
      <c r="AQ147" s="129"/>
    </row>
    <row r="148" spans="1:43" ht="12.75" customHeight="1">
      <c r="A148" s="129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129"/>
      <c r="Y148" s="129"/>
      <c r="Z148" s="129"/>
      <c r="AA148" s="129"/>
      <c r="AB148" s="129"/>
      <c r="AC148" s="129"/>
      <c r="AD148" s="129"/>
      <c r="AE148" s="129"/>
      <c r="AF148" s="129"/>
      <c r="AG148" s="129"/>
      <c r="AH148" s="129"/>
      <c r="AI148" s="129"/>
      <c r="AJ148" s="129"/>
      <c r="AK148" s="129"/>
      <c r="AL148" s="129"/>
      <c r="AM148" s="129"/>
      <c r="AN148" s="129"/>
      <c r="AO148" s="129"/>
      <c r="AP148" s="129"/>
      <c r="AQ148" s="129"/>
    </row>
    <row r="149" spans="1:43" ht="12.75" customHeight="1">
      <c r="A149" s="129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129"/>
      <c r="Y149" s="129"/>
      <c r="Z149" s="129"/>
      <c r="AA149" s="129"/>
      <c r="AB149" s="129"/>
      <c r="AC149" s="129"/>
      <c r="AD149" s="129"/>
      <c r="AE149" s="129"/>
      <c r="AF149" s="129"/>
      <c r="AG149" s="129"/>
      <c r="AH149" s="129"/>
      <c r="AI149" s="129"/>
      <c r="AJ149" s="129"/>
      <c r="AK149" s="129"/>
      <c r="AL149" s="129"/>
      <c r="AM149" s="129"/>
      <c r="AN149" s="129"/>
      <c r="AO149" s="129"/>
      <c r="AP149" s="129"/>
      <c r="AQ149" s="129"/>
    </row>
    <row r="150" spans="1:43" ht="12.75" customHeight="1">
      <c r="A150" s="129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129"/>
      <c r="Y150" s="129"/>
      <c r="Z150" s="129"/>
      <c r="AA150" s="129"/>
      <c r="AB150" s="129"/>
      <c r="AC150" s="129"/>
      <c r="AD150" s="129"/>
      <c r="AE150" s="129"/>
      <c r="AF150" s="129"/>
      <c r="AG150" s="129"/>
      <c r="AH150" s="129"/>
      <c r="AI150" s="129"/>
      <c r="AJ150" s="129"/>
      <c r="AK150" s="129"/>
      <c r="AL150" s="129"/>
      <c r="AM150" s="129"/>
      <c r="AN150" s="129"/>
      <c r="AO150" s="129"/>
      <c r="AP150" s="129"/>
      <c r="AQ150" s="129"/>
    </row>
    <row r="151" spans="1:43" ht="12.75" customHeight="1">
      <c r="A151" s="129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129"/>
      <c r="Y151" s="129"/>
      <c r="Z151" s="129"/>
      <c r="AA151" s="129"/>
      <c r="AB151" s="129"/>
      <c r="AC151" s="129"/>
      <c r="AD151" s="129"/>
      <c r="AE151" s="129"/>
      <c r="AF151" s="129"/>
      <c r="AG151" s="129"/>
      <c r="AH151" s="129"/>
      <c r="AI151" s="129"/>
      <c r="AJ151" s="129"/>
      <c r="AK151" s="129"/>
      <c r="AL151" s="129"/>
      <c r="AM151" s="129"/>
      <c r="AN151" s="129"/>
      <c r="AO151" s="129"/>
      <c r="AP151" s="129"/>
      <c r="AQ151" s="129"/>
    </row>
    <row r="152" spans="1:43" ht="12.75" customHeight="1">
      <c r="A152" s="129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129"/>
      <c r="Y152" s="129"/>
      <c r="Z152" s="129"/>
      <c r="AA152" s="129"/>
      <c r="AB152" s="129"/>
      <c r="AC152" s="129"/>
      <c r="AD152" s="129"/>
      <c r="AE152" s="129"/>
      <c r="AF152" s="129"/>
      <c r="AG152" s="129"/>
      <c r="AH152" s="129"/>
      <c r="AI152" s="129"/>
      <c r="AJ152" s="129"/>
      <c r="AK152" s="129"/>
      <c r="AL152" s="129"/>
      <c r="AM152" s="129"/>
      <c r="AN152" s="129"/>
      <c r="AO152" s="129"/>
      <c r="AP152" s="129"/>
      <c r="AQ152" s="129"/>
    </row>
    <row r="153" spans="1:43" ht="12.75" customHeight="1">
      <c r="A153" s="129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129"/>
      <c r="Y153" s="129"/>
      <c r="Z153" s="129"/>
      <c r="AA153" s="129"/>
      <c r="AB153" s="129"/>
      <c r="AC153" s="129"/>
      <c r="AD153" s="129"/>
      <c r="AE153" s="129"/>
      <c r="AF153" s="129"/>
      <c r="AG153" s="129"/>
      <c r="AH153" s="129"/>
      <c r="AI153" s="129"/>
      <c r="AJ153" s="129"/>
      <c r="AK153" s="129"/>
      <c r="AL153" s="129"/>
      <c r="AM153" s="129"/>
      <c r="AN153" s="129"/>
      <c r="AO153" s="129"/>
      <c r="AP153" s="129"/>
      <c r="AQ153" s="129"/>
    </row>
    <row r="154" spans="1:43" ht="12.75" customHeight="1">
      <c r="A154" s="129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129"/>
      <c r="Y154" s="129"/>
      <c r="Z154" s="129"/>
      <c r="AA154" s="129"/>
      <c r="AB154" s="129"/>
      <c r="AC154" s="129"/>
      <c r="AD154" s="129"/>
      <c r="AE154" s="129"/>
      <c r="AF154" s="129"/>
      <c r="AG154" s="129"/>
      <c r="AH154" s="129"/>
      <c r="AI154" s="129"/>
      <c r="AJ154" s="129"/>
      <c r="AK154" s="129"/>
      <c r="AL154" s="129"/>
      <c r="AM154" s="129"/>
      <c r="AN154" s="129"/>
      <c r="AO154" s="129"/>
      <c r="AP154" s="129"/>
      <c r="AQ154" s="129"/>
    </row>
    <row r="155" spans="1:43" ht="12.75" customHeight="1">
      <c r="A155" s="129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129"/>
      <c r="Y155" s="129"/>
      <c r="Z155" s="129"/>
      <c r="AA155" s="129"/>
      <c r="AB155" s="129"/>
      <c r="AC155" s="129"/>
      <c r="AD155" s="129"/>
      <c r="AE155" s="129"/>
      <c r="AF155" s="129"/>
      <c r="AG155" s="129"/>
      <c r="AH155" s="129"/>
      <c r="AI155" s="129"/>
      <c r="AJ155" s="129"/>
      <c r="AK155" s="129"/>
      <c r="AL155" s="129"/>
      <c r="AM155" s="129"/>
      <c r="AN155" s="129"/>
      <c r="AO155" s="129"/>
      <c r="AP155" s="129"/>
      <c r="AQ155" s="129"/>
    </row>
    <row r="156" spans="1:43" ht="12.75" customHeight="1">
      <c r="A156" s="129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129"/>
      <c r="Y156" s="129"/>
      <c r="Z156" s="129"/>
      <c r="AA156" s="129"/>
      <c r="AB156" s="129"/>
      <c r="AC156" s="129"/>
      <c r="AD156" s="129"/>
      <c r="AE156" s="129"/>
      <c r="AF156" s="129"/>
      <c r="AG156" s="129"/>
      <c r="AH156" s="129"/>
      <c r="AI156" s="129"/>
      <c r="AJ156" s="129"/>
      <c r="AK156" s="129"/>
      <c r="AL156" s="129"/>
      <c r="AM156" s="129"/>
      <c r="AN156" s="129"/>
      <c r="AO156" s="129"/>
      <c r="AP156" s="129"/>
      <c r="AQ156" s="129"/>
    </row>
    <row r="157" spans="1:43" ht="12.75" customHeight="1">
      <c r="A157" s="129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129"/>
      <c r="Y157" s="129"/>
      <c r="Z157" s="129"/>
      <c r="AA157" s="129"/>
      <c r="AB157" s="129"/>
      <c r="AC157" s="129"/>
      <c r="AD157" s="129"/>
      <c r="AE157" s="129"/>
      <c r="AF157" s="129"/>
      <c r="AG157" s="129"/>
      <c r="AH157" s="129"/>
      <c r="AI157" s="129"/>
      <c r="AJ157" s="129"/>
      <c r="AK157" s="129"/>
      <c r="AL157" s="129"/>
      <c r="AM157" s="129"/>
      <c r="AN157" s="129"/>
      <c r="AO157" s="129"/>
      <c r="AP157" s="129"/>
      <c r="AQ157" s="129"/>
    </row>
    <row r="158" spans="1:43" ht="12.75" customHeight="1">
      <c r="A158" s="129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129"/>
      <c r="Y158" s="129"/>
      <c r="Z158" s="129"/>
      <c r="AA158" s="129"/>
      <c r="AB158" s="129"/>
      <c r="AC158" s="129"/>
      <c r="AD158" s="129"/>
      <c r="AE158" s="129"/>
      <c r="AF158" s="129"/>
      <c r="AG158" s="129"/>
      <c r="AH158" s="129"/>
      <c r="AI158" s="129"/>
      <c r="AJ158" s="129"/>
      <c r="AK158" s="129"/>
      <c r="AL158" s="129"/>
      <c r="AM158" s="129"/>
      <c r="AN158" s="129"/>
      <c r="AO158" s="129"/>
      <c r="AP158" s="129"/>
      <c r="AQ158" s="129"/>
    </row>
    <row r="159" spans="1:43" ht="12.75" customHeight="1">
      <c r="A159" s="129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129"/>
      <c r="Y159" s="129"/>
      <c r="Z159" s="129"/>
      <c r="AA159" s="129"/>
      <c r="AB159" s="129"/>
      <c r="AC159" s="129"/>
      <c r="AD159" s="129"/>
      <c r="AE159" s="129"/>
      <c r="AF159" s="129"/>
      <c r="AG159" s="129"/>
      <c r="AH159" s="129"/>
      <c r="AI159" s="129"/>
      <c r="AJ159" s="129"/>
      <c r="AK159" s="129"/>
      <c r="AL159" s="129"/>
      <c r="AM159" s="129"/>
      <c r="AN159" s="129"/>
      <c r="AO159" s="129"/>
      <c r="AP159" s="129"/>
      <c r="AQ159" s="129"/>
    </row>
    <row r="160" spans="1:43" ht="12.75" customHeight="1">
      <c r="A160" s="129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129"/>
      <c r="Y160" s="129"/>
      <c r="Z160" s="129"/>
      <c r="AA160" s="129"/>
      <c r="AB160" s="129"/>
      <c r="AC160" s="129"/>
      <c r="AD160" s="129"/>
      <c r="AE160" s="129"/>
      <c r="AF160" s="129"/>
      <c r="AG160" s="129"/>
      <c r="AH160" s="129"/>
      <c r="AI160" s="129"/>
      <c r="AJ160" s="129"/>
      <c r="AK160" s="129"/>
      <c r="AL160" s="129"/>
      <c r="AM160" s="129"/>
      <c r="AN160" s="129"/>
      <c r="AO160" s="129"/>
      <c r="AP160" s="129"/>
      <c r="AQ160" s="129"/>
    </row>
    <row r="161" spans="1:43" ht="12.75" customHeight="1">
      <c r="A161" s="129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129"/>
      <c r="Y161" s="129"/>
      <c r="Z161" s="129"/>
      <c r="AA161" s="129"/>
      <c r="AB161" s="129"/>
      <c r="AC161" s="129"/>
      <c r="AD161" s="129"/>
      <c r="AE161" s="129"/>
      <c r="AF161" s="129"/>
      <c r="AG161" s="129"/>
      <c r="AH161" s="129"/>
      <c r="AI161" s="129"/>
      <c r="AJ161" s="129"/>
      <c r="AK161" s="129"/>
      <c r="AL161" s="129"/>
      <c r="AM161" s="129"/>
      <c r="AN161" s="129"/>
      <c r="AO161" s="129"/>
      <c r="AP161" s="129"/>
      <c r="AQ161" s="129"/>
    </row>
    <row r="162" spans="1:43" ht="12.75" customHeight="1">
      <c r="A162" s="129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129"/>
      <c r="Y162" s="129"/>
      <c r="Z162" s="129"/>
      <c r="AA162" s="129"/>
      <c r="AB162" s="129"/>
      <c r="AC162" s="129"/>
      <c r="AD162" s="129"/>
      <c r="AE162" s="129"/>
      <c r="AF162" s="129"/>
      <c r="AG162" s="129"/>
      <c r="AH162" s="129"/>
      <c r="AI162" s="129"/>
      <c r="AJ162" s="129"/>
      <c r="AK162" s="129"/>
      <c r="AL162" s="129"/>
      <c r="AM162" s="129"/>
      <c r="AN162" s="129"/>
      <c r="AO162" s="129"/>
      <c r="AP162" s="129"/>
      <c r="AQ162" s="129"/>
    </row>
    <row r="163" spans="1:43" ht="12.75" customHeight="1">
      <c r="A163" s="129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129"/>
      <c r="Y163" s="129"/>
      <c r="Z163" s="129"/>
      <c r="AA163" s="129"/>
      <c r="AB163" s="129"/>
      <c r="AC163" s="129"/>
      <c r="AD163" s="129"/>
      <c r="AE163" s="129"/>
      <c r="AF163" s="129"/>
      <c r="AG163" s="129"/>
      <c r="AH163" s="129"/>
      <c r="AI163" s="129"/>
      <c r="AJ163" s="129"/>
      <c r="AK163" s="129"/>
      <c r="AL163" s="129"/>
      <c r="AM163" s="129"/>
      <c r="AN163" s="129"/>
      <c r="AO163" s="129"/>
      <c r="AP163" s="129"/>
      <c r="AQ163" s="129"/>
    </row>
    <row r="164" spans="1:43" ht="12.75" customHeight="1">
      <c r="A164" s="129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129"/>
      <c r="Y164" s="129"/>
      <c r="Z164" s="129"/>
      <c r="AA164" s="129"/>
      <c r="AB164" s="129"/>
      <c r="AC164" s="129"/>
      <c r="AD164" s="129"/>
      <c r="AE164" s="129"/>
      <c r="AF164" s="129"/>
      <c r="AG164" s="129"/>
      <c r="AH164" s="129"/>
      <c r="AI164" s="129"/>
      <c r="AJ164" s="129"/>
      <c r="AK164" s="129"/>
      <c r="AL164" s="129"/>
      <c r="AM164" s="129"/>
      <c r="AN164" s="129"/>
      <c r="AO164" s="129"/>
      <c r="AP164" s="129"/>
      <c r="AQ164" s="129"/>
    </row>
    <row r="165" spans="1:43" ht="12.75" customHeight="1">
      <c r="A165" s="129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129"/>
      <c r="Y165" s="129"/>
      <c r="Z165" s="129"/>
      <c r="AA165" s="129"/>
      <c r="AB165" s="129"/>
      <c r="AC165" s="129"/>
      <c r="AD165" s="129"/>
      <c r="AE165" s="129"/>
      <c r="AF165" s="129"/>
      <c r="AG165" s="129"/>
      <c r="AH165" s="129"/>
      <c r="AI165" s="129"/>
      <c r="AJ165" s="129"/>
      <c r="AK165" s="129"/>
      <c r="AL165" s="129"/>
      <c r="AM165" s="129"/>
      <c r="AN165" s="129"/>
      <c r="AO165" s="129"/>
      <c r="AP165" s="129"/>
      <c r="AQ165" s="129"/>
    </row>
    <row r="166" spans="1:43" ht="12.75" customHeight="1">
      <c r="A166" s="129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129"/>
      <c r="Y166" s="129"/>
      <c r="Z166" s="129"/>
      <c r="AA166" s="129"/>
      <c r="AB166" s="129"/>
      <c r="AC166" s="129"/>
      <c r="AD166" s="129"/>
      <c r="AE166" s="129"/>
      <c r="AF166" s="129"/>
      <c r="AG166" s="129"/>
      <c r="AH166" s="129"/>
      <c r="AI166" s="129"/>
      <c r="AJ166" s="129"/>
      <c r="AK166" s="129"/>
      <c r="AL166" s="129"/>
      <c r="AM166" s="129"/>
      <c r="AN166" s="129"/>
      <c r="AO166" s="129"/>
      <c r="AP166" s="129"/>
      <c r="AQ166" s="129"/>
    </row>
    <row r="167" spans="1:43" ht="12.75" customHeight="1">
      <c r="A167" s="129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129"/>
      <c r="Y167" s="129"/>
      <c r="Z167" s="129"/>
      <c r="AA167" s="129"/>
      <c r="AB167" s="129"/>
      <c r="AC167" s="129"/>
      <c r="AD167" s="129"/>
      <c r="AE167" s="129"/>
      <c r="AF167" s="129"/>
      <c r="AG167" s="129"/>
      <c r="AH167" s="129"/>
      <c r="AI167" s="129"/>
      <c r="AJ167" s="129"/>
      <c r="AK167" s="129"/>
      <c r="AL167" s="129"/>
      <c r="AM167" s="129"/>
      <c r="AN167" s="129"/>
      <c r="AO167" s="129"/>
      <c r="AP167" s="129"/>
      <c r="AQ167" s="129"/>
    </row>
    <row r="168" spans="1:43" ht="12.75" customHeight="1">
      <c r="A168" s="129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129"/>
      <c r="Y168" s="129"/>
      <c r="Z168" s="129"/>
      <c r="AA168" s="129"/>
      <c r="AB168" s="129"/>
      <c r="AC168" s="129"/>
      <c r="AD168" s="129"/>
      <c r="AE168" s="129"/>
      <c r="AF168" s="129"/>
      <c r="AG168" s="129"/>
      <c r="AH168" s="129"/>
      <c r="AI168" s="129"/>
      <c r="AJ168" s="129"/>
      <c r="AK168" s="129"/>
      <c r="AL168" s="129"/>
      <c r="AM168" s="129"/>
      <c r="AN168" s="129"/>
      <c r="AO168" s="129"/>
      <c r="AP168" s="129"/>
      <c r="AQ168" s="129"/>
    </row>
    <row r="169" spans="1:43" ht="12.75" customHeight="1">
      <c r="A169" s="129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129"/>
      <c r="Y169" s="129"/>
      <c r="Z169" s="129"/>
      <c r="AA169" s="129"/>
      <c r="AB169" s="129"/>
      <c r="AC169" s="129"/>
      <c r="AD169" s="129"/>
      <c r="AE169" s="129"/>
      <c r="AF169" s="129"/>
      <c r="AG169" s="129"/>
      <c r="AH169" s="129"/>
      <c r="AI169" s="129"/>
      <c r="AJ169" s="129"/>
      <c r="AK169" s="129"/>
      <c r="AL169" s="129"/>
      <c r="AM169" s="129"/>
      <c r="AN169" s="129"/>
      <c r="AO169" s="129"/>
      <c r="AP169" s="129"/>
      <c r="AQ169" s="129"/>
    </row>
    <row r="170" spans="1:43" ht="12.75" customHeight="1">
      <c r="A170" s="129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129"/>
      <c r="Y170" s="129"/>
      <c r="Z170" s="129"/>
      <c r="AA170" s="129"/>
      <c r="AB170" s="129"/>
      <c r="AC170" s="129"/>
      <c r="AD170" s="129"/>
      <c r="AE170" s="129"/>
      <c r="AF170" s="129"/>
      <c r="AG170" s="129"/>
      <c r="AH170" s="129"/>
      <c r="AI170" s="129"/>
      <c r="AJ170" s="129"/>
      <c r="AK170" s="129"/>
      <c r="AL170" s="129"/>
      <c r="AM170" s="129"/>
      <c r="AN170" s="129"/>
      <c r="AO170" s="129"/>
      <c r="AP170" s="129"/>
      <c r="AQ170" s="129"/>
    </row>
    <row r="171" spans="1:43" ht="12.75" customHeight="1">
      <c r="A171" s="129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129"/>
      <c r="Y171" s="129"/>
      <c r="Z171" s="129"/>
      <c r="AA171" s="129"/>
      <c r="AB171" s="129"/>
      <c r="AC171" s="129"/>
      <c r="AD171" s="129"/>
      <c r="AE171" s="129"/>
      <c r="AF171" s="129"/>
      <c r="AG171" s="129"/>
      <c r="AH171" s="129"/>
      <c r="AI171" s="129"/>
      <c r="AJ171" s="129"/>
      <c r="AK171" s="129"/>
      <c r="AL171" s="129"/>
      <c r="AM171" s="129"/>
      <c r="AN171" s="129"/>
      <c r="AO171" s="129"/>
      <c r="AP171" s="129"/>
      <c r="AQ171" s="129"/>
    </row>
    <row r="172" spans="1:43" ht="12.75" customHeight="1">
      <c r="A172" s="129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129"/>
      <c r="Y172" s="129"/>
      <c r="Z172" s="129"/>
      <c r="AA172" s="129"/>
      <c r="AB172" s="129"/>
      <c r="AC172" s="129"/>
      <c r="AD172" s="129"/>
      <c r="AE172" s="129"/>
      <c r="AF172" s="129"/>
      <c r="AG172" s="129"/>
      <c r="AH172" s="129"/>
      <c r="AI172" s="129"/>
      <c r="AJ172" s="129"/>
      <c r="AK172" s="129"/>
      <c r="AL172" s="129"/>
      <c r="AM172" s="129"/>
      <c r="AN172" s="129"/>
      <c r="AO172" s="129"/>
      <c r="AP172" s="129"/>
      <c r="AQ172" s="129"/>
    </row>
    <row r="173" spans="1:43" ht="12.75" customHeight="1">
      <c r="A173" s="129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129"/>
      <c r="Y173" s="129"/>
      <c r="Z173" s="129"/>
      <c r="AA173" s="129"/>
      <c r="AB173" s="129"/>
      <c r="AC173" s="129"/>
      <c r="AD173" s="129"/>
      <c r="AE173" s="129"/>
      <c r="AF173" s="129"/>
      <c r="AG173" s="129"/>
      <c r="AH173" s="129"/>
      <c r="AI173" s="129"/>
      <c r="AJ173" s="129"/>
      <c r="AK173" s="129"/>
      <c r="AL173" s="129"/>
      <c r="AM173" s="129"/>
      <c r="AN173" s="129"/>
      <c r="AO173" s="129"/>
      <c r="AP173" s="129"/>
      <c r="AQ173" s="129"/>
    </row>
    <row r="174" spans="1:43" ht="12.75" customHeight="1">
      <c r="A174" s="129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129"/>
      <c r="Y174" s="129"/>
      <c r="Z174" s="129"/>
      <c r="AA174" s="129"/>
      <c r="AB174" s="129"/>
      <c r="AC174" s="129"/>
      <c r="AD174" s="129"/>
      <c r="AE174" s="129"/>
      <c r="AF174" s="129"/>
      <c r="AG174" s="129"/>
      <c r="AH174" s="129"/>
      <c r="AI174" s="129"/>
      <c r="AJ174" s="129"/>
      <c r="AK174" s="129"/>
      <c r="AL174" s="129"/>
      <c r="AM174" s="129"/>
      <c r="AN174" s="129"/>
      <c r="AO174" s="129"/>
      <c r="AP174" s="129"/>
      <c r="AQ174" s="129"/>
    </row>
    <row r="175" spans="1:43" ht="12.75" customHeight="1">
      <c r="A175" s="129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129"/>
      <c r="Y175" s="129"/>
      <c r="Z175" s="129"/>
      <c r="AA175" s="129"/>
      <c r="AB175" s="129"/>
      <c r="AC175" s="129"/>
      <c r="AD175" s="129"/>
      <c r="AE175" s="129"/>
      <c r="AF175" s="129"/>
      <c r="AG175" s="129"/>
      <c r="AH175" s="129"/>
      <c r="AI175" s="129"/>
      <c r="AJ175" s="129"/>
      <c r="AK175" s="129"/>
      <c r="AL175" s="129"/>
      <c r="AM175" s="129"/>
      <c r="AN175" s="129"/>
      <c r="AO175" s="129"/>
      <c r="AP175" s="129"/>
      <c r="AQ175" s="129"/>
    </row>
    <row r="176" spans="1:43" ht="12.75" customHeight="1">
      <c r="A176" s="129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129"/>
      <c r="Y176" s="129"/>
      <c r="Z176" s="129"/>
      <c r="AA176" s="129"/>
      <c r="AB176" s="129"/>
      <c r="AC176" s="129"/>
      <c r="AD176" s="129"/>
      <c r="AE176" s="129"/>
      <c r="AF176" s="129"/>
      <c r="AG176" s="129"/>
      <c r="AH176" s="129"/>
      <c r="AI176" s="129"/>
      <c r="AJ176" s="129"/>
      <c r="AK176" s="129"/>
      <c r="AL176" s="129"/>
      <c r="AM176" s="129"/>
      <c r="AN176" s="129"/>
      <c r="AO176" s="129"/>
      <c r="AP176" s="129"/>
      <c r="AQ176" s="129"/>
    </row>
    <row r="177" spans="1:43" ht="12.75" customHeight="1">
      <c r="A177" s="129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129"/>
      <c r="Y177" s="129"/>
      <c r="Z177" s="129"/>
      <c r="AA177" s="129"/>
      <c r="AB177" s="129"/>
      <c r="AC177" s="129"/>
      <c r="AD177" s="129"/>
      <c r="AE177" s="129"/>
      <c r="AF177" s="129"/>
      <c r="AG177" s="129"/>
      <c r="AH177" s="129"/>
      <c r="AI177" s="129"/>
      <c r="AJ177" s="129"/>
      <c r="AK177" s="129"/>
      <c r="AL177" s="129"/>
      <c r="AM177" s="129"/>
      <c r="AN177" s="129"/>
      <c r="AO177" s="129"/>
      <c r="AP177" s="129"/>
      <c r="AQ177" s="129"/>
    </row>
    <row r="178" spans="1:43" ht="12.75" customHeight="1">
      <c r="A178" s="129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129"/>
      <c r="Y178" s="129"/>
      <c r="Z178" s="129"/>
      <c r="AA178" s="129"/>
      <c r="AB178" s="129"/>
      <c r="AC178" s="129"/>
      <c r="AD178" s="129"/>
      <c r="AE178" s="129"/>
      <c r="AF178" s="129"/>
      <c r="AG178" s="129"/>
      <c r="AH178" s="129"/>
      <c r="AI178" s="129"/>
      <c r="AJ178" s="129"/>
      <c r="AK178" s="129"/>
      <c r="AL178" s="129"/>
      <c r="AM178" s="129"/>
      <c r="AN178" s="129"/>
      <c r="AO178" s="129"/>
      <c r="AP178" s="129"/>
      <c r="AQ178" s="129"/>
    </row>
    <row r="179" spans="1:43" ht="12.75" customHeight="1">
      <c r="A179" s="129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129"/>
      <c r="Y179" s="129"/>
      <c r="Z179" s="129"/>
      <c r="AA179" s="129"/>
      <c r="AB179" s="129"/>
      <c r="AC179" s="129"/>
      <c r="AD179" s="129"/>
      <c r="AE179" s="129"/>
      <c r="AF179" s="129"/>
      <c r="AG179" s="129"/>
      <c r="AH179" s="129"/>
      <c r="AI179" s="129"/>
      <c r="AJ179" s="129"/>
      <c r="AK179" s="129"/>
      <c r="AL179" s="129"/>
      <c r="AM179" s="129"/>
      <c r="AN179" s="129"/>
      <c r="AO179" s="129"/>
      <c r="AP179" s="129"/>
      <c r="AQ179" s="129"/>
    </row>
    <row r="180" spans="1:43" ht="12.75" customHeight="1">
      <c r="A180" s="129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129"/>
      <c r="Y180" s="129"/>
      <c r="Z180" s="129"/>
      <c r="AA180" s="129"/>
      <c r="AB180" s="129"/>
      <c r="AC180" s="129"/>
      <c r="AD180" s="129"/>
      <c r="AE180" s="129"/>
      <c r="AF180" s="129"/>
      <c r="AG180" s="129"/>
      <c r="AH180" s="129"/>
      <c r="AI180" s="129"/>
      <c r="AJ180" s="129"/>
      <c r="AK180" s="129"/>
      <c r="AL180" s="129"/>
      <c r="AM180" s="129"/>
      <c r="AN180" s="129"/>
      <c r="AO180" s="129"/>
      <c r="AP180" s="129"/>
      <c r="AQ180" s="129"/>
    </row>
    <row r="181" spans="1:43" ht="12.75" customHeight="1">
      <c r="A181" s="129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129"/>
      <c r="Y181" s="129"/>
      <c r="Z181" s="129"/>
      <c r="AA181" s="129"/>
      <c r="AB181" s="129"/>
      <c r="AC181" s="129"/>
      <c r="AD181" s="129"/>
      <c r="AE181" s="129"/>
      <c r="AF181" s="129"/>
      <c r="AG181" s="129"/>
      <c r="AH181" s="129"/>
      <c r="AI181" s="129"/>
      <c r="AJ181" s="129"/>
      <c r="AK181" s="129"/>
      <c r="AL181" s="129"/>
      <c r="AM181" s="129"/>
      <c r="AN181" s="129"/>
      <c r="AO181" s="129"/>
      <c r="AP181" s="129"/>
      <c r="AQ181" s="129"/>
    </row>
    <row r="182" spans="1:43" ht="12.75" customHeight="1">
      <c r="A182" s="129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129"/>
      <c r="Y182" s="129"/>
      <c r="Z182" s="129"/>
      <c r="AA182" s="129"/>
      <c r="AB182" s="129"/>
      <c r="AC182" s="129"/>
      <c r="AD182" s="129"/>
      <c r="AE182" s="129"/>
      <c r="AF182" s="129"/>
      <c r="AG182" s="129"/>
      <c r="AH182" s="129"/>
      <c r="AI182" s="129"/>
      <c r="AJ182" s="129"/>
      <c r="AK182" s="129"/>
      <c r="AL182" s="129"/>
      <c r="AM182" s="129"/>
      <c r="AN182" s="129"/>
      <c r="AO182" s="129"/>
      <c r="AP182" s="129"/>
      <c r="AQ182" s="129"/>
    </row>
    <row r="183" spans="1:43" ht="12.75" customHeight="1">
      <c r="A183" s="129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129"/>
      <c r="Y183" s="129"/>
      <c r="Z183" s="129"/>
      <c r="AA183" s="129"/>
      <c r="AB183" s="129"/>
      <c r="AC183" s="129"/>
      <c r="AD183" s="129"/>
      <c r="AE183" s="129"/>
      <c r="AF183" s="129"/>
      <c r="AG183" s="129"/>
      <c r="AH183" s="129"/>
      <c r="AI183" s="129"/>
      <c r="AJ183" s="129"/>
      <c r="AK183" s="129"/>
      <c r="AL183" s="129"/>
      <c r="AM183" s="129"/>
      <c r="AN183" s="129"/>
      <c r="AO183" s="129"/>
      <c r="AP183" s="129"/>
      <c r="AQ183" s="129"/>
    </row>
    <row r="184" spans="1:43" ht="12.75" customHeight="1">
      <c r="A184" s="129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129"/>
      <c r="Y184" s="129"/>
      <c r="Z184" s="129"/>
      <c r="AA184" s="129"/>
      <c r="AB184" s="129"/>
      <c r="AC184" s="129"/>
      <c r="AD184" s="129"/>
      <c r="AE184" s="129"/>
      <c r="AF184" s="129"/>
      <c r="AG184" s="129"/>
      <c r="AH184" s="129"/>
      <c r="AI184" s="129"/>
      <c r="AJ184" s="129"/>
      <c r="AK184" s="129"/>
      <c r="AL184" s="129"/>
      <c r="AM184" s="129"/>
      <c r="AN184" s="129"/>
      <c r="AO184" s="129"/>
      <c r="AP184" s="129"/>
      <c r="AQ184" s="129"/>
    </row>
    <row r="185" spans="1:43" ht="12.75" customHeight="1">
      <c r="A185" s="129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129"/>
      <c r="Y185" s="129"/>
      <c r="Z185" s="129"/>
      <c r="AA185" s="129"/>
      <c r="AB185" s="129"/>
      <c r="AC185" s="129"/>
      <c r="AD185" s="129"/>
      <c r="AE185" s="129"/>
      <c r="AF185" s="129"/>
      <c r="AG185" s="129"/>
      <c r="AH185" s="129"/>
      <c r="AI185" s="129"/>
      <c r="AJ185" s="129"/>
      <c r="AK185" s="129"/>
      <c r="AL185" s="129"/>
      <c r="AM185" s="129"/>
      <c r="AN185" s="129"/>
      <c r="AO185" s="129"/>
      <c r="AP185" s="129"/>
      <c r="AQ185" s="129"/>
    </row>
    <row r="186" spans="1:43" ht="12.75" customHeight="1">
      <c r="A186" s="129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129"/>
      <c r="Y186" s="129"/>
      <c r="Z186" s="129"/>
      <c r="AA186" s="129"/>
      <c r="AB186" s="129"/>
      <c r="AC186" s="129"/>
      <c r="AD186" s="129"/>
      <c r="AE186" s="129"/>
      <c r="AF186" s="129"/>
      <c r="AG186" s="129"/>
      <c r="AH186" s="129"/>
      <c r="AI186" s="129"/>
      <c r="AJ186" s="129"/>
      <c r="AK186" s="129"/>
      <c r="AL186" s="129"/>
      <c r="AM186" s="129"/>
      <c r="AN186" s="129"/>
      <c r="AO186" s="129"/>
      <c r="AP186" s="129"/>
      <c r="AQ186" s="129"/>
    </row>
    <row r="187" spans="1:43" ht="12.75" customHeight="1">
      <c r="A187" s="129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129"/>
      <c r="Y187" s="129"/>
      <c r="Z187" s="129"/>
      <c r="AA187" s="129"/>
      <c r="AB187" s="129"/>
      <c r="AC187" s="129"/>
      <c r="AD187" s="129"/>
      <c r="AE187" s="129"/>
      <c r="AF187" s="129"/>
      <c r="AG187" s="129"/>
      <c r="AH187" s="129"/>
      <c r="AI187" s="129"/>
      <c r="AJ187" s="129"/>
      <c r="AK187" s="129"/>
      <c r="AL187" s="129"/>
      <c r="AM187" s="129"/>
      <c r="AN187" s="129"/>
      <c r="AO187" s="129"/>
      <c r="AP187" s="129"/>
      <c r="AQ187" s="129"/>
    </row>
    <row r="188" spans="1:43" ht="12.75" customHeight="1">
      <c r="A188" s="129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129"/>
      <c r="Y188" s="129"/>
      <c r="Z188" s="129"/>
      <c r="AA188" s="129"/>
      <c r="AB188" s="129"/>
      <c r="AC188" s="129"/>
      <c r="AD188" s="129"/>
      <c r="AE188" s="129"/>
      <c r="AF188" s="129"/>
      <c r="AG188" s="129"/>
      <c r="AH188" s="129"/>
      <c r="AI188" s="129"/>
      <c r="AJ188" s="129"/>
      <c r="AK188" s="129"/>
      <c r="AL188" s="129"/>
      <c r="AM188" s="129"/>
      <c r="AN188" s="129"/>
      <c r="AO188" s="129"/>
      <c r="AP188" s="129"/>
      <c r="AQ188" s="129"/>
    </row>
    <row r="189" spans="1:43" ht="12.75" customHeight="1">
      <c r="A189" s="129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129"/>
      <c r="Y189" s="129"/>
      <c r="Z189" s="129"/>
      <c r="AA189" s="129"/>
      <c r="AB189" s="129"/>
      <c r="AC189" s="129"/>
      <c r="AD189" s="129"/>
      <c r="AE189" s="129"/>
      <c r="AF189" s="129"/>
      <c r="AG189" s="129"/>
      <c r="AH189" s="129"/>
      <c r="AI189" s="129"/>
      <c r="AJ189" s="129"/>
      <c r="AK189" s="129"/>
      <c r="AL189" s="129"/>
      <c r="AM189" s="129"/>
      <c r="AN189" s="129"/>
      <c r="AO189" s="129"/>
      <c r="AP189" s="129"/>
      <c r="AQ189" s="129"/>
    </row>
    <row r="190" spans="1:43" ht="12.75" customHeight="1">
      <c r="A190" s="129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129"/>
      <c r="Y190" s="129"/>
      <c r="Z190" s="129"/>
      <c r="AA190" s="129"/>
      <c r="AB190" s="129"/>
      <c r="AC190" s="129"/>
      <c r="AD190" s="129"/>
      <c r="AE190" s="129"/>
      <c r="AF190" s="129"/>
      <c r="AG190" s="129"/>
      <c r="AH190" s="129"/>
      <c r="AI190" s="129"/>
      <c r="AJ190" s="129"/>
      <c r="AK190" s="129"/>
      <c r="AL190" s="129"/>
      <c r="AM190" s="129"/>
      <c r="AN190" s="129"/>
      <c r="AO190" s="129"/>
      <c r="AP190" s="129"/>
      <c r="AQ190" s="129"/>
    </row>
    <row r="191" spans="1:43" ht="12.75" customHeight="1">
      <c r="A191" s="129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129"/>
      <c r="Y191" s="129"/>
      <c r="Z191" s="129"/>
      <c r="AA191" s="129"/>
      <c r="AB191" s="129"/>
      <c r="AC191" s="129"/>
      <c r="AD191" s="129"/>
      <c r="AE191" s="129"/>
      <c r="AF191" s="129"/>
      <c r="AG191" s="129"/>
      <c r="AH191" s="129"/>
      <c r="AI191" s="129"/>
      <c r="AJ191" s="129"/>
      <c r="AK191" s="129"/>
      <c r="AL191" s="129"/>
      <c r="AM191" s="129"/>
      <c r="AN191" s="129"/>
      <c r="AO191" s="129"/>
      <c r="AP191" s="129"/>
      <c r="AQ191" s="129"/>
    </row>
    <row r="192" spans="1:43" ht="12.75" customHeight="1">
      <c r="A192" s="129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129"/>
      <c r="Y192" s="129"/>
      <c r="Z192" s="129"/>
      <c r="AA192" s="129"/>
      <c r="AB192" s="129"/>
      <c r="AC192" s="129"/>
      <c r="AD192" s="129"/>
      <c r="AE192" s="129"/>
      <c r="AF192" s="129"/>
      <c r="AG192" s="129"/>
      <c r="AH192" s="129"/>
      <c r="AI192" s="129"/>
      <c r="AJ192" s="129"/>
      <c r="AK192" s="129"/>
      <c r="AL192" s="129"/>
      <c r="AM192" s="129"/>
      <c r="AN192" s="129"/>
      <c r="AO192" s="129"/>
      <c r="AP192" s="129"/>
      <c r="AQ192" s="129"/>
    </row>
    <row r="193" spans="1:43" ht="12.75" customHeight="1">
      <c r="A193" s="129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129"/>
      <c r="Y193" s="129"/>
      <c r="Z193" s="129"/>
      <c r="AA193" s="129"/>
      <c r="AB193" s="129"/>
      <c r="AC193" s="129"/>
      <c r="AD193" s="129"/>
      <c r="AE193" s="129"/>
      <c r="AF193" s="129"/>
      <c r="AG193" s="129"/>
      <c r="AH193" s="129"/>
      <c r="AI193" s="129"/>
      <c r="AJ193" s="129"/>
      <c r="AK193" s="129"/>
      <c r="AL193" s="129"/>
      <c r="AM193" s="129"/>
      <c r="AN193" s="129"/>
      <c r="AO193" s="129"/>
      <c r="AP193" s="129"/>
      <c r="AQ193" s="129"/>
    </row>
    <row r="194" spans="1:43" ht="12.75" customHeight="1">
      <c r="A194" s="129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129"/>
      <c r="Y194" s="129"/>
      <c r="Z194" s="129"/>
      <c r="AA194" s="129"/>
      <c r="AB194" s="129"/>
      <c r="AC194" s="129"/>
      <c r="AD194" s="129"/>
      <c r="AE194" s="129"/>
      <c r="AF194" s="129"/>
      <c r="AG194" s="129"/>
      <c r="AH194" s="129"/>
      <c r="AI194" s="129"/>
      <c r="AJ194" s="129"/>
      <c r="AK194" s="129"/>
      <c r="AL194" s="129"/>
      <c r="AM194" s="129"/>
      <c r="AN194" s="129"/>
      <c r="AO194" s="129"/>
      <c r="AP194" s="129"/>
      <c r="AQ194" s="129"/>
    </row>
    <row r="195" spans="1:43" ht="12.75" customHeight="1">
      <c r="A195" s="129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129"/>
      <c r="Y195" s="129"/>
      <c r="Z195" s="129"/>
      <c r="AA195" s="129"/>
      <c r="AB195" s="129"/>
      <c r="AC195" s="129"/>
      <c r="AD195" s="129"/>
      <c r="AE195" s="129"/>
      <c r="AF195" s="129"/>
      <c r="AG195" s="129"/>
      <c r="AH195" s="129"/>
      <c r="AI195" s="129"/>
      <c r="AJ195" s="129"/>
      <c r="AK195" s="129"/>
      <c r="AL195" s="129"/>
      <c r="AM195" s="129"/>
      <c r="AN195" s="129"/>
      <c r="AO195" s="129"/>
      <c r="AP195" s="129"/>
      <c r="AQ195" s="129"/>
    </row>
    <row r="196" spans="1:43" ht="12.75" customHeight="1">
      <c r="A196" s="129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129"/>
      <c r="Y196" s="129"/>
      <c r="Z196" s="129"/>
      <c r="AA196" s="129"/>
      <c r="AB196" s="129"/>
      <c r="AC196" s="129"/>
      <c r="AD196" s="129"/>
      <c r="AE196" s="129"/>
      <c r="AF196" s="129"/>
      <c r="AG196" s="129"/>
      <c r="AH196" s="129"/>
      <c r="AI196" s="129"/>
      <c r="AJ196" s="129"/>
      <c r="AK196" s="129"/>
      <c r="AL196" s="129"/>
      <c r="AM196" s="129"/>
      <c r="AN196" s="129"/>
      <c r="AO196" s="129"/>
      <c r="AP196" s="129"/>
      <c r="AQ196" s="129"/>
    </row>
    <row r="197" spans="1:43" ht="12.75" customHeight="1">
      <c r="A197" s="129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129"/>
      <c r="Y197" s="129"/>
      <c r="Z197" s="129"/>
      <c r="AA197" s="129"/>
      <c r="AB197" s="129"/>
      <c r="AC197" s="129"/>
      <c r="AD197" s="129"/>
      <c r="AE197" s="129"/>
      <c r="AF197" s="129"/>
      <c r="AG197" s="129"/>
      <c r="AH197" s="129"/>
      <c r="AI197" s="129"/>
      <c r="AJ197" s="129"/>
      <c r="AK197" s="129"/>
      <c r="AL197" s="129"/>
      <c r="AM197" s="129"/>
      <c r="AN197" s="129"/>
      <c r="AO197" s="129"/>
      <c r="AP197" s="129"/>
      <c r="AQ197" s="129"/>
    </row>
    <row r="198" spans="1:43" ht="12.75" customHeight="1">
      <c r="A198" s="129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129"/>
      <c r="Y198" s="129"/>
      <c r="Z198" s="129"/>
      <c r="AA198" s="129"/>
      <c r="AB198" s="129"/>
      <c r="AC198" s="129"/>
      <c r="AD198" s="129"/>
      <c r="AE198" s="129"/>
      <c r="AF198" s="129"/>
      <c r="AG198" s="129"/>
      <c r="AH198" s="129"/>
      <c r="AI198" s="129"/>
      <c r="AJ198" s="129"/>
      <c r="AK198" s="129"/>
      <c r="AL198" s="129"/>
      <c r="AM198" s="129"/>
      <c r="AN198" s="129"/>
      <c r="AO198" s="129"/>
      <c r="AP198" s="129"/>
      <c r="AQ198" s="129"/>
    </row>
    <row r="199" spans="1:43" ht="12.75" customHeight="1">
      <c r="A199" s="129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129"/>
      <c r="Y199" s="129"/>
      <c r="Z199" s="129"/>
      <c r="AA199" s="129"/>
      <c r="AB199" s="129"/>
      <c r="AC199" s="129"/>
      <c r="AD199" s="129"/>
      <c r="AE199" s="129"/>
      <c r="AF199" s="129"/>
      <c r="AG199" s="129"/>
      <c r="AH199" s="129"/>
      <c r="AI199" s="129"/>
      <c r="AJ199" s="129"/>
      <c r="AK199" s="129"/>
      <c r="AL199" s="129"/>
      <c r="AM199" s="129"/>
      <c r="AN199" s="129"/>
      <c r="AO199" s="129"/>
      <c r="AP199" s="129"/>
      <c r="AQ199" s="129"/>
    </row>
    <row r="200" spans="1:43" ht="12.75" customHeight="1">
      <c r="A200" s="129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129"/>
      <c r="Y200" s="129"/>
      <c r="Z200" s="129"/>
      <c r="AA200" s="129"/>
      <c r="AB200" s="129"/>
      <c r="AC200" s="129"/>
      <c r="AD200" s="129"/>
      <c r="AE200" s="129"/>
      <c r="AF200" s="129"/>
      <c r="AG200" s="129"/>
      <c r="AH200" s="129"/>
      <c r="AI200" s="129"/>
      <c r="AJ200" s="129"/>
      <c r="AK200" s="129"/>
      <c r="AL200" s="129"/>
      <c r="AM200" s="129"/>
      <c r="AN200" s="129"/>
      <c r="AO200" s="129"/>
      <c r="AP200" s="129"/>
      <c r="AQ200" s="129"/>
    </row>
    <row r="201" spans="1:43" ht="12.75" customHeight="1">
      <c r="A201" s="129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129"/>
      <c r="Y201" s="129"/>
      <c r="Z201" s="129"/>
      <c r="AA201" s="129"/>
      <c r="AB201" s="129"/>
      <c r="AC201" s="129"/>
      <c r="AD201" s="129"/>
      <c r="AE201" s="129"/>
      <c r="AF201" s="129"/>
      <c r="AG201" s="129"/>
      <c r="AH201" s="129"/>
      <c r="AI201" s="129"/>
      <c r="AJ201" s="129"/>
      <c r="AK201" s="129"/>
      <c r="AL201" s="129"/>
      <c r="AM201" s="129"/>
      <c r="AN201" s="129"/>
      <c r="AO201" s="129"/>
      <c r="AP201" s="129"/>
      <c r="AQ201" s="129"/>
    </row>
    <row r="202" spans="1:43" ht="12.75" customHeight="1">
      <c r="A202" s="129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129"/>
      <c r="Y202" s="129"/>
      <c r="Z202" s="129"/>
      <c r="AA202" s="129"/>
      <c r="AB202" s="129"/>
      <c r="AC202" s="129"/>
      <c r="AD202" s="129"/>
      <c r="AE202" s="129"/>
      <c r="AF202" s="129"/>
      <c r="AG202" s="129"/>
      <c r="AH202" s="129"/>
      <c r="AI202" s="129"/>
      <c r="AJ202" s="129"/>
      <c r="AK202" s="129"/>
      <c r="AL202" s="129"/>
      <c r="AM202" s="129"/>
      <c r="AN202" s="129"/>
      <c r="AO202" s="129"/>
      <c r="AP202" s="129"/>
      <c r="AQ202" s="129"/>
    </row>
    <row r="203" spans="1:43" ht="12.75" customHeight="1">
      <c r="A203" s="129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129"/>
      <c r="Y203" s="129"/>
      <c r="Z203" s="129"/>
      <c r="AA203" s="129"/>
      <c r="AB203" s="129"/>
      <c r="AC203" s="129"/>
      <c r="AD203" s="129"/>
      <c r="AE203" s="129"/>
      <c r="AF203" s="129"/>
      <c r="AG203" s="129"/>
      <c r="AH203" s="129"/>
      <c r="AI203" s="129"/>
      <c r="AJ203" s="129"/>
      <c r="AK203" s="129"/>
      <c r="AL203" s="129"/>
      <c r="AM203" s="129"/>
      <c r="AN203" s="129"/>
      <c r="AO203" s="129"/>
      <c r="AP203" s="129"/>
      <c r="AQ203" s="129"/>
    </row>
    <row r="204" spans="1:43" ht="12.75" customHeight="1">
      <c r="A204" s="129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129"/>
      <c r="Y204" s="129"/>
      <c r="Z204" s="129"/>
      <c r="AA204" s="129"/>
      <c r="AB204" s="129"/>
      <c r="AC204" s="129"/>
      <c r="AD204" s="129"/>
      <c r="AE204" s="129"/>
      <c r="AF204" s="129"/>
      <c r="AG204" s="129"/>
      <c r="AH204" s="129"/>
      <c r="AI204" s="129"/>
      <c r="AJ204" s="129"/>
      <c r="AK204" s="129"/>
      <c r="AL204" s="129"/>
      <c r="AM204" s="129"/>
      <c r="AN204" s="129"/>
      <c r="AO204" s="129"/>
      <c r="AP204" s="129"/>
      <c r="AQ204" s="129"/>
    </row>
    <row r="205" spans="1:43" ht="12.75" customHeight="1">
      <c r="A205" s="129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129"/>
      <c r="Y205" s="129"/>
      <c r="Z205" s="129"/>
      <c r="AA205" s="129"/>
      <c r="AB205" s="129"/>
      <c r="AC205" s="129"/>
      <c r="AD205" s="129"/>
      <c r="AE205" s="129"/>
      <c r="AF205" s="129"/>
      <c r="AG205" s="129"/>
      <c r="AH205" s="129"/>
      <c r="AI205" s="129"/>
      <c r="AJ205" s="129"/>
      <c r="AK205" s="129"/>
      <c r="AL205" s="129"/>
      <c r="AM205" s="129"/>
      <c r="AN205" s="129"/>
      <c r="AO205" s="129"/>
      <c r="AP205" s="129"/>
      <c r="AQ205" s="129"/>
    </row>
    <row r="206" spans="1:43" ht="12.75" customHeight="1">
      <c r="A206" s="129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129"/>
      <c r="Y206" s="129"/>
      <c r="Z206" s="129"/>
      <c r="AA206" s="129"/>
      <c r="AB206" s="129"/>
      <c r="AC206" s="129"/>
      <c r="AD206" s="129"/>
      <c r="AE206" s="129"/>
      <c r="AF206" s="129"/>
      <c r="AG206" s="129"/>
      <c r="AH206" s="129"/>
      <c r="AI206" s="129"/>
      <c r="AJ206" s="129"/>
      <c r="AK206" s="129"/>
      <c r="AL206" s="129"/>
      <c r="AM206" s="129"/>
      <c r="AN206" s="129"/>
      <c r="AO206" s="129"/>
      <c r="AP206" s="129"/>
      <c r="AQ206" s="129"/>
    </row>
    <row r="207" spans="1:43" ht="12.75" customHeight="1">
      <c r="A207" s="129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129"/>
      <c r="Y207" s="129"/>
      <c r="Z207" s="129"/>
      <c r="AA207" s="129"/>
      <c r="AB207" s="129"/>
      <c r="AC207" s="129"/>
      <c r="AD207" s="129"/>
      <c r="AE207" s="129"/>
      <c r="AF207" s="129"/>
      <c r="AG207" s="129"/>
      <c r="AH207" s="129"/>
      <c r="AI207" s="129"/>
      <c r="AJ207" s="129"/>
      <c r="AK207" s="129"/>
      <c r="AL207" s="129"/>
      <c r="AM207" s="129"/>
      <c r="AN207" s="129"/>
      <c r="AO207" s="129"/>
      <c r="AP207" s="129"/>
      <c r="AQ207" s="129"/>
    </row>
    <row r="208" spans="1:43" ht="12.75" customHeight="1">
      <c r="A208" s="129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129"/>
      <c r="Y208" s="129"/>
      <c r="Z208" s="129"/>
      <c r="AA208" s="129"/>
      <c r="AB208" s="129"/>
      <c r="AC208" s="129"/>
      <c r="AD208" s="129"/>
      <c r="AE208" s="129"/>
      <c r="AF208" s="129"/>
      <c r="AG208" s="129"/>
      <c r="AH208" s="129"/>
      <c r="AI208" s="129"/>
      <c r="AJ208" s="129"/>
      <c r="AK208" s="129"/>
      <c r="AL208" s="129"/>
      <c r="AM208" s="129"/>
      <c r="AN208" s="129"/>
      <c r="AO208" s="129"/>
      <c r="AP208" s="129"/>
      <c r="AQ208" s="129"/>
    </row>
    <row r="209" spans="1:43" ht="12.75" customHeight="1">
      <c r="A209" s="129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129"/>
      <c r="Y209" s="129"/>
      <c r="Z209" s="129"/>
      <c r="AA209" s="129"/>
      <c r="AB209" s="129"/>
      <c r="AC209" s="129"/>
      <c r="AD209" s="129"/>
      <c r="AE209" s="129"/>
      <c r="AF209" s="129"/>
      <c r="AG209" s="129"/>
      <c r="AH209" s="129"/>
      <c r="AI209" s="129"/>
      <c r="AJ209" s="129"/>
      <c r="AK209" s="129"/>
      <c r="AL209" s="129"/>
      <c r="AM209" s="129"/>
      <c r="AN209" s="129"/>
      <c r="AO209" s="129"/>
      <c r="AP209" s="129"/>
      <c r="AQ209" s="129"/>
    </row>
    <row r="210" spans="1:43" ht="12.75" customHeight="1">
      <c r="A210" s="129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129"/>
      <c r="Y210" s="129"/>
      <c r="Z210" s="129"/>
      <c r="AA210" s="129"/>
      <c r="AB210" s="129"/>
      <c r="AC210" s="129"/>
      <c r="AD210" s="129"/>
      <c r="AE210" s="129"/>
      <c r="AF210" s="129"/>
      <c r="AG210" s="129"/>
      <c r="AH210" s="129"/>
      <c r="AI210" s="129"/>
      <c r="AJ210" s="129"/>
      <c r="AK210" s="129"/>
      <c r="AL210" s="129"/>
      <c r="AM210" s="129"/>
      <c r="AN210" s="129"/>
      <c r="AO210" s="129"/>
      <c r="AP210" s="129"/>
      <c r="AQ210" s="129"/>
    </row>
    <row r="211" spans="1:43" ht="12.75" customHeight="1">
      <c r="A211" s="129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129"/>
      <c r="Y211" s="129"/>
      <c r="Z211" s="129"/>
      <c r="AA211" s="129"/>
      <c r="AB211" s="129"/>
      <c r="AC211" s="129"/>
      <c r="AD211" s="129"/>
      <c r="AE211" s="129"/>
      <c r="AF211" s="129"/>
      <c r="AG211" s="129"/>
      <c r="AH211" s="129"/>
      <c r="AI211" s="129"/>
      <c r="AJ211" s="129"/>
      <c r="AK211" s="129"/>
      <c r="AL211" s="129"/>
      <c r="AM211" s="129"/>
      <c r="AN211" s="129"/>
      <c r="AO211" s="129"/>
      <c r="AP211" s="129"/>
      <c r="AQ211" s="129"/>
    </row>
    <row r="212" spans="1:43" ht="12.75" customHeight="1">
      <c r="A212" s="129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129"/>
      <c r="Y212" s="129"/>
      <c r="Z212" s="129"/>
      <c r="AA212" s="129"/>
      <c r="AB212" s="129"/>
      <c r="AC212" s="129"/>
      <c r="AD212" s="129"/>
      <c r="AE212" s="129"/>
      <c r="AF212" s="129"/>
      <c r="AG212" s="129"/>
      <c r="AH212" s="129"/>
      <c r="AI212" s="129"/>
      <c r="AJ212" s="129"/>
      <c r="AK212" s="129"/>
      <c r="AL212" s="129"/>
      <c r="AM212" s="129"/>
      <c r="AN212" s="129"/>
      <c r="AO212" s="129"/>
      <c r="AP212" s="129"/>
      <c r="AQ212" s="129"/>
    </row>
    <row r="213" spans="1:43" ht="12.75" customHeight="1">
      <c r="A213" s="129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129"/>
      <c r="Y213" s="129"/>
      <c r="Z213" s="129"/>
      <c r="AA213" s="129"/>
      <c r="AB213" s="129"/>
      <c r="AC213" s="129"/>
      <c r="AD213" s="129"/>
      <c r="AE213" s="129"/>
      <c r="AF213" s="129"/>
      <c r="AG213" s="129"/>
      <c r="AH213" s="129"/>
      <c r="AI213" s="129"/>
      <c r="AJ213" s="129"/>
      <c r="AK213" s="129"/>
      <c r="AL213" s="129"/>
      <c r="AM213" s="129"/>
      <c r="AN213" s="129"/>
      <c r="AO213" s="129"/>
      <c r="AP213" s="129"/>
      <c r="AQ213" s="129"/>
    </row>
    <row r="214" spans="1:43" ht="12.75" customHeight="1">
      <c r="A214" s="129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129"/>
      <c r="Y214" s="129"/>
      <c r="Z214" s="129"/>
      <c r="AA214" s="129"/>
      <c r="AB214" s="129"/>
      <c r="AC214" s="129"/>
      <c r="AD214" s="129"/>
      <c r="AE214" s="129"/>
      <c r="AF214" s="129"/>
      <c r="AG214" s="129"/>
      <c r="AH214" s="129"/>
      <c r="AI214" s="129"/>
      <c r="AJ214" s="129"/>
      <c r="AK214" s="129"/>
      <c r="AL214" s="129"/>
      <c r="AM214" s="129"/>
      <c r="AN214" s="129"/>
      <c r="AO214" s="129"/>
      <c r="AP214" s="129"/>
      <c r="AQ214" s="129"/>
    </row>
    <row r="215" spans="1:43" ht="12.75" customHeight="1">
      <c r="A215" s="129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129"/>
      <c r="Y215" s="129"/>
      <c r="Z215" s="129"/>
      <c r="AA215" s="129"/>
      <c r="AB215" s="129"/>
      <c r="AC215" s="129"/>
      <c r="AD215" s="129"/>
      <c r="AE215" s="129"/>
      <c r="AF215" s="129"/>
      <c r="AG215" s="129"/>
      <c r="AH215" s="129"/>
      <c r="AI215" s="129"/>
      <c r="AJ215" s="129"/>
      <c r="AK215" s="129"/>
      <c r="AL215" s="129"/>
      <c r="AM215" s="129"/>
      <c r="AN215" s="129"/>
      <c r="AO215" s="129"/>
      <c r="AP215" s="129"/>
      <c r="AQ215" s="129"/>
    </row>
    <row r="216" spans="1:43" ht="12.75" customHeight="1">
      <c r="A216" s="129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129"/>
      <c r="Y216" s="129"/>
      <c r="Z216" s="129"/>
      <c r="AA216" s="129"/>
      <c r="AB216" s="129"/>
      <c r="AC216" s="129"/>
      <c r="AD216" s="129"/>
      <c r="AE216" s="129"/>
      <c r="AF216" s="129"/>
      <c r="AG216" s="129"/>
      <c r="AH216" s="129"/>
      <c r="AI216" s="129"/>
      <c r="AJ216" s="129"/>
      <c r="AK216" s="129"/>
      <c r="AL216" s="129"/>
      <c r="AM216" s="129"/>
      <c r="AN216" s="129"/>
      <c r="AO216" s="129"/>
      <c r="AP216" s="129"/>
      <c r="AQ216" s="129"/>
    </row>
    <row r="217" spans="1:43" ht="12.75" customHeight="1">
      <c r="A217" s="129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129"/>
      <c r="Y217" s="129"/>
      <c r="Z217" s="129"/>
      <c r="AA217" s="129"/>
      <c r="AB217" s="129"/>
      <c r="AC217" s="129"/>
      <c r="AD217" s="129"/>
      <c r="AE217" s="129"/>
      <c r="AF217" s="129"/>
      <c r="AG217" s="129"/>
      <c r="AH217" s="129"/>
      <c r="AI217" s="129"/>
      <c r="AJ217" s="129"/>
      <c r="AK217" s="129"/>
      <c r="AL217" s="129"/>
      <c r="AM217" s="129"/>
      <c r="AN217" s="129"/>
      <c r="AO217" s="129"/>
      <c r="AP217" s="129"/>
      <c r="AQ217" s="129"/>
    </row>
    <row r="218" spans="1:43" ht="12.75" customHeight="1">
      <c r="A218" s="129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129"/>
      <c r="Y218" s="129"/>
      <c r="Z218" s="129"/>
      <c r="AA218" s="129"/>
      <c r="AB218" s="129"/>
      <c r="AC218" s="129"/>
      <c r="AD218" s="129"/>
      <c r="AE218" s="129"/>
      <c r="AF218" s="129"/>
      <c r="AG218" s="129"/>
      <c r="AH218" s="129"/>
      <c r="AI218" s="129"/>
      <c r="AJ218" s="129"/>
      <c r="AK218" s="129"/>
      <c r="AL218" s="129"/>
      <c r="AM218" s="129"/>
      <c r="AN218" s="129"/>
      <c r="AO218" s="129"/>
      <c r="AP218" s="129"/>
      <c r="AQ218" s="129"/>
    </row>
    <row r="219" spans="1:43" ht="12.75" customHeight="1">
      <c r="A219" s="129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129"/>
      <c r="Y219" s="129"/>
      <c r="Z219" s="129"/>
      <c r="AA219" s="129"/>
      <c r="AB219" s="129"/>
      <c r="AC219" s="129"/>
      <c r="AD219" s="129"/>
      <c r="AE219" s="129"/>
      <c r="AF219" s="129"/>
      <c r="AG219" s="129"/>
      <c r="AH219" s="129"/>
      <c r="AI219" s="129"/>
      <c r="AJ219" s="129"/>
      <c r="AK219" s="129"/>
      <c r="AL219" s="129"/>
      <c r="AM219" s="129"/>
      <c r="AN219" s="129"/>
      <c r="AO219" s="129"/>
      <c r="AP219" s="129"/>
      <c r="AQ219" s="129"/>
    </row>
    <row r="220" spans="1:43" ht="12.75" customHeight="1">
      <c r="A220" s="129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129"/>
      <c r="Y220" s="129"/>
      <c r="Z220" s="129"/>
      <c r="AA220" s="129"/>
      <c r="AB220" s="129"/>
      <c r="AC220" s="129"/>
      <c r="AD220" s="129"/>
      <c r="AE220" s="129"/>
      <c r="AF220" s="129"/>
      <c r="AG220" s="129"/>
      <c r="AH220" s="129"/>
      <c r="AI220" s="129"/>
      <c r="AJ220" s="129"/>
      <c r="AK220" s="129"/>
      <c r="AL220" s="129"/>
      <c r="AM220" s="129"/>
      <c r="AN220" s="129"/>
      <c r="AO220" s="129"/>
      <c r="AP220" s="129"/>
      <c r="AQ220" s="129"/>
    </row>
    <row r="221" spans="1:43" ht="12.75" customHeight="1">
      <c r="A221" s="129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129"/>
      <c r="Y221" s="129"/>
      <c r="Z221" s="129"/>
      <c r="AA221" s="129"/>
      <c r="AB221" s="129"/>
      <c r="AC221" s="129"/>
      <c r="AD221" s="129"/>
      <c r="AE221" s="129"/>
      <c r="AF221" s="129"/>
      <c r="AG221" s="129"/>
      <c r="AH221" s="129"/>
      <c r="AI221" s="129"/>
      <c r="AJ221" s="129"/>
      <c r="AK221" s="129"/>
      <c r="AL221" s="129"/>
      <c r="AM221" s="129"/>
      <c r="AN221" s="129"/>
      <c r="AO221" s="129"/>
      <c r="AP221" s="129"/>
      <c r="AQ221" s="129"/>
    </row>
    <row r="222" spans="1:43" ht="12.75" customHeight="1">
      <c r="A222" s="129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129"/>
      <c r="Y222" s="129"/>
      <c r="Z222" s="129"/>
      <c r="AA222" s="129"/>
      <c r="AB222" s="129"/>
      <c r="AC222" s="129"/>
      <c r="AD222" s="129"/>
      <c r="AE222" s="129"/>
      <c r="AF222" s="129"/>
      <c r="AG222" s="129"/>
      <c r="AH222" s="129"/>
      <c r="AI222" s="129"/>
      <c r="AJ222" s="129"/>
      <c r="AK222" s="129"/>
      <c r="AL222" s="129"/>
      <c r="AM222" s="129"/>
      <c r="AN222" s="129"/>
      <c r="AO222" s="129"/>
      <c r="AP222" s="129"/>
      <c r="AQ222" s="129"/>
    </row>
    <row r="223" spans="1:43" ht="12.75" customHeight="1">
      <c r="A223" s="129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129"/>
      <c r="Y223" s="129"/>
      <c r="Z223" s="129"/>
      <c r="AA223" s="129"/>
      <c r="AB223" s="129"/>
      <c r="AC223" s="129"/>
      <c r="AD223" s="129"/>
      <c r="AE223" s="129"/>
      <c r="AF223" s="129"/>
      <c r="AG223" s="129"/>
      <c r="AH223" s="129"/>
      <c r="AI223" s="129"/>
      <c r="AJ223" s="129"/>
      <c r="AK223" s="129"/>
      <c r="AL223" s="129"/>
      <c r="AM223" s="129"/>
      <c r="AN223" s="129"/>
      <c r="AO223" s="129"/>
      <c r="AP223" s="129"/>
      <c r="AQ223" s="129"/>
    </row>
    <row r="224" spans="1:43" ht="12.75" customHeight="1">
      <c r="A224" s="129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129"/>
      <c r="Y224" s="129"/>
      <c r="Z224" s="129"/>
      <c r="AA224" s="129"/>
      <c r="AB224" s="129"/>
      <c r="AC224" s="129"/>
      <c r="AD224" s="129"/>
      <c r="AE224" s="129"/>
      <c r="AF224" s="129"/>
      <c r="AG224" s="129"/>
      <c r="AH224" s="129"/>
      <c r="AI224" s="129"/>
      <c r="AJ224" s="129"/>
      <c r="AK224" s="129"/>
      <c r="AL224" s="129"/>
      <c r="AM224" s="129"/>
      <c r="AN224" s="129"/>
      <c r="AO224" s="129"/>
      <c r="AP224" s="129"/>
      <c r="AQ224" s="129"/>
    </row>
    <row r="225" spans="1:43" ht="12.75" customHeight="1">
      <c r="A225" s="129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129"/>
      <c r="Y225" s="129"/>
      <c r="Z225" s="129"/>
      <c r="AA225" s="129"/>
      <c r="AB225" s="129"/>
      <c r="AC225" s="129"/>
      <c r="AD225" s="129"/>
      <c r="AE225" s="129"/>
      <c r="AF225" s="129"/>
      <c r="AG225" s="129"/>
      <c r="AH225" s="129"/>
      <c r="AI225" s="129"/>
      <c r="AJ225" s="129"/>
      <c r="AK225" s="129"/>
      <c r="AL225" s="129"/>
      <c r="AM225" s="129"/>
      <c r="AN225" s="129"/>
      <c r="AO225" s="129"/>
      <c r="AP225" s="129"/>
      <c r="AQ225" s="129"/>
    </row>
    <row r="226" spans="1:43" ht="12.75" customHeight="1">
      <c r="A226" s="129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129"/>
      <c r="Y226" s="129"/>
      <c r="Z226" s="129"/>
      <c r="AA226" s="129"/>
      <c r="AB226" s="129"/>
      <c r="AC226" s="129"/>
      <c r="AD226" s="129"/>
      <c r="AE226" s="129"/>
      <c r="AF226" s="129"/>
      <c r="AG226" s="129"/>
      <c r="AH226" s="129"/>
      <c r="AI226" s="129"/>
      <c r="AJ226" s="129"/>
      <c r="AK226" s="129"/>
      <c r="AL226" s="129"/>
      <c r="AM226" s="129"/>
      <c r="AN226" s="129"/>
      <c r="AO226" s="129"/>
      <c r="AP226" s="129"/>
      <c r="AQ226" s="129"/>
    </row>
    <row r="227" spans="1:43" ht="12.75" customHeight="1">
      <c r="A227" s="129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129"/>
      <c r="Y227" s="129"/>
      <c r="Z227" s="129"/>
      <c r="AA227" s="129"/>
      <c r="AB227" s="129"/>
      <c r="AC227" s="129"/>
      <c r="AD227" s="129"/>
      <c r="AE227" s="129"/>
      <c r="AF227" s="129"/>
      <c r="AG227" s="129"/>
      <c r="AH227" s="129"/>
      <c r="AI227" s="129"/>
      <c r="AJ227" s="129"/>
      <c r="AK227" s="129"/>
      <c r="AL227" s="129"/>
      <c r="AM227" s="129"/>
      <c r="AN227" s="129"/>
      <c r="AO227" s="129"/>
      <c r="AP227" s="129"/>
      <c r="AQ227" s="129"/>
    </row>
    <row r="228" spans="1:43" ht="12.75" customHeight="1">
      <c r="A228" s="129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129"/>
      <c r="Y228" s="129"/>
      <c r="Z228" s="129"/>
      <c r="AA228" s="129"/>
      <c r="AB228" s="129"/>
      <c r="AC228" s="129"/>
      <c r="AD228" s="129"/>
      <c r="AE228" s="129"/>
      <c r="AF228" s="129"/>
      <c r="AG228" s="129"/>
      <c r="AH228" s="129"/>
      <c r="AI228" s="129"/>
      <c r="AJ228" s="129"/>
      <c r="AK228" s="129"/>
      <c r="AL228" s="129"/>
      <c r="AM228" s="129"/>
      <c r="AN228" s="129"/>
      <c r="AO228" s="129"/>
      <c r="AP228" s="129"/>
      <c r="AQ228" s="129"/>
    </row>
    <row r="229" spans="1:43" ht="12.75" customHeight="1">
      <c r="A229" s="129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129"/>
      <c r="Y229" s="129"/>
      <c r="Z229" s="129"/>
      <c r="AA229" s="129"/>
      <c r="AB229" s="129"/>
      <c r="AC229" s="129"/>
      <c r="AD229" s="129"/>
      <c r="AE229" s="129"/>
      <c r="AF229" s="129"/>
      <c r="AG229" s="129"/>
      <c r="AH229" s="129"/>
      <c r="AI229" s="129"/>
      <c r="AJ229" s="129"/>
      <c r="AK229" s="129"/>
      <c r="AL229" s="129"/>
      <c r="AM229" s="129"/>
      <c r="AN229" s="129"/>
      <c r="AO229" s="129"/>
      <c r="AP229" s="129"/>
      <c r="AQ229" s="129"/>
    </row>
    <row r="230" spans="1:43" ht="12.75" customHeight="1">
      <c r="A230" s="129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129"/>
      <c r="Y230" s="129"/>
      <c r="Z230" s="129"/>
      <c r="AA230" s="129"/>
      <c r="AB230" s="129"/>
      <c r="AC230" s="129"/>
      <c r="AD230" s="129"/>
      <c r="AE230" s="129"/>
      <c r="AF230" s="129"/>
      <c r="AG230" s="129"/>
      <c r="AH230" s="129"/>
      <c r="AI230" s="129"/>
      <c r="AJ230" s="129"/>
      <c r="AK230" s="129"/>
      <c r="AL230" s="129"/>
      <c r="AM230" s="129"/>
      <c r="AN230" s="129"/>
      <c r="AO230" s="129"/>
      <c r="AP230" s="129"/>
      <c r="AQ230" s="129"/>
    </row>
    <row r="231" spans="1:43" ht="12.75" customHeight="1">
      <c r="A231" s="129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129"/>
      <c r="Y231" s="129"/>
      <c r="Z231" s="129"/>
      <c r="AA231" s="129"/>
      <c r="AB231" s="129"/>
      <c r="AC231" s="129"/>
      <c r="AD231" s="129"/>
      <c r="AE231" s="129"/>
      <c r="AF231" s="129"/>
      <c r="AG231" s="129"/>
      <c r="AH231" s="129"/>
      <c r="AI231" s="129"/>
      <c r="AJ231" s="129"/>
      <c r="AK231" s="129"/>
      <c r="AL231" s="129"/>
      <c r="AM231" s="129"/>
      <c r="AN231" s="129"/>
      <c r="AO231" s="129"/>
      <c r="AP231" s="129"/>
      <c r="AQ231" s="129"/>
    </row>
    <row r="232" spans="1:43" ht="12.75" customHeight="1">
      <c r="A232" s="129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129"/>
      <c r="Y232" s="129"/>
      <c r="Z232" s="129"/>
      <c r="AA232" s="129"/>
      <c r="AB232" s="129"/>
      <c r="AC232" s="129"/>
      <c r="AD232" s="129"/>
      <c r="AE232" s="129"/>
      <c r="AF232" s="129"/>
      <c r="AG232" s="129"/>
      <c r="AH232" s="129"/>
      <c r="AI232" s="129"/>
      <c r="AJ232" s="129"/>
      <c r="AK232" s="129"/>
      <c r="AL232" s="129"/>
      <c r="AM232" s="129"/>
      <c r="AN232" s="129"/>
      <c r="AO232" s="129"/>
      <c r="AP232" s="129"/>
      <c r="AQ232" s="129"/>
    </row>
    <row r="233" spans="1:43" ht="12.75" customHeight="1">
      <c r="A233" s="129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129"/>
      <c r="Y233" s="129"/>
      <c r="Z233" s="129"/>
      <c r="AA233" s="129"/>
      <c r="AB233" s="129"/>
      <c r="AC233" s="129"/>
      <c r="AD233" s="129"/>
      <c r="AE233" s="129"/>
      <c r="AF233" s="129"/>
      <c r="AG233" s="129"/>
      <c r="AH233" s="129"/>
      <c r="AI233" s="129"/>
      <c r="AJ233" s="129"/>
      <c r="AK233" s="129"/>
      <c r="AL233" s="129"/>
      <c r="AM233" s="129"/>
      <c r="AN233" s="129"/>
      <c r="AO233" s="129"/>
      <c r="AP233" s="129"/>
      <c r="AQ233" s="129"/>
    </row>
    <row r="234" spans="1:43" ht="12.75" customHeight="1">
      <c r="A234" s="129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129"/>
      <c r="Y234" s="129"/>
      <c r="Z234" s="129"/>
      <c r="AA234" s="129"/>
      <c r="AB234" s="129"/>
      <c r="AC234" s="129"/>
      <c r="AD234" s="129"/>
      <c r="AE234" s="129"/>
      <c r="AF234" s="129"/>
      <c r="AG234" s="129"/>
      <c r="AH234" s="129"/>
      <c r="AI234" s="129"/>
      <c r="AJ234" s="129"/>
      <c r="AK234" s="129"/>
      <c r="AL234" s="129"/>
      <c r="AM234" s="129"/>
      <c r="AN234" s="129"/>
      <c r="AO234" s="129"/>
      <c r="AP234" s="129"/>
      <c r="AQ234" s="129"/>
    </row>
    <row r="235" spans="1:43" ht="12.75" customHeight="1">
      <c r="A235" s="129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129"/>
      <c r="Y235" s="129"/>
      <c r="Z235" s="129"/>
      <c r="AA235" s="129"/>
      <c r="AB235" s="129"/>
      <c r="AC235" s="129"/>
      <c r="AD235" s="129"/>
      <c r="AE235" s="129"/>
      <c r="AF235" s="129"/>
      <c r="AG235" s="129"/>
      <c r="AH235" s="129"/>
      <c r="AI235" s="129"/>
      <c r="AJ235" s="129"/>
      <c r="AK235" s="129"/>
      <c r="AL235" s="129"/>
      <c r="AM235" s="129"/>
      <c r="AN235" s="129"/>
      <c r="AO235" s="129"/>
      <c r="AP235" s="129"/>
      <c r="AQ235" s="129"/>
    </row>
    <row r="236" spans="1:43" ht="12.75" customHeight="1">
      <c r="A236" s="129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129"/>
      <c r="Y236" s="129"/>
      <c r="Z236" s="129"/>
      <c r="AA236" s="129"/>
      <c r="AB236" s="129"/>
      <c r="AC236" s="129"/>
      <c r="AD236" s="129"/>
      <c r="AE236" s="129"/>
      <c r="AF236" s="129"/>
      <c r="AG236" s="129"/>
      <c r="AH236" s="129"/>
      <c r="AI236" s="129"/>
      <c r="AJ236" s="129"/>
      <c r="AK236" s="129"/>
      <c r="AL236" s="129"/>
      <c r="AM236" s="129"/>
      <c r="AN236" s="129"/>
      <c r="AO236" s="129"/>
      <c r="AP236" s="129"/>
      <c r="AQ236" s="129"/>
    </row>
    <row r="237" spans="1:43" ht="12.75" customHeight="1">
      <c r="A237" s="129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129"/>
      <c r="Y237" s="129"/>
      <c r="Z237" s="129"/>
      <c r="AA237" s="129"/>
      <c r="AB237" s="129"/>
      <c r="AC237" s="129"/>
      <c r="AD237" s="129"/>
      <c r="AE237" s="129"/>
      <c r="AF237" s="129"/>
      <c r="AG237" s="129"/>
      <c r="AH237" s="129"/>
      <c r="AI237" s="129"/>
      <c r="AJ237" s="129"/>
      <c r="AK237" s="129"/>
      <c r="AL237" s="129"/>
      <c r="AM237" s="129"/>
      <c r="AN237" s="129"/>
      <c r="AO237" s="129"/>
      <c r="AP237" s="129"/>
      <c r="AQ237" s="129"/>
    </row>
    <row r="238" spans="1:43" ht="12.75" customHeight="1">
      <c r="A238" s="129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129"/>
      <c r="Y238" s="129"/>
      <c r="Z238" s="129"/>
      <c r="AA238" s="129"/>
      <c r="AB238" s="129"/>
      <c r="AC238" s="129"/>
      <c r="AD238" s="129"/>
      <c r="AE238" s="129"/>
      <c r="AF238" s="129"/>
      <c r="AG238" s="129"/>
      <c r="AH238" s="129"/>
      <c r="AI238" s="129"/>
      <c r="AJ238" s="129"/>
      <c r="AK238" s="129"/>
      <c r="AL238" s="129"/>
      <c r="AM238" s="129"/>
      <c r="AN238" s="129"/>
      <c r="AO238" s="129"/>
      <c r="AP238" s="129"/>
      <c r="AQ238" s="129"/>
    </row>
    <row r="239" spans="1:43" ht="12.75" customHeight="1">
      <c r="A239" s="129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129"/>
      <c r="Y239" s="129"/>
      <c r="Z239" s="129"/>
      <c r="AA239" s="129"/>
      <c r="AB239" s="129"/>
      <c r="AC239" s="129"/>
      <c r="AD239" s="129"/>
      <c r="AE239" s="129"/>
      <c r="AF239" s="129"/>
      <c r="AG239" s="129"/>
      <c r="AH239" s="129"/>
      <c r="AI239" s="129"/>
      <c r="AJ239" s="129"/>
      <c r="AK239" s="129"/>
      <c r="AL239" s="129"/>
      <c r="AM239" s="129"/>
      <c r="AN239" s="129"/>
      <c r="AO239" s="129"/>
      <c r="AP239" s="129"/>
      <c r="AQ239" s="129"/>
    </row>
    <row r="240" spans="1:43" ht="12.75" customHeight="1">
      <c r="A240" s="129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129"/>
      <c r="Y240" s="129"/>
      <c r="Z240" s="129"/>
      <c r="AA240" s="129"/>
      <c r="AB240" s="129"/>
      <c r="AC240" s="129"/>
      <c r="AD240" s="129"/>
      <c r="AE240" s="129"/>
      <c r="AF240" s="129"/>
      <c r="AG240" s="129"/>
      <c r="AH240" s="129"/>
      <c r="AI240" s="129"/>
      <c r="AJ240" s="129"/>
      <c r="AK240" s="129"/>
      <c r="AL240" s="129"/>
      <c r="AM240" s="129"/>
      <c r="AN240" s="129"/>
      <c r="AO240" s="129"/>
      <c r="AP240" s="129"/>
      <c r="AQ240" s="129"/>
    </row>
    <row r="241" spans="1:43" ht="12.75" customHeight="1">
      <c r="A241" s="129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129"/>
      <c r="Y241" s="129"/>
      <c r="Z241" s="129"/>
      <c r="AA241" s="129"/>
      <c r="AB241" s="129"/>
      <c r="AC241" s="129"/>
      <c r="AD241" s="129"/>
      <c r="AE241" s="129"/>
      <c r="AF241" s="129"/>
      <c r="AG241" s="129"/>
      <c r="AH241" s="129"/>
      <c r="AI241" s="129"/>
      <c r="AJ241" s="129"/>
      <c r="AK241" s="129"/>
      <c r="AL241" s="129"/>
      <c r="AM241" s="129"/>
      <c r="AN241" s="129"/>
      <c r="AO241" s="129"/>
      <c r="AP241" s="129"/>
      <c r="AQ241" s="129"/>
    </row>
    <row r="242" spans="1:43" ht="12.75" customHeight="1">
      <c r="A242" s="129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129"/>
      <c r="Y242" s="129"/>
      <c r="Z242" s="129"/>
      <c r="AA242" s="129"/>
      <c r="AB242" s="129"/>
      <c r="AC242" s="129"/>
      <c r="AD242" s="129"/>
      <c r="AE242" s="129"/>
      <c r="AF242" s="129"/>
      <c r="AG242" s="129"/>
      <c r="AH242" s="129"/>
      <c r="AI242" s="129"/>
      <c r="AJ242" s="129"/>
      <c r="AK242" s="129"/>
      <c r="AL242" s="129"/>
      <c r="AM242" s="129"/>
      <c r="AN242" s="129"/>
      <c r="AO242" s="129"/>
      <c r="AP242" s="129"/>
      <c r="AQ242" s="129"/>
    </row>
    <row r="243" spans="1:43" ht="12.75" customHeight="1">
      <c r="A243" s="129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129"/>
      <c r="Y243" s="129"/>
      <c r="Z243" s="129"/>
      <c r="AA243" s="129"/>
      <c r="AB243" s="129"/>
      <c r="AC243" s="129"/>
      <c r="AD243" s="129"/>
      <c r="AE243" s="129"/>
      <c r="AF243" s="129"/>
      <c r="AG243" s="129"/>
      <c r="AH243" s="129"/>
      <c r="AI243" s="129"/>
      <c r="AJ243" s="129"/>
      <c r="AK243" s="129"/>
      <c r="AL243" s="129"/>
      <c r="AM243" s="129"/>
      <c r="AN243" s="129"/>
      <c r="AO243" s="129"/>
      <c r="AP243" s="129"/>
      <c r="AQ243" s="129"/>
    </row>
    <row r="244" spans="1:43" ht="12.75" customHeight="1">
      <c r="A244" s="129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129"/>
      <c r="Y244" s="129"/>
      <c r="Z244" s="129"/>
      <c r="AA244" s="129"/>
      <c r="AB244" s="129"/>
      <c r="AC244" s="129"/>
      <c r="AD244" s="129"/>
      <c r="AE244" s="129"/>
      <c r="AF244" s="129"/>
      <c r="AG244" s="129"/>
      <c r="AH244" s="129"/>
      <c r="AI244" s="129"/>
      <c r="AJ244" s="129"/>
      <c r="AK244" s="129"/>
      <c r="AL244" s="129"/>
      <c r="AM244" s="129"/>
      <c r="AN244" s="129"/>
      <c r="AO244" s="129"/>
      <c r="AP244" s="129"/>
      <c r="AQ244" s="129"/>
    </row>
    <row r="245" spans="1:43" ht="12.75" customHeight="1">
      <c r="A245" s="129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129"/>
      <c r="Y245" s="129"/>
      <c r="Z245" s="129"/>
      <c r="AA245" s="129"/>
      <c r="AB245" s="129"/>
      <c r="AC245" s="129"/>
      <c r="AD245" s="129"/>
      <c r="AE245" s="129"/>
      <c r="AF245" s="129"/>
      <c r="AG245" s="129"/>
      <c r="AH245" s="129"/>
      <c r="AI245" s="129"/>
      <c r="AJ245" s="129"/>
      <c r="AK245" s="129"/>
      <c r="AL245" s="129"/>
      <c r="AM245" s="129"/>
      <c r="AN245" s="129"/>
      <c r="AO245" s="129"/>
      <c r="AP245" s="129"/>
      <c r="AQ245" s="129"/>
    </row>
    <row r="246" spans="1:43" ht="12.75" customHeight="1">
      <c r="A246" s="129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129"/>
      <c r="Y246" s="129"/>
      <c r="Z246" s="129"/>
      <c r="AA246" s="129"/>
      <c r="AB246" s="129"/>
      <c r="AC246" s="129"/>
      <c r="AD246" s="129"/>
      <c r="AE246" s="129"/>
      <c r="AF246" s="129"/>
      <c r="AG246" s="129"/>
      <c r="AH246" s="129"/>
      <c r="AI246" s="129"/>
      <c r="AJ246" s="129"/>
      <c r="AK246" s="129"/>
      <c r="AL246" s="129"/>
      <c r="AM246" s="129"/>
      <c r="AN246" s="129"/>
      <c r="AO246" s="129"/>
      <c r="AP246" s="129"/>
      <c r="AQ246" s="129"/>
    </row>
    <row r="247" spans="1:43" ht="12.75" customHeight="1">
      <c r="A247" s="129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129"/>
      <c r="Y247" s="129"/>
      <c r="Z247" s="129"/>
      <c r="AA247" s="129"/>
      <c r="AB247" s="129"/>
      <c r="AC247" s="129"/>
      <c r="AD247" s="129"/>
      <c r="AE247" s="129"/>
      <c r="AF247" s="129"/>
      <c r="AG247" s="129"/>
      <c r="AH247" s="129"/>
      <c r="AI247" s="129"/>
      <c r="AJ247" s="129"/>
      <c r="AK247" s="129"/>
      <c r="AL247" s="129"/>
      <c r="AM247" s="129"/>
      <c r="AN247" s="129"/>
      <c r="AO247" s="129"/>
      <c r="AP247" s="129"/>
      <c r="AQ247" s="129"/>
    </row>
    <row r="248" spans="1:43" ht="12.75" customHeight="1">
      <c r="A248" s="129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129"/>
      <c r="Y248" s="129"/>
      <c r="Z248" s="129"/>
      <c r="AA248" s="129"/>
      <c r="AB248" s="129"/>
      <c r="AC248" s="129"/>
      <c r="AD248" s="129"/>
      <c r="AE248" s="129"/>
      <c r="AF248" s="129"/>
      <c r="AG248" s="129"/>
      <c r="AH248" s="129"/>
      <c r="AI248" s="129"/>
      <c r="AJ248" s="129"/>
      <c r="AK248" s="129"/>
      <c r="AL248" s="129"/>
      <c r="AM248" s="129"/>
      <c r="AN248" s="129"/>
      <c r="AO248" s="129"/>
      <c r="AP248" s="129"/>
      <c r="AQ248" s="129"/>
    </row>
    <row r="249" spans="1:43" ht="12.75" customHeight="1">
      <c r="A249" s="129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129"/>
      <c r="Y249" s="129"/>
      <c r="Z249" s="129"/>
      <c r="AA249" s="129"/>
      <c r="AB249" s="129"/>
      <c r="AC249" s="129"/>
      <c r="AD249" s="129"/>
      <c r="AE249" s="129"/>
      <c r="AF249" s="129"/>
      <c r="AG249" s="129"/>
      <c r="AH249" s="129"/>
      <c r="AI249" s="129"/>
      <c r="AJ249" s="129"/>
      <c r="AK249" s="129"/>
      <c r="AL249" s="129"/>
      <c r="AM249" s="129"/>
      <c r="AN249" s="129"/>
      <c r="AO249" s="129"/>
      <c r="AP249" s="129"/>
      <c r="AQ249" s="129"/>
    </row>
    <row r="250" spans="1:43" ht="12.75" customHeight="1">
      <c r="A250" s="129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129"/>
      <c r="Y250" s="129"/>
      <c r="Z250" s="129"/>
      <c r="AA250" s="129"/>
      <c r="AB250" s="129"/>
      <c r="AC250" s="129"/>
      <c r="AD250" s="129"/>
      <c r="AE250" s="129"/>
      <c r="AF250" s="129"/>
      <c r="AG250" s="129"/>
      <c r="AH250" s="129"/>
      <c r="AI250" s="129"/>
      <c r="AJ250" s="129"/>
      <c r="AK250" s="129"/>
      <c r="AL250" s="129"/>
      <c r="AM250" s="129"/>
      <c r="AN250" s="129"/>
      <c r="AO250" s="129"/>
      <c r="AP250" s="129"/>
      <c r="AQ250" s="129"/>
    </row>
    <row r="251" spans="1:43" ht="12.75" customHeight="1">
      <c r="A251" s="129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129"/>
      <c r="Y251" s="129"/>
      <c r="Z251" s="129"/>
      <c r="AA251" s="129"/>
      <c r="AB251" s="129"/>
      <c r="AC251" s="129"/>
      <c r="AD251" s="129"/>
      <c r="AE251" s="129"/>
      <c r="AF251" s="129"/>
      <c r="AG251" s="129"/>
      <c r="AH251" s="129"/>
      <c r="AI251" s="129"/>
      <c r="AJ251" s="129"/>
      <c r="AK251" s="129"/>
      <c r="AL251" s="129"/>
      <c r="AM251" s="129"/>
      <c r="AN251" s="129"/>
      <c r="AO251" s="129"/>
      <c r="AP251" s="129"/>
      <c r="AQ251" s="129"/>
    </row>
    <row r="252" spans="1:43" ht="12.75" customHeight="1">
      <c r="A252" s="129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129"/>
      <c r="Y252" s="129"/>
      <c r="Z252" s="129"/>
      <c r="AA252" s="129"/>
      <c r="AB252" s="129"/>
      <c r="AC252" s="129"/>
      <c r="AD252" s="129"/>
      <c r="AE252" s="129"/>
      <c r="AF252" s="129"/>
      <c r="AG252" s="129"/>
      <c r="AH252" s="129"/>
      <c r="AI252" s="129"/>
      <c r="AJ252" s="129"/>
      <c r="AK252" s="129"/>
      <c r="AL252" s="129"/>
      <c r="AM252" s="129"/>
      <c r="AN252" s="129"/>
      <c r="AO252" s="129"/>
      <c r="AP252" s="129"/>
      <c r="AQ252" s="129"/>
    </row>
    <row r="253" spans="1:43" ht="12.75" customHeight="1">
      <c r="A253" s="129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129"/>
      <c r="Y253" s="129"/>
      <c r="Z253" s="129"/>
      <c r="AA253" s="129"/>
      <c r="AB253" s="129"/>
      <c r="AC253" s="129"/>
      <c r="AD253" s="129"/>
      <c r="AE253" s="129"/>
      <c r="AF253" s="129"/>
      <c r="AG253" s="129"/>
      <c r="AH253" s="129"/>
      <c r="AI253" s="129"/>
      <c r="AJ253" s="129"/>
      <c r="AK253" s="129"/>
      <c r="AL253" s="129"/>
      <c r="AM253" s="129"/>
      <c r="AN253" s="129"/>
      <c r="AO253" s="129"/>
      <c r="AP253" s="129"/>
      <c r="AQ253" s="129"/>
    </row>
    <row r="254" spans="1:43" ht="12.75" customHeight="1">
      <c r="A254" s="129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129"/>
      <c r="Y254" s="129"/>
      <c r="Z254" s="129"/>
      <c r="AA254" s="129"/>
      <c r="AB254" s="129"/>
      <c r="AC254" s="129"/>
      <c r="AD254" s="129"/>
      <c r="AE254" s="129"/>
      <c r="AF254" s="129"/>
      <c r="AG254" s="129"/>
      <c r="AH254" s="129"/>
      <c r="AI254" s="129"/>
      <c r="AJ254" s="129"/>
      <c r="AK254" s="129"/>
      <c r="AL254" s="129"/>
      <c r="AM254" s="129"/>
      <c r="AN254" s="129"/>
      <c r="AO254" s="129"/>
      <c r="AP254" s="129"/>
      <c r="AQ254" s="129"/>
    </row>
    <row r="255" spans="1:43" ht="12.75" customHeight="1">
      <c r="A255" s="129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129"/>
      <c r="Y255" s="129"/>
      <c r="Z255" s="129"/>
      <c r="AA255" s="129"/>
      <c r="AB255" s="129"/>
      <c r="AC255" s="129"/>
      <c r="AD255" s="129"/>
      <c r="AE255" s="129"/>
      <c r="AF255" s="129"/>
      <c r="AG255" s="129"/>
      <c r="AH255" s="129"/>
      <c r="AI255" s="129"/>
      <c r="AJ255" s="129"/>
      <c r="AK255" s="129"/>
      <c r="AL255" s="129"/>
      <c r="AM255" s="129"/>
      <c r="AN255" s="129"/>
      <c r="AO255" s="129"/>
      <c r="AP255" s="129"/>
      <c r="AQ255" s="129"/>
    </row>
    <row r="256" spans="1:43" ht="12.75" customHeight="1">
      <c r="A256" s="129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129"/>
      <c r="Y256" s="129"/>
      <c r="Z256" s="129"/>
      <c r="AA256" s="129"/>
      <c r="AB256" s="129"/>
      <c r="AC256" s="129"/>
      <c r="AD256" s="129"/>
      <c r="AE256" s="129"/>
      <c r="AF256" s="129"/>
      <c r="AG256" s="129"/>
      <c r="AH256" s="129"/>
      <c r="AI256" s="129"/>
      <c r="AJ256" s="129"/>
      <c r="AK256" s="129"/>
      <c r="AL256" s="129"/>
      <c r="AM256" s="129"/>
      <c r="AN256" s="129"/>
      <c r="AO256" s="129"/>
      <c r="AP256" s="129"/>
      <c r="AQ256" s="129"/>
    </row>
    <row r="257" spans="1:43" ht="12.75" customHeight="1">
      <c r="A257" s="129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129"/>
      <c r="Y257" s="129"/>
      <c r="Z257" s="129"/>
      <c r="AA257" s="129"/>
      <c r="AB257" s="129"/>
      <c r="AC257" s="129"/>
      <c r="AD257" s="129"/>
      <c r="AE257" s="129"/>
      <c r="AF257" s="129"/>
      <c r="AG257" s="129"/>
      <c r="AH257" s="129"/>
      <c r="AI257" s="129"/>
      <c r="AJ257" s="129"/>
      <c r="AK257" s="129"/>
      <c r="AL257" s="129"/>
      <c r="AM257" s="129"/>
      <c r="AN257" s="129"/>
      <c r="AO257" s="129"/>
      <c r="AP257" s="129"/>
      <c r="AQ257" s="129"/>
    </row>
    <row r="258" spans="1:43" ht="12.75" customHeight="1">
      <c r="A258" s="129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129"/>
      <c r="Y258" s="129"/>
      <c r="Z258" s="129"/>
      <c r="AA258" s="129"/>
      <c r="AB258" s="129"/>
      <c r="AC258" s="129"/>
      <c r="AD258" s="129"/>
      <c r="AE258" s="129"/>
      <c r="AF258" s="129"/>
      <c r="AG258" s="129"/>
      <c r="AH258" s="129"/>
      <c r="AI258" s="129"/>
      <c r="AJ258" s="129"/>
      <c r="AK258" s="129"/>
      <c r="AL258" s="129"/>
      <c r="AM258" s="129"/>
      <c r="AN258" s="129"/>
      <c r="AO258" s="129"/>
      <c r="AP258" s="129"/>
      <c r="AQ258" s="129"/>
    </row>
    <row r="259" spans="1:43" ht="12.75" customHeight="1">
      <c r="A259" s="129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129"/>
      <c r="Y259" s="129"/>
      <c r="Z259" s="129"/>
      <c r="AA259" s="129"/>
      <c r="AB259" s="129"/>
      <c r="AC259" s="129"/>
      <c r="AD259" s="129"/>
      <c r="AE259" s="129"/>
      <c r="AF259" s="129"/>
      <c r="AG259" s="129"/>
      <c r="AH259" s="129"/>
      <c r="AI259" s="129"/>
      <c r="AJ259" s="129"/>
      <c r="AK259" s="129"/>
      <c r="AL259" s="129"/>
      <c r="AM259" s="129"/>
      <c r="AN259" s="129"/>
      <c r="AO259" s="129"/>
      <c r="AP259" s="129"/>
      <c r="AQ259" s="129"/>
    </row>
    <row r="260" spans="1:43" ht="12.75" customHeight="1">
      <c r="A260" s="129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129"/>
      <c r="Y260" s="129"/>
      <c r="Z260" s="129"/>
      <c r="AA260" s="129"/>
      <c r="AB260" s="129"/>
      <c r="AC260" s="129"/>
      <c r="AD260" s="129"/>
      <c r="AE260" s="129"/>
      <c r="AF260" s="129"/>
      <c r="AG260" s="129"/>
      <c r="AH260" s="129"/>
      <c r="AI260" s="129"/>
      <c r="AJ260" s="129"/>
      <c r="AK260" s="129"/>
      <c r="AL260" s="129"/>
      <c r="AM260" s="129"/>
      <c r="AN260" s="129"/>
      <c r="AO260" s="129"/>
      <c r="AP260" s="129"/>
      <c r="AQ260" s="129"/>
    </row>
    <row r="261" spans="1:43" ht="12.75" customHeight="1">
      <c r="A261" s="129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129"/>
      <c r="Y261" s="129"/>
      <c r="Z261" s="129"/>
      <c r="AA261" s="129"/>
      <c r="AB261" s="129"/>
      <c r="AC261" s="129"/>
      <c r="AD261" s="129"/>
      <c r="AE261" s="129"/>
      <c r="AF261" s="129"/>
      <c r="AG261" s="129"/>
      <c r="AH261" s="129"/>
      <c r="AI261" s="129"/>
      <c r="AJ261" s="129"/>
      <c r="AK261" s="129"/>
      <c r="AL261" s="129"/>
      <c r="AM261" s="129"/>
      <c r="AN261" s="129"/>
      <c r="AO261" s="129"/>
      <c r="AP261" s="129"/>
      <c r="AQ261" s="129"/>
    </row>
    <row r="262" spans="1:43" ht="12.75" customHeight="1">
      <c r="A262" s="129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129"/>
      <c r="Y262" s="129"/>
      <c r="Z262" s="129"/>
      <c r="AA262" s="129"/>
      <c r="AB262" s="129"/>
      <c r="AC262" s="129"/>
      <c r="AD262" s="129"/>
      <c r="AE262" s="129"/>
      <c r="AF262" s="129"/>
      <c r="AG262" s="129"/>
      <c r="AH262" s="129"/>
      <c r="AI262" s="129"/>
      <c r="AJ262" s="129"/>
      <c r="AK262" s="129"/>
      <c r="AL262" s="129"/>
      <c r="AM262" s="129"/>
      <c r="AN262" s="129"/>
      <c r="AO262" s="129"/>
      <c r="AP262" s="129"/>
      <c r="AQ262" s="129"/>
    </row>
    <row r="263" spans="1:43" ht="12.75" customHeight="1">
      <c r="A263" s="129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129"/>
      <c r="Y263" s="129"/>
      <c r="Z263" s="129"/>
      <c r="AA263" s="129"/>
      <c r="AB263" s="129"/>
      <c r="AC263" s="129"/>
      <c r="AD263" s="129"/>
      <c r="AE263" s="129"/>
      <c r="AF263" s="129"/>
      <c r="AG263" s="129"/>
      <c r="AH263" s="129"/>
      <c r="AI263" s="129"/>
      <c r="AJ263" s="129"/>
      <c r="AK263" s="129"/>
      <c r="AL263" s="129"/>
      <c r="AM263" s="129"/>
      <c r="AN263" s="129"/>
      <c r="AO263" s="129"/>
      <c r="AP263" s="129"/>
      <c r="AQ263" s="129"/>
    </row>
    <row r="264" spans="1:43" ht="12.75" customHeight="1">
      <c r="A264" s="129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129"/>
      <c r="Y264" s="129"/>
      <c r="Z264" s="129"/>
      <c r="AA264" s="129"/>
      <c r="AB264" s="129"/>
      <c r="AC264" s="129"/>
      <c r="AD264" s="129"/>
      <c r="AE264" s="129"/>
      <c r="AF264" s="129"/>
      <c r="AG264" s="129"/>
      <c r="AH264" s="129"/>
      <c r="AI264" s="129"/>
      <c r="AJ264" s="129"/>
      <c r="AK264" s="129"/>
      <c r="AL264" s="129"/>
      <c r="AM264" s="129"/>
      <c r="AN264" s="129"/>
      <c r="AO264" s="129"/>
      <c r="AP264" s="129"/>
      <c r="AQ264" s="129"/>
    </row>
    <row r="265" spans="1:43" ht="12.75" customHeight="1">
      <c r="A265" s="129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129"/>
      <c r="Y265" s="129"/>
      <c r="Z265" s="129"/>
      <c r="AA265" s="129"/>
      <c r="AB265" s="129"/>
      <c r="AC265" s="129"/>
      <c r="AD265" s="129"/>
      <c r="AE265" s="129"/>
      <c r="AF265" s="129"/>
      <c r="AG265" s="129"/>
      <c r="AH265" s="129"/>
      <c r="AI265" s="129"/>
      <c r="AJ265" s="129"/>
      <c r="AK265" s="129"/>
      <c r="AL265" s="129"/>
      <c r="AM265" s="129"/>
      <c r="AN265" s="129"/>
      <c r="AO265" s="129"/>
      <c r="AP265" s="129"/>
      <c r="AQ265" s="129"/>
    </row>
    <row r="266" spans="1:43" ht="12.75" customHeight="1">
      <c r="A266" s="129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129"/>
      <c r="Y266" s="129"/>
      <c r="Z266" s="129"/>
      <c r="AA266" s="129"/>
      <c r="AB266" s="129"/>
      <c r="AC266" s="129"/>
      <c r="AD266" s="129"/>
      <c r="AE266" s="129"/>
      <c r="AF266" s="129"/>
      <c r="AG266" s="129"/>
      <c r="AH266" s="129"/>
      <c r="AI266" s="129"/>
      <c r="AJ266" s="129"/>
      <c r="AK266" s="129"/>
      <c r="AL266" s="129"/>
      <c r="AM266" s="129"/>
      <c r="AN266" s="129"/>
      <c r="AO266" s="129"/>
      <c r="AP266" s="129"/>
      <c r="AQ266" s="129"/>
    </row>
    <row r="267" spans="1:43" ht="12.75" customHeight="1">
      <c r="A267" s="129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129"/>
      <c r="Y267" s="129"/>
      <c r="Z267" s="129"/>
      <c r="AA267" s="129"/>
      <c r="AB267" s="129"/>
      <c r="AC267" s="129"/>
      <c r="AD267" s="129"/>
      <c r="AE267" s="129"/>
      <c r="AF267" s="129"/>
      <c r="AG267" s="129"/>
      <c r="AH267" s="129"/>
      <c r="AI267" s="129"/>
      <c r="AJ267" s="129"/>
      <c r="AK267" s="129"/>
      <c r="AL267" s="129"/>
      <c r="AM267" s="129"/>
      <c r="AN267" s="129"/>
      <c r="AO267" s="129"/>
      <c r="AP267" s="129"/>
      <c r="AQ267" s="129"/>
    </row>
    <row r="268" spans="1:43" ht="12.75" customHeight="1">
      <c r="A268" s="129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129"/>
      <c r="Y268" s="129"/>
      <c r="Z268" s="129"/>
      <c r="AA268" s="129"/>
      <c r="AB268" s="129"/>
      <c r="AC268" s="129"/>
      <c r="AD268" s="129"/>
      <c r="AE268" s="129"/>
      <c r="AF268" s="129"/>
      <c r="AG268" s="129"/>
      <c r="AH268" s="129"/>
      <c r="AI268" s="129"/>
      <c r="AJ268" s="129"/>
      <c r="AK268" s="129"/>
      <c r="AL268" s="129"/>
      <c r="AM268" s="129"/>
      <c r="AN268" s="129"/>
      <c r="AO268" s="129"/>
      <c r="AP268" s="129"/>
      <c r="AQ268" s="129"/>
    </row>
    <row r="269" spans="1:43" ht="12.75" customHeight="1">
      <c r="A269" s="129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129"/>
      <c r="Y269" s="129"/>
      <c r="Z269" s="129"/>
      <c r="AA269" s="129"/>
      <c r="AB269" s="129"/>
      <c r="AC269" s="129"/>
      <c r="AD269" s="129"/>
      <c r="AE269" s="129"/>
      <c r="AF269" s="129"/>
      <c r="AG269" s="129"/>
      <c r="AH269" s="129"/>
      <c r="AI269" s="129"/>
      <c r="AJ269" s="129"/>
      <c r="AK269" s="129"/>
      <c r="AL269" s="129"/>
      <c r="AM269" s="129"/>
      <c r="AN269" s="129"/>
      <c r="AO269" s="129"/>
      <c r="AP269" s="129"/>
      <c r="AQ269" s="129"/>
    </row>
    <row r="270" spans="1:43" ht="12.75" customHeight="1">
      <c r="A270" s="129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129"/>
      <c r="Y270" s="129"/>
      <c r="Z270" s="129"/>
      <c r="AA270" s="129"/>
      <c r="AB270" s="129"/>
      <c r="AC270" s="129"/>
      <c r="AD270" s="129"/>
      <c r="AE270" s="129"/>
      <c r="AF270" s="129"/>
      <c r="AG270" s="129"/>
      <c r="AH270" s="129"/>
      <c r="AI270" s="129"/>
      <c r="AJ270" s="129"/>
      <c r="AK270" s="129"/>
      <c r="AL270" s="129"/>
      <c r="AM270" s="129"/>
      <c r="AN270" s="129"/>
      <c r="AO270" s="129"/>
      <c r="AP270" s="129"/>
      <c r="AQ270" s="129"/>
    </row>
    <row r="271" spans="1:43" ht="12.75" customHeight="1">
      <c r="A271" s="129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129"/>
      <c r="Y271" s="129"/>
      <c r="Z271" s="129"/>
      <c r="AA271" s="129"/>
      <c r="AB271" s="129"/>
      <c r="AC271" s="129"/>
      <c r="AD271" s="129"/>
      <c r="AE271" s="129"/>
      <c r="AF271" s="129"/>
      <c r="AG271" s="129"/>
      <c r="AH271" s="129"/>
      <c r="AI271" s="129"/>
      <c r="AJ271" s="129"/>
      <c r="AK271" s="129"/>
      <c r="AL271" s="129"/>
      <c r="AM271" s="129"/>
      <c r="AN271" s="129"/>
      <c r="AO271" s="129"/>
      <c r="AP271" s="129"/>
      <c r="AQ271" s="129"/>
    </row>
    <row r="272" spans="1:43" ht="12.75" customHeight="1">
      <c r="A272" s="129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129"/>
      <c r="Y272" s="129"/>
      <c r="Z272" s="129"/>
      <c r="AA272" s="129"/>
      <c r="AB272" s="129"/>
      <c r="AC272" s="129"/>
      <c r="AD272" s="129"/>
      <c r="AE272" s="129"/>
      <c r="AF272" s="129"/>
      <c r="AG272" s="129"/>
      <c r="AH272" s="129"/>
      <c r="AI272" s="129"/>
      <c r="AJ272" s="129"/>
      <c r="AK272" s="129"/>
      <c r="AL272" s="129"/>
      <c r="AM272" s="129"/>
      <c r="AN272" s="129"/>
      <c r="AO272" s="129"/>
      <c r="AP272" s="129"/>
      <c r="AQ272" s="129"/>
    </row>
    <row r="273" spans="1:43" ht="12.75" customHeight="1">
      <c r="A273" s="129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129"/>
      <c r="Y273" s="129"/>
      <c r="Z273" s="129"/>
      <c r="AA273" s="129"/>
      <c r="AB273" s="129"/>
      <c r="AC273" s="129"/>
      <c r="AD273" s="129"/>
      <c r="AE273" s="129"/>
      <c r="AF273" s="129"/>
      <c r="AG273" s="129"/>
      <c r="AH273" s="129"/>
      <c r="AI273" s="129"/>
      <c r="AJ273" s="129"/>
      <c r="AK273" s="129"/>
      <c r="AL273" s="129"/>
      <c r="AM273" s="129"/>
      <c r="AN273" s="129"/>
      <c r="AO273" s="129"/>
      <c r="AP273" s="129"/>
      <c r="AQ273" s="129"/>
    </row>
    <row r="274" spans="1:43" ht="12.75" customHeight="1">
      <c r="A274" s="129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129"/>
      <c r="Y274" s="129"/>
      <c r="Z274" s="129"/>
      <c r="AA274" s="129"/>
      <c r="AB274" s="129"/>
      <c r="AC274" s="129"/>
      <c r="AD274" s="129"/>
      <c r="AE274" s="129"/>
      <c r="AF274" s="129"/>
      <c r="AG274" s="129"/>
      <c r="AH274" s="129"/>
      <c r="AI274" s="129"/>
      <c r="AJ274" s="129"/>
      <c r="AK274" s="129"/>
      <c r="AL274" s="129"/>
      <c r="AM274" s="129"/>
      <c r="AN274" s="129"/>
      <c r="AO274" s="129"/>
      <c r="AP274" s="129"/>
      <c r="AQ274" s="129"/>
    </row>
    <row r="275" spans="1:43" ht="12.75" customHeight="1">
      <c r="A275" s="129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129"/>
      <c r="Y275" s="129"/>
      <c r="Z275" s="129"/>
      <c r="AA275" s="129"/>
      <c r="AB275" s="129"/>
      <c r="AC275" s="129"/>
      <c r="AD275" s="129"/>
      <c r="AE275" s="129"/>
      <c r="AF275" s="129"/>
      <c r="AG275" s="129"/>
      <c r="AH275" s="129"/>
      <c r="AI275" s="129"/>
      <c r="AJ275" s="129"/>
      <c r="AK275" s="129"/>
      <c r="AL275" s="129"/>
      <c r="AM275" s="129"/>
      <c r="AN275" s="129"/>
      <c r="AO275" s="129"/>
      <c r="AP275" s="129"/>
      <c r="AQ275" s="129"/>
    </row>
    <row r="276" spans="1:43" ht="12.75" customHeight="1">
      <c r="A276" s="129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129"/>
      <c r="Y276" s="129"/>
      <c r="Z276" s="129"/>
      <c r="AA276" s="129"/>
      <c r="AB276" s="129"/>
      <c r="AC276" s="129"/>
      <c r="AD276" s="129"/>
      <c r="AE276" s="129"/>
      <c r="AF276" s="129"/>
      <c r="AG276" s="129"/>
      <c r="AH276" s="129"/>
      <c r="AI276" s="129"/>
      <c r="AJ276" s="129"/>
      <c r="AK276" s="129"/>
      <c r="AL276" s="129"/>
      <c r="AM276" s="129"/>
      <c r="AN276" s="129"/>
      <c r="AO276" s="129"/>
      <c r="AP276" s="129"/>
      <c r="AQ276" s="129"/>
    </row>
    <row r="277" spans="1:43" ht="12.75" customHeight="1">
      <c r="A277" s="129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129"/>
      <c r="Y277" s="129"/>
      <c r="Z277" s="129"/>
      <c r="AA277" s="129"/>
      <c r="AB277" s="129"/>
      <c r="AC277" s="129"/>
      <c r="AD277" s="129"/>
      <c r="AE277" s="129"/>
      <c r="AF277" s="129"/>
      <c r="AG277" s="129"/>
      <c r="AH277" s="129"/>
      <c r="AI277" s="129"/>
      <c r="AJ277" s="129"/>
      <c r="AK277" s="129"/>
      <c r="AL277" s="129"/>
      <c r="AM277" s="129"/>
      <c r="AN277" s="129"/>
      <c r="AO277" s="129"/>
      <c r="AP277" s="129"/>
      <c r="AQ277" s="129"/>
    </row>
    <row r="278" spans="1:43" ht="12.75" customHeight="1">
      <c r="A278" s="129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129"/>
      <c r="Y278" s="129"/>
      <c r="Z278" s="129"/>
      <c r="AA278" s="129"/>
      <c r="AB278" s="129"/>
      <c r="AC278" s="129"/>
      <c r="AD278" s="129"/>
      <c r="AE278" s="129"/>
      <c r="AF278" s="129"/>
      <c r="AG278" s="129"/>
      <c r="AH278" s="129"/>
      <c r="AI278" s="129"/>
      <c r="AJ278" s="129"/>
      <c r="AK278" s="129"/>
      <c r="AL278" s="129"/>
      <c r="AM278" s="129"/>
      <c r="AN278" s="129"/>
      <c r="AO278" s="129"/>
      <c r="AP278" s="129"/>
      <c r="AQ278" s="129"/>
    </row>
    <row r="279" spans="1:43" ht="12.75" customHeight="1">
      <c r="A279" s="129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129"/>
      <c r="Y279" s="129"/>
      <c r="Z279" s="129"/>
      <c r="AA279" s="129"/>
      <c r="AB279" s="129"/>
      <c r="AC279" s="129"/>
      <c r="AD279" s="129"/>
      <c r="AE279" s="129"/>
      <c r="AF279" s="129"/>
      <c r="AG279" s="129"/>
      <c r="AH279" s="129"/>
      <c r="AI279" s="129"/>
      <c r="AJ279" s="129"/>
      <c r="AK279" s="129"/>
      <c r="AL279" s="129"/>
      <c r="AM279" s="129"/>
      <c r="AN279" s="129"/>
      <c r="AO279" s="129"/>
      <c r="AP279" s="129"/>
      <c r="AQ279" s="129"/>
    </row>
    <row r="280" spans="1:43" ht="12.75" customHeight="1">
      <c r="A280" s="129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129"/>
      <c r="Y280" s="129"/>
      <c r="Z280" s="129"/>
      <c r="AA280" s="129"/>
      <c r="AB280" s="129"/>
      <c r="AC280" s="129"/>
      <c r="AD280" s="129"/>
      <c r="AE280" s="129"/>
      <c r="AF280" s="129"/>
      <c r="AG280" s="129"/>
      <c r="AH280" s="129"/>
      <c r="AI280" s="129"/>
      <c r="AJ280" s="129"/>
      <c r="AK280" s="129"/>
      <c r="AL280" s="129"/>
      <c r="AM280" s="129"/>
      <c r="AN280" s="129"/>
      <c r="AO280" s="129"/>
      <c r="AP280" s="129"/>
      <c r="AQ280" s="129"/>
    </row>
    <row r="281" spans="1:43" ht="12.75" customHeight="1">
      <c r="A281" s="129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129"/>
      <c r="Y281" s="129"/>
      <c r="Z281" s="129"/>
      <c r="AA281" s="129"/>
      <c r="AB281" s="129"/>
      <c r="AC281" s="129"/>
      <c r="AD281" s="129"/>
      <c r="AE281" s="129"/>
      <c r="AF281" s="129"/>
      <c r="AG281" s="129"/>
      <c r="AH281" s="129"/>
      <c r="AI281" s="129"/>
      <c r="AJ281" s="129"/>
      <c r="AK281" s="129"/>
      <c r="AL281" s="129"/>
      <c r="AM281" s="129"/>
      <c r="AN281" s="129"/>
      <c r="AO281" s="129"/>
      <c r="AP281" s="129"/>
      <c r="AQ281" s="129"/>
    </row>
    <row r="282" spans="1:43" ht="12.75" customHeight="1">
      <c r="A282" s="129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129"/>
      <c r="Y282" s="129"/>
      <c r="Z282" s="129"/>
      <c r="AA282" s="129"/>
      <c r="AB282" s="129"/>
      <c r="AC282" s="129"/>
      <c r="AD282" s="129"/>
      <c r="AE282" s="129"/>
      <c r="AF282" s="129"/>
      <c r="AG282" s="129"/>
      <c r="AH282" s="129"/>
      <c r="AI282" s="129"/>
      <c r="AJ282" s="129"/>
      <c r="AK282" s="129"/>
      <c r="AL282" s="129"/>
      <c r="AM282" s="129"/>
      <c r="AN282" s="129"/>
      <c r="AO282" s="129"/>
      <c r="AP282" s="129"/>
      <c r="AQ282" s="129"/>
    </row>
    <row r="283" spans="1:43" ht="12.75" customHeight="1">
      <c r="A283" s="129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129"/>
      <c r="Y283" s="129"/>
      <c r="Z283" s="129"/>
      <c r="AA283" s="129"/>
      <c r="AB283" s="129"/>
      <c r="AC283" s="129"/>
      <c r="AD283" s="129"/>
      <c r="AE283" s="129"/>
      <c r="AF283" s="129"/>
      <c r="AG283" s="129"/>
      <c r="AH283" s="129"/>
      <c r="AI283" s="129"/>
      <c r="AJ283" s="129"/>
      <c r="AK283" s="129"/>
      <c r="AL283" s="129"/>
      <c r="AM283" s="129"/>
      <c r="AN283" s="129"/>
      <c r="AO283" s="129"/>
      <c r="AP283" s="129"/>
      <c r="AQ283" s="129"/>
    </row>
    <row r="284" spans="1:43" ht="12.75" customHeight="1">
      <c r="A284" s="129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129"/>
      <c r="Y284" s="129"/>
      <c r="Z284" s="129"/>
      <c r="AA284" s="129"/>
      <c r="AB284" s="129"/>
      <c r="AC284" s="129"/>
      <c r="AD284" s="129"/>
      <c r="AE284" s="129"/>
      <c r="AF284" s="129"/>
      <c r="AG284" s="129"/>
      <c r="AH284" s="129"/>
      <c r="AI284" s="129"/>
      <c r="AJ284" s="129"/>
      <c r="AK284" s="129"/>
      <c r="AL284" s="129"/>
      <c r="AM284" s="129"/>
      <c r="AN284" s="129"/>
      <c r="AO284" s="129"/>
      <c r="AP284" s="129"/>
      <c r="AQ284" s="129"/>
    </row>
    <row r="285" spans="1:43" ht="12.75" customHeight="1">
      <c r="A285" s="129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129"/>
      <c r="Y285" s="129"/>
      <c r="Z285" s="129"/>
      <c r="AA285" s="129"/>
      <c r="AB285" s="129"/>
      <c r="AC285" s="129"/>
      <c r="AD285" s="129"/>
      <c r="AE285" s="129"/>
      <c r="AF285" s="129"/>
      <c r="AG285" s="129"/>
      <c r="AH285" s="129"/>
      <c r="AI285" s="129"/>
      <c r="AJ285" s="129"/>
      <c r="AK285" s="129"/>
      <c r="AL285" s="129"/>
      <c r="AM285" s="129"/>
      <c r="AN285" s="129"/>
      <c r="AO285" s="129"/>
      <c r="AP285" s="129"/>
      <c r="AQ285" s="129"/>
    </row>
    <row r="286" spans="1:43" ht="12.75" customHeight="1">
      <c r="A286" s="129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129"/>
      <c r="Y286" s="129"/>
      <c r="Z286" s="129"/>
      <c r="AA286" s="129"/>
      <c r="AB286" s="129"/>
      <c r="AC286" s="129"/>
      <c r="AD286" s="129"/>
      <c r="AE286" s="129"/>
      <c r="AF286" s="129"/>
      <c r="AG286" s="129"/>
      <c r="AH286" s="129"/>
      <c r="AI286" s="129"/>
      <c r="AJ286" s="129"/>
      <c r="AK286" s="129"/>
      <c r="AL286" s="129"/>
      <c r="AM286" s="129"/>
      <c r="AN286" s="129"/>
      <c r="AO286" s="129"/>
      <c r="AP286" s="129"/>
      <c r="AQ286" s="129"/>
    </row>
    <row r="287" spans="1:43" ht="12.75" customHeight="1">
      <c r="A287" s="129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129"/>
      <c r="Y287" s="129"/>
      <c r="Z287" s="129"/>
      <c r="AA287" s="129"/>
      <c r="AB287" s="129"/>
      <c r="AC287" s="129"/>
      <c r="AD287" s="129"/>
      <c r="AE287" s="129"/>
      <c r="AF287" s="129"/>
      <c r="AG287" s="129"/>
      <c r="AH287" s="129"/>
      <c r="AI287" s="129"/>
      <c r="AJ287" s="129"/>
      <c r="AK287" s="129"/>
      <c r="AL287" s="129"/>
      <c r="AM287" s="129"/>
      <c r="AN287" s="129"/>
      <c r="AO287" s="129"/>
      <c r="AP287" s="129"/>
      <c r="AQ287" s="129"/>
    </row>
    <row r="288" spans="1:43" ht="12.75" customHeight="1">
      <c r="A288" s="129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129"/>
      <c r="Y288" s="129"/>
      <c r="Z288" s="129"/>
      <c r="AA288" s="129"/>
      <c r="AB288" s="129"/>
      <c r="AC288" s="129"/>
      <c r="AD288" s="129"/>
      <c r="AE288" s="129"/>
      <c r="AF288" s="129"/>
      <c r="AG288" s="129"/>
      <c r="AH288" s="129"/>
      <c r="AI288" s="129"/>
      <c r="AJ288" s="129"/>
      <c r="AK288" s="129"/>
      <c r="AL288" s="129"/>
      <c r="AM288" s="129"/>
      <c r="AN288" s="129"/>
      <c r="AO288" s="129"/>
      <c r="AP288" s="129"/>
      <c r="AQ288" s="129"/>
    </row>
    <row r="289" spans="1:43" ht="12.75" customHeight="1">
      <c r="A289" s="129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129"/>
      <c r="Y289" s="129"/>
      <c r="Z289" s="129"/>
      <c r="AA289" s="129"/>
      <c r="AB289" s="129"/>
      <c r="AC289" s="129"/>
      <c r="AD289" s="129"/>
      <c r="AE289" s="129"/>
      <c r="AF289" s="129"/>
      <c r="AG289" s="129"/>
      <c r="AH289" s="129"/>
      <c r="AI289" s="129"/>
      <c r="AJ289" s="129"/>
      <c r="AK289" s="129"/>
      <c r="AL289" s="129"/>
      <c r="AM289" s="129"/>
      <c r="AN289" s="129"/>
      <c r="AO289" s="129"/>
      <c r="AP289" s="129"/>
      <c r="AQ289" s="129"/>
    </row>
    <row r="290" spans="1:43" ht="12.75" customHeight="1">
      <c r="A290" s="129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129"/>
      <c r="Y290" s="129"/>
      <c r="Z290" s="129"/>
      <c r="AA290" s="129"/>
      <c r="AB290" s="129"/>
      <c r="AC290" s="129"/>
      <c r="AD290" s="129"/>
      <c r="AE290" s="129"/>
      <c r="AF290" s="129"/>
      <c r="AG290" s="129"/>
      <c r="AH290" s="129"/>
      <c r="AI290" s="129"/>
      <c r="AJ290" s="129"/>
      <c r="AK290" s="129"/>
      <c r="AL290" s="129"/>
      <c r="AM290" s="129"/>
      <c r="AN290" s="129"/>
      <c r="AO290" s="129"/>
      <c r="AP290" s="129"/>
      <c r="AQ290" s="129"/>
    </row>
    <row r="291" spans="1:43" ht="12.75" customHeight="1">
      <c r="A291" s="129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129"/>
      <c r="Y291" s="129"/>
      <c r="Z291" s="129"/>
      <c r="AA291" s="129"/>
      <c r="AB291" s="129"/>
      <c r="AC291" s="129"/>
      <c r="AD291" s="129"/>
      <c r="AE291" s="129"/>
      <c r="AF291" s="129"/>
      <c r="AG291" s="129"/>
      <c r="AH291" s="129"/>
      <c r="AI291" s="129"/>
      <c r="AJ291" s="129"/>
      <c r="AK291" s="129"/>
      <c r="AL291" s="129"/>
      <c r="AM291" s="129"/>
      <c r="AN291" s="129"/>
      <c r="AO291" s="129"/>
      <c r="AP291" s="129"/>
      <c r="AQ291" s="129"/>
    </row>
    <row r="292" spans="1:43" ht="12.75" customHeight="1">
      <c r="A292" s="129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129"/>
      <c r="Y292" s="129"/>
      <c r="Z292" s="129"/>
      <c r="AA292" s="129"/>
      <c r="AB292" s="129"/>
      <c r="AC292" s="129"/>
      <c r="AD292" s="129"/>
      <c r="AE292" s="129"/>
      <c r="AF292" s="129"/>
      <c r="AG292" s="129"/>
      <c r="AH292" s="129"/>
      <c r="AI292" s="129"/>
      <c r="AJ292" s="129"/>
      <c r="AK292" s="129"/>
      <c r="AL292" s="129"/>
      <c r="AM292" s="129"/>
      <c r="AN292" s="129"/>
      <c r="AO292" s="129"/>
      <c r="AP292" s="129"/>
      <c r="AQ292" s="129"/>
    </row>
    <row r="293" spans="1:43" ht="12.75" customHeight="1">
      <c r="A293" s="129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129"/>
      <c r="Y293" s="129"/>
      <c r="Z293" s="129"/>
      <c r="AA293" s="129"/>
      <c r="AB293" s="129"/>
      <c r="AC293" s="129"/>
      <c r="AD293" s="129"/>
      <c r="AE293" s="129"/>
      <c r="AF293" s="129"/>
      <c r="AG293" s="129"/>
      <c r="AH293" s="129"/>
      <c r="AI293" s="129"/>
      <c r="AJ293" s="129"/>
      <c r="AK293" s="129"/>
      <c r="AL293" s="129"/>
      <c r="AM293" s="129"/>
      <c r="AN293" s="129"/>
      <c r="AO293" s="129"/>
      <c r="AP293" s="129"/>
      <c r="AQ293" s="129"/>
    </row>
    <row r="294" spans="1:43" ht="12.75" customHeight="1">
      <c r="A294" s="129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129"/>
      <c r="Y294" s="129"/>
      <c r="Z294" s="129"/>
      <c r="AA294" s="129"/>
      <c r="AB294" s="129"/>
      <c r="AC294" s="129"/>
      <c r="AD294" s="129"/>
      <c r="AE294" s="129"/>
      <c r="AF294" s="129"/>
      <c r="AG294" s="129"/>
      <c r="AH294" s="129"/>
      <c r="AI294" s="129"/>
      <c r="AJ294" s="129"/>
      <c r="AK294" s="129"/>
      <c r="AL294" s="129"/>
      <c r="AM294" s="129"/>
      <c r="AN294" s="129"/>
      <c r="AO294" s="129"/>
      <c r="AP294" s="129"/>
      <c r="AQ294" s="129"/>
    </row>
    <row r="295" spans="1:43" ht="12.75" customHeight="1">
      <c r="A295" s="129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129"/>
      <c r="Y295" s="129"/>
      <c r="Z295" s="129"/>
      <c r="AA295" s="129"/>
      <c r="AB295" s="129"/>
      <c r="AC295" s="129"/>
      <c r="AD295" s="129"/>
      <c r="AE295" s="129"/>
      <c r="AF295" s="129"/>
      <c r="AG295" s="129"/>
      <c r="AH295" s="129"/>
      <c r="AI295" s="129"/>
      <c r="AJ295" s="129"/>
      <c r="AK295" s="129"/>
      <c r="AL295" s="129"/>
      <c r="AM295" s="129"/>
      <c r="AN295" s="129"/>
      <c r="AO295" s="129"/>
      <c r="AP295" s="129"/>
      <c r="AQ295" s="129"/>
    </row>
    <row r="296" spans="1:43" ht="12.75" customHeight="1">
      <c r="A296" s="129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129"/>
      <c r="Y296" s="129"/>
      <c r="Z296" s="129"/>
      <c r="AA296" s="129"/>
      <c r="AB296" s="129"/>
      <c r="AC296" s="129"/>
      <c r="AD296" s="129"/>
      <c r="AE296" s="129"/>
      <c r="AF296" s="129"/>
      <c r="AG296" s="129"/>
      <c r="AH296" s="129"/>
      <c r="AI296" s="129"/>
      <c r="AJ296" s="129"/>
      <c r="AK296" s="129"/>
      <c r="AL296" s="129"/>
      <c r="AM296" s="129"/>
      <c r="AN296" s="129"/>
      <c r="AO296" s="129"/>
      <c r="AP296" s="129"/>
      <c r="AQ296" s="129"/>
    </row>
    <row r="297" spans="1:43" ht="12.75" customHeight="1">
      <c r="A297" s="129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129"/>
      <c r="Y297" s="129"/>
      <c r="Z297" s="129"/>
      <c r="AA297" s="129"/>
      <c r="AB297" s="129"/>
      <c r="AC297" s="129"/>
      <c r="AD297" s="129"/>
      <c r="AE297" s="129"/>
      <c r="AF297" s="129"/>
      <c r="AG297" s="129"/>
      <c r="AH297" s="129"/>
      <c r="AI297" s="129"/>
      <c r="AJ297" s="129"/>
      <c r="AK297" s="129"/>
      <c r="AL297" s="129"/>
      <c r="AM297" s="129"/>
      <c r="AN297" s="129"/>
      <c r="AO297" s="129"/>
      <c r="AP297" s="129"/>
      <c r="AQ297" s="129"/>
    </row>
    <row r="298" spans="1:43" ht="12.75" customHeight="1">
      <c r="A298" s="129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129"/>
      <c r="Y298" s="129"/>
      <c r="Z298" s="129"/>
      <c r="AA298" s="129"/>
      <c r="AB298" s="129"/>
      <c r="AC298" s="129"/>
      <c r="AD298" s="129"/>
      <c r="AE298" s="129"/>
      <c r="AF298" s="129"/>
      <c r="AG298" s="129"/>
      <c r="AH298" s="129"/>
      <c r="AI298" s="129"/>
      <c r="AJ298" s="129"/>
      <c r="AK298" s="129"/>
      <c r="AL298" s="129"/>
      <c r="AM298" s="129"/>
      <c r="AN298" s="129"/>
      <c r="AO298" s="129"/>
      <c r="AP298" s="129"/>
      <c r="AQ298" s="129"/>
    </row>
    <row r="299" spans="1:43" ht="12.75" customHeight="1">
      <c r="A299" s="129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129"/>
      <c r="Y299" s="129"/>
      <c r="Z299" s="129"/>
      <c r="AA299" s="129"/>
      <c r="AB299" s="129"/>
      <c r="AC299" s="129"/>
      <c r="AD299" s="129"/>
      <c r="AE299" s="129"/>
      <c r="AF299" s="129"/>
      <c r="AG299" s="129"/>
      <c r="AH299" s="129"/>
      <c r="AI299" s="129"/>
      <c r="AJ299" s="129"/>
      <c r="AK299" s="129"/>
      <c r="AL299" s="129"/>
      <c r="AM299" s="129"/>
      <c r="AN299" s="129"/>
      <c r="AO299" s="129"/>
      <c r="AP299" s="129"/>
      <c r="AQ299" s="129"/>
    </row>
    <row r="300" spans="1:43" ht="12.75" customHeight="1">
      <c r="A300" s="129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129"/>
      <c r="Y300" s="129"/>
      <c r="Z300" s="129"/>
      <c r="AA300" s="129"/>
      <c r="AB300" s="129"/>
      <c r="AC300" s="129"/>
      <c r="AD300" s="129"/>
      <c r="AE300" s="129"/>
      <c r="AF300" s="129"/>
      <c r="AG300" s="129"/>
      <c r="AH300" s="129"/>
      <c r="AI300" s="129"/>
      <c r="AJ300" s="129"/>
      <c r="AK300" s="129"/>
      <c r="AL300" s="129"/>
      <c r="AM300" s="129"/>
      <c r="AN300" s="129"/>
      <c r="AO300" s="129"/>
      <c r="AP300" s="129"/>
      <c r="AQ300" s="129"/>
    </row>
    <row r="301" spans="1:43" ht="12.75" customHeight="1">
      <c r="A301" s="129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129"/>
      <c r="Y301" s="129"/>
      <c r="Z301" s="129"/>
      <c r="AA301" s="129"/>
      <c r="AB301" s="129"/>
      <c r="AC301" s="129"/>
      <c r="AD301" s="129"/>
      <c r="AE301" s="129"/>
      <c r="AF301" s="129"/>
      <c r="AG301" s="129"/>
      <c r="AH301" s="129"/>
      <c r="AI301" s="129"/>
      <c r="AJ301" s="129"/>
      <c r="AK301" s="129"/>
      <c r="AL301" s="129"/>
      <c r="AM301" s="129"/>
      <c r="AN301" s="129"/>
      <c r="AO301" s="129"/>
      <c r="AP301" s="129"/>
      <c r="AQ301" s="129"/>
    </row>
    <row r="302" spans="1:43" ht="12.75" customHeight="1">
      <c r="A302" s="129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129"/>
      <c r="Y302" s="129"/>
      <c r="Z302" s="129"/>
      <c r="AA302" s="129"/>
      <c r="AB302" s="129"/>
      <c r="AC302" s="129"/>
      <c r="AD302" s="129"/>
      <c r="AE302" s="129"/>
      <c r="AF302" s="129"/>
      <c r="AG302" s="129"/>
      <c r="AH302" s="129"/>
      <c r="AI302" s="129"/>
      <c r="AJ302" s="129"/>
      <c r="AK302" s="129"/>
      <c r="AL302" s="129"/>
      <c r="AM302" s="129"/>
      <c r="AN302" s="129"/>
      <c r="AO302" s="129"/>
      <c r="AP302" s="129"/>
      <c r="AQ302" s="129"/>
    </row>
    <row r="303" spans="1:43" ht="12.75" customHeight="1">
      <c r="A303" s="129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129"/>
      <c r="Y303" s="129"/>
      <c r="Z303" s="129"/>
      <c r="AA303" s="129"/>
      <c r="AB303" s="129"/>
      <c r="AC303" s="129"/>
      <c r="AD303" s="129"/>
      <c r="AE303" s="129"/>
      <c r="AF303" s="129"/>
      <c r="AG303" s="129"/>
      <c r="AH303" s="129"/>
      <c r="AI303" s="129"/>
      <c r="AJ303" s="129"/>
      <c r="AK303" s="129"/>
      <c r="AL303" s="129"/>
      <c r="AM303" s="129"/>
      <c r="AN303" s="129"/>
      <c r="AO303" s="129"/>
      <c r="AP303" s="129"/>
      <c r="AQ303" s="129"/>
    </row>
    <row r="304" spans="1:43" ht="12.75" customHeight="1">
      <c r="A304" s="129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129"/>
      <c r="Y304" s="129"/>
      <c r="Z304" s="129"/>
      <c r="AA304" s="129"/>
      <c r="AB304" s="129"/>
      <c r="AC304" s="129"/>
      <c r="AD304" s="129"/>
      <c r="AE304" s="129"/>
      <c r="AF304" s="129"/>
      <c r="AG304" s="129"/>
      <c r="AH304" s="129"/>
      <c r="AI304" s="129"/>
      <c r="AJ304" s="129"/>
      <c r="AK304" s="129"/>
      <c r="AL304" s="129"/>
      <c r="AM304" s="129"/>
      <c r="AN304" s="129"/>
      <c r="AO304" s="129"/>
      <c r="AP304" s="129"/>
      <c r="AQ304" s="129"/>
    </row>
    <row r="305" spans="1:43" ht="12.75" customHeight="1">
      <c r="A305" s="129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129"/>
      <c r="Y305" s="129"/>
      <c r="Z305" s="129"/>
      <c r="AA305" s="129"/>
      <c r="AB305" s="129"/>
      <c r="AC305" s="129"/>
      <c r="AD305" s="129"/>
      <c r="AE305" s="129"/>
      <c r="AF305" s="129"/>
      <c r="AG305" s="129"/>
      <c r="AH305" s="129"/>
      <c r="AI305" s="129"/>
      <c r="AJ305" s="129"/>
      <c r="AK305" s="129"/>
      <c r="AL305" s="129"/>
      <c r="AM305" s="129"/>
      <c r="AN305" s="129"/>
      <c r="AO305" s="129"/>
      <c r="AP305" s="129"/>
      <c r="AQ305" s="129"/>
    </row>
    <row r="306" spans="1:43" ht="12.75" customHeight="1">
      <c r="A306" s="129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129"/>
      <c r="Y306" s="129"/>
      <c r="Z306" s="129"/>
      <c r="AA306" s="129"/>
      <c r="AB306" s="129"/>
      <c r="AC306" s="129"/>
      <c r="AD306" s="129"/>
      <c r="AE306" s="129"/>
      <c r="AF306" s="129"/>
      <c r="AG306" s="129"/>
      <c r="AH306" s="129"/>
      <c r="AI306" s="129"/>
      <c r="AJ306" s="129"/>
      <c r="AK306" s="129"/>
      <c r="AL306" s="129"/>
      <c r="AM306" s="129"/>
      <c r="AN306" s="129"/>
      <c r="AO306" s="129"/>
      <c r="AP306" s="129"/>
      <c r="AQ306" s="129"/>
    </row>
    <row r="307" spans="1:43" ht="12.75" customHeight="1">
      <c r="A307" s="129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129"/>
      <c r="Y307" s="129"/>
      <c r="Z307" s="129"/>
      <c r="AA307" s="129"/>
      <c r="AB307" s="129"/>
      <c r="AC307" s="129"/>
      <c r="AD307" s="129"/>
      <c r="AE307" s="129"/>
      <c r="AF307" s="129"/>
      <c r="AG307" s="129"/>
      <c r="AH307" s="129"/>
      <c r="AI307" s="129"/>
      <c r="AJ307" s="129"/>
      <c r="AK307" s="129"/>
      <c r="AL307" s="129"/>
      <c r="AM307" s="129"/>
      <c r="AN307" s="129"/>
      <c r="AO307" s="129"/>
      <c r="AP307" s="129"/>
      <c r="AQ307" s="129"/>
    </row>
    <row r="308" spans="1:43" ht="12.75" customHeight="1">
      <c r="A308" s="129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129"/>
      <c r="Y308" s="129"/>
      <c r="Z308" s="129"/>
      <c r="AA308" s="129"/>
      <c r="AB308" s="129"/>
      <c r="AC308" s="129"/>
      <c r="AD308" s="129"/>
      <c r="AE308" s="129"/>
      <c r="AF308" s="129"/>
      <c r="AG308" s="129"/>
      <c r="AH308" s="129"/>
      <c r="AI308" s="129"/>
      <c r="AJ308" s="129"/>
      <c r="AK308" s="129"/>
      <c r="AL308" s="129"/>
      <c r="AM308" s="129"/>
      <c r="AN308" s="129"/>
      <c r="AO308" s="129"/>
      <c r="AP308" s="129"/>
      <c r="AQ308" s="129"/>
    </row>
    <row r="309" spans="1:43" ht="12.75" customHeight="1">
      <c r="A309" s="129"/>
      <c r="B309" s="129"/>
      <c r="C309" s="129"/>
      <c r="D309" s="129"/>
      <c r="E309" s="129"/>
      <c r="F309" s="129"/>
      <c r="G309" s="129"/>
      <c r="H309" s="129"/>
      <c r="I309" s="129"/>
      <c r="J309" s="129"/>
      <c r="K309" s="129"/>
      <c r="L309" s="129"/>
      <c r="M309" s="129"/>
      <c r="N309" s="129"/>
      <c r="O309" s="129"/>
      <c r="P309" s="129"/>
      <c r="Q309" s="129"/>
      <c r="R309" s="129"/>
      <c r="S309" s="129"/>
      <c r="T309" s="129"/>
      <c r="U309" s="129"/>
      <c r="V309" s="129"/>
      <c r="W309" s="129"/>
      <c r="X309" s="129"/>
      <c r="Y309" s="129"/>
      <c r="Z309" s="129"/>
      <c r="AA309" s="129"/>
      <c r="AB309" s="129"/>
      <c r="AC309" s="129"/>
      <c r="AD309" s="129"/>
      <c r="AE309" s="129"/>
      <c r="AF309" s="129"/>
      <c r="AG309" s="129"/>
      <c r="AH309" s="129"/>
      <c r="AI309" s="129"/>
      <c r="AJ309" s="129"/>
      <c r="AK309" s="129"/>
      <c r="AL309" s="129"/>
      <c r="AM309" s="129"/>
      <c r="AN309" s="129"/>
      <c r="AO309" s="129"/>
      <c r="AP309" s="129"/>
      <c r="AQ309" s="129"/>
    </row>
    <row r="310" spans="1:43" ht="12.75" customHeight="1">
      <c r="A310" s="129"/>
      <c r="B310" s="129"/>
      <c r="C310" s="129"/>
      <c r="D310" s="129"/>
      <c r="E310" s="129"/>
      <c r="F310" s="129"/>
      <c r="G310" s="129"/>
      <c r="H310" s="129"/>
      <c r="I310" s="129"/>
      <c r="J310" s="129"/>
      <c r="K310" s="129"/>
      <c r="L310" s="129"/>
      <c r="M310" s="129"/>
      <c r="N310" s="129"/>
      <c r="O310" s="129"/>
      <c r="P310" s="129"/>
      <c r="Q310" s="129"/>
      <c r="R310" s="129"/>
      <c r="S310" s="129"/>
      <c r="T310" s="129"/>
      <c r="U310" s="129"/>
      <c r="V310" s="129"/>
      <c r="W310" s="129"/>
      <c r="X310" s="129"/>
      <c r="Y310" s="129"/>
      <c r="Z310" s="129"/>
      <c r="AA310" s="129"/>
      <c r="AB310" s="129"/>
      <c r="AC310" s="129"/>
      <c r="AD310" s="129"/>
      <c r="AE310" s="129"/>
      <c r="AF310" s="129"/>
      <c r="AG310" s="129"/>
      <c r="AH310" s="129"/>
      <c r="AI310" s="129"/>
      <c r="AJ310" s="129"/>
      <c r="AK310" s="129"/>
      <c r="AL310" s="129"/>
      <c r="AM310" s="129"/>
      <c r="AN310" s="129"/>
      <c r="AO310" s="129"/>
      <c r="AP310" s="129"/>
      <c r="AQ310" s="129"/>
    </row>
    <row r="311" spans="1:43" ht="12.75" customHeight="1">
      <c r="A311" s="129"/>
      <c r="B311" s="129"/>
      <c r="C311" s="129"/>
      <c r="D311" s="129"/>
      <c r="E311" s="129"/>
      <c r="F311" s="129"/>
      <c r="G311" s="129"/>
      <c r="H311" s="129"/>
      <c r="I311" s="129"/>
      <c r="J311" s="129"/>
      <c r="K311" s="129"/>
      <c r="L311" s="129"/>
      <c r="M311" s="129"/>
      <c r="N311" s="129"/>
      <c r="O311" s="129"/>
      <c r="P311" s="129"/>
      <c r="Q311" s="129"/>
      <c r="R311" s="129"/>
      <c r="S311" s="129"/>
      <c r="T311" s="129"/>
      <c r="U311" s="129"/>
      <c r="V311" s="129"/>
      <c r="W311" s="129"/>
      <c r="X311" s="129"/>
      <c r="Y311" s="129"/>
      <c r="Z311" s="129"/>
      <c r="AA311" s="129"/>
      <c r="AB311" s="129"/>
      <c r="AC311" s="129"/>
      <c r="AD311" s="129"/>
      <c r="AE311" s="129"/>
      <c r="AF311" s="129"/>
      <c r="AG311" s="129"/>
      <c r="AH311" s="129"/>
      <c r="AI311" s="129"/>
      <c r="AJ311" s="129"/>
      <c r="AK311" s="129"/>
      <c r="AL311" s="129"/>
      <c r="AM311" s="129"/>
      <c r="AN311" s="129"/>
      <c r="AO311" s="129"/>
      <c r="AP311" s="129"/>
      <c r="AQ311" s="129"/>
    </row>
    <row r="312" spans="1:43" ht="12.75" customHeight="1">
      <c r="A312" s="129"/>
      <c r="B312" s="129"/>
      <c r="C312" s="129"/>
      <c r="D312" s="129"/>
      <c r="E312" s="129"/>
      <c r="F312" s="129"/>
      <c r="G312" s="129"/>
      <c r="H312" s="129"/>
      <c r="I312" s="129"/>
      <c r="J312" s="129"/>
      <c r="K312" s="129"/>
      <c r="L312" s="129"/>
      <c r="M312" s="129"/>
      <c r="N312" s="129"/>
      <c r="O312" s="129"/>
      <c r="P312" s="129"/>
      <c r="Q312" s="129"/>
      <c r="R312" s="129"/>
      <c r="S312" s="129"/>
      <c r="T312" s="129"/>
      <c r="U312" s="129"/>
      <c r="V312" s="129"/>
      <c r="W312" s="129"/>
      <c r="X312" s="129"/>
      <c r="Y312" s="129"/>
      <c r="Z312" s="129"/>
      <c r="AA312" s="129"/>
      <c r="AB312" s="129"/>
      <c r="AC312" s="129"/>
      <c r="AD312" s="129"/>
      <c r="AE312" s="129"/>
      <c r="AF312" s="129"/>
      <c r="AG312" s="129"/>
      <c r="AH312" s="129"/>
      <c r="AI312" s="129"/>
      <c r="AJ312" s="129"/>
      <c r="AK312" s="129"/>
      <c r="AL312" s="129"/>
      <c r="AM312" s="129"/>
      <c r="AN312" s="129"/>
      <c r="AO312" s="129"/>
      <c r="AP312" s="129"/>
      <c r="AQ312" s="129"/>
    </row>
    <row r="313" spans="1:43" ht="12.75" customHeight="1">
      <c r="A313" s="129"/>
      <c r="B313" s="129"/>
      <c r="C313" s="129"/>
      <c r="D313" s="129"/>
      <c r="E313" s="129"/>
      <c r="F313" s="129"/>
      <c r="G313" s="129"/>
      <c r="H313" s="129"/>
      <c r="I313" s="129"/>
      <c r="J313" s="129"/>
      <c r="K313" s="129"/>
      <c r="L313" s="129"/>
      <c r="M313" s="129"/>
      <c r="N313" s="129"/>
      <c r="O313" s="129"/>
      <c r="P313" s="129"/>
      <c r="Q313" s="129"/>
      <c r="R313" s="129"/>
      <c r="S313" s="129"/>
      <c r="T313" s="129"/>
      <c r="U313" s="129"/>
      <c r="V313" s="129"/>
      <c r="W313" s="129"/>
      <c r="X313" s="129"/>
      <c r="Y313" s="129"/>
      <c r="Z313" s="129"/>
      <c r="AA313" s="129"/>
      <c r="AB313" s="129"/>
      <c r="AC313" s="129"/>
      <c r="AD313" s="129"/>
      <c r="AE313" s="129"/>
      <c r="AF313" s="129"/>
      <c r="AG313" s="129"/>
      <c r="AH313" s="129"/>
      <c r="AI313" s="129"/>
      <c r="AJ313" s="129"/>
      <c r="AK313" s="129"/>
      <c r="AL313" s="129"/>
      <c r="AM313" s="129"/>
      <c r="AN313" s="129"/>
      <c r="AO313" s="129"/>
      <c r="AP313" s="129"/>
      <c r="AQ313" s="129"/>
    </row>
    <row r="314" spans="1:43" ht="12.75" customHeight="1">
      <c r="A314" s="129"/>
      <c r="B314" s="129"/>
      <c r="C314" s="129"/>
      <c r="D314" s="129"/>
      <c r="E314" s="129"/>
      <c r="F314" s="129"/>
      <c r="G314" s="129"/>
      <c r="H314" s="129"/>
      <c r="I314" s="129"/>
      <c r="J314" s="129"/>
      <c r="K314" s="129"/>
      <c r="L314" s="129"/>
      <c r="M314" s="129"/>
      <c r="N314" s="129"/>
      <c r="O314" s="129"/>
      <c r="P314" s="129"/>
      <c r="Q314" s="129"/>
      <c r="R314" s="129"/>
      <c r="S314" s="129"/>
      <c r="T314" s="129"/>
      <c r="U314" s="129"/>
      <c r="V314" s="129"/>
      <c r="W314" s="129"/>
      <c r="X314" s="129"/>
      <c r="Y314" s="129"/>
      <c r="Z314" s="129"/>
      <c r="AA314" s="129"/>
      <c r="AB314" s="129"/>
      <c r="AC314" s="129"/>
      <c r="AD314" s="129"/>
      <c r="AE314" s="129"/>
      <c r="AF314" s="129"/>
      <c r="AG314" s="129"/>
      <c r="AH314" s="129"/>
      <c r="AI314" s="129"/>
      <c r="AJ314" s="129"/>
      <c r="AK314" s="129"/>
      <c r="AL314" s="129"/>
      <c r="AM314" s="129"/>
      <c r="AN314" s="129"/>
      <c r="AO314" s="129"/>
      <c r="AP314" s="129"/>
      <c r="AQ314" s="129"/>
    </row>
    <row r="315" spans="1:43" ht="12.75" customHeight="1">
      <c r="A315" s="129"/>
      <c r="B315" s="129"/>
      <c r="C315" s="129"/>
      <c r="D315" s="129"/>
      <c r="E315" s="129"/>
      <c r="F315" s="129"/>
      <c r="G315" s="129"/>
      <c r="H315" s="129"/>
      <c r="I315" s="129"/>
      <c r="J315" s="129"/>
      <c r="K315" s="129"/>
      <c r="L315" s="129"/>
      <c r="M315" s="129"/>
      <c r="N315" s="129"/>
      <c r="O315" s="129"/>
      <c r="P315" s="129"/>
      <c r="Q315" s="129"/>
      <c r="R315" s="129"/>
      <c r="S315" s="129"/>
      <c r="T315" s="129"/>
      <c r="U315" s="129"/>
      <c r="V315" s="129"/>
      <c r="W315" s="129"/>
      <c r="X315" s="129"/>
      <c r="Y315" s="129"/>
      <c r="Z315" s="129"/>
      <c r="AA315" s="129"/>
      <c r="AB315" s="129"/>
      <c r="AC315" s="129"/>
      <c r="AD315" s="129"/>
      <c r="AE315" s="129"/>
      <c r="AF315" s="129"/>
      <c r="AG315" s="129"/>
      <c r="AH315" s="129"/>
      <c r="AI315" s="129"/>
      <c r="AJ315" s="129"/>
      <c r="AK315" s="129"/>
      <c r="AL315" s="129"/>
      <c r="AM315" s="129"/>
      <c r="AN315" s="129"/>
      <c r="AO315" s="129"/>
      <c r="AP315" s="129"/>
      <c r="AQ315" s="129"/>
    </row>
    <row r="316" spans="1:43" ht="12.75" customHeight="1">
      <c r="A316" s="129"/>
      <c r="B316" s="129"/>
      <c r="C316" s="129"/>
      <c r="D316" s="129"/>
      <c r="E316" s="129"/>
      <c r="F316" s="129"/>
      <c r="G316" s="129"/>
      <c r="H316" s="129"/>
      <c r="I316" s="129"/>
      <c r="J316" s="129"/>
      <c r="K316" s="129"/>
      <c r="L316" s="129"/>
      <c r="M316" s="129"/>
      <c r="N316" s="129"/>
      <c r="O316" s="129"/>
      <c r="P316" s="129"/>
      <c r="Q316" s="129"/>
      <c r="R316" s="129"/>
      <c r="S316" s="129"/>
      <c r="T316" s="129"/>
      <c r="U316" s="129"/>
      <c r="V316" s="129"/>
      <c r="W316" s="129"/>
      <c r="X316" s="129"/>
      <c r="Y316" s="129"/>
      <c r="Z316" s="129"/>
      <c r="AA316" s="129"/>
      <c r="AB316" s="129"/>
      <c r="AC316" s="129"/>
      <c r="AD316" s="129"/>
      <c r="AE316" s="129"/>
      <c r="AF316" s="129"/>
      <c r="AG316" s="129"/>
      <c r="AH316" s="129"/>
      <c r="AI316" s="129"/>
      <c r="AJ316" s="129"/>
      <c r="AK316" s="129"/>
      <c r="AL316" s="129"/>
      <c r="AM316" s="129"/>
      <c r="AN316" s="129"/>
      <c r="AO316" s="129"/>
      <c r="AP316" s="129"/>
      <c r="AQ316" s="129"/>
    </row>
    <row r="317" spans="1:43" ht="12.75" customHeight="1">
      <c r="A317" s="129"/>
      <c r="B317" s="129"/>
      <c r="C317" s="129"/>
      <c r="D317" s="129"/>
      <c r="E317" s="129"/>
      <c r="F317" s="129"/>
      <c r="G317" s="129"/>
      <c r="H317" s="129"/>
      <c r="I317" s="129"/>
      <c r="J317" s="129"/>
      <c r="K317" s="129"/>
      <c r="L317" s="129"/>
      <c r="M317" s="129"/>
      <c r="N317" s="129"/>
      <c r="O317" s="129"/>
      <c r="P317" s="129"/>
      <c r="Q317" s="129"/>
      <c r="R317" s="129"/>
      <c r="S317" s="129"/>
      <c r="T317" s="129"/>
      <c r="U317" s="129"/>
      <c r="V317" s="129"/>
      <c r="W317" s="129"/>
      <c r="X317" s="129"/>
      <c r="Y317" s="129"/>
      <c r="Z317" s="129"/>
      <c r="AA317" s="129"/>
      <c r="AB317" s="129"/>
      <c r="AC317" s="129"/>
      <c r="AD317" s="129"/>
      <c r="AE317" s="129"/>
      <c r="AF317" s="129"/>
      <c r="AG317" s="129"/>
      <c r="AH317" s="129"/>
      <c r="AI317" s="129"/>
      <c r="AJ317" s="129"/>
      <c r="AK317" s="129"/>
      <c r="AL317" s="129"/>
      <c r="AM317" s="129"/>
      <c r="AN317" s="129"/>
      <c r="AO317" s="129"/>
      <c r="AP317" s="129"/>
      <c r="AQ317" s="129"/>
    </row>
    <row r="318" spans="1:43" ht="12.75" customHeight="1">
      <c r="A318" s="129"/>
      <c r="B318" s="129"/>
      <c r="C318" s="129"/>
      <c r="D318" s="129"/>
      <c r="E318" s="129"/>
      <c r="F318" s="129"/>
      <c r="G318" s="129"/>
      <c r="H318" s="129"/>
      <c r="I318" s="129"/>
      <c r="J318" s="129"/>
      <c r="K318" s="129"/>
      <c r="L318" s="129"/>
      <c r="M318" s="129"/>
      <c r="N318" s="129"/>
      <c r="O318" s="129"/>
      <c r="P318" s="129"/>
      <c r="Q318" s="129"/>
      <c r="R318" s="129"/>
      <c r="S318" s="129"/>
      <c r="T318" s="129"/>
      <c r="U318" s="129"/>
      <c r="V318" s="129"/>
      <c r="W318" s="129"/>
      <c r="X318" s="129"/>
      <c r="Y318" s="129"/>
      <c r="Z318" s="129"/>
      <c r="AA318" s="129"/>
      <c r="AB318" s="129"/>
      <c r="AC318" s="129"/>
      <c r="AD318" s="129"/>
      <c r="AE318" s="129"/>
      <c r="AF318" s="129"/>
      <c r="AG318" s="129"/>
      <c r="AH318" s="129"/>
      <c r="AI318" s="129"/>
      <c r="AJ318" s="129"/>
      <c r="AK318" s="129"/>
      <c r="AL318" s="129"/>
      <c r="AM318" s="129"/>
      <c r="AN318" s="129"/>
      <c r="AO318" s="129"/>
      <c r="AP318" s="129"/>
      <c r="AQ318" s="129"/>
    </row>
    <row r="319" spans="1:43" ht="12.75" customHeight="1">
      <c r="A319" s="129"/>
      <c r="B319" s="129"/>
      <c r="C319" s="129"/>
      <c r="D319" s="129"/>
      <c r="E319" s="129"/>
      <c r="F319" s="129"/>
      <c r="G319" s="129"/>
      <c r="H319" s="129"/>
      <c r="I319" s="129"/>
      <c r="J319" s="129"/>
      <c r="K319" s="129"/>
      <c r="L319" s="129"/>
      <c r="M319" s="129"/>
      <c r="N319" s="129"/>
      <c r="O319" s="129"/>
      <c r="P319" s="129"/>
      <c r="Q319" s="129"/>
      <c r="R319" s="129"/>
      <c r="S319" s="129"/>
      <c r="T319" s="129"/>
      <c r="U319" s="129"/>
      <c r="V319" s="129"/>
      <c r="W319" s="129"/>
      <c r="X319" s="129"/>
      <c r="Y319" s="129"/>
      <c r="Z319" s="129"/>
      <c r="AA319" s="129"/>
      <c r="AB319" s="129"/>
      <c r="AC319" s="129"/>
      <c r="AD319" s="129"/>
      <c r="AE319" s="129"/>
      <c r="AF319" s="129"/>
      <c r="AG319" s="129"/>
      <c r="AH319" s="129"/>
      <c r="AI319" s="129"/>
      <c r="AJ319" s="129"/>
      <c r="AK319" s="129"/>
      <c r="AL319" s="129"/>
      <c r="AM319" s="129"/>
      <c r="AN319" s="129"/>
      <c r="AO319" s="129"/>
      <c r="AP319" s="129"/>
      <c r="AQ319" s="129"/>
    </row>
    <row r="320" spans="1:43" ht="12.75" customHeight="1">
      <c r="A320" s="129"/>
      <c r="B320" s="129"/>
      <c r="C320" s="129"/>
      <c r="D320" s="129"/>
      <c r="E320" s="129"/>
      <c r="F320" s="129"/>
      <c r="G320" s="129"/>
      <c r="H320" s="129"/>
      <c r="I320" s="129"/>
      <c r="J320" s="129"/>
      <c r="K320" s="129"/>
      <c r="L320" s="129"/>
      <c r="M320" s="129"/>
      <c r="N320" s="129"/>
      <c r="O320" s="129"/>
      <c r="P320" s="129"/>
      <c r="Q320" s="129"/>
      <c r="R320" s="129"/>
      <c r="S320" s="129"/>
      <c r="T320" s="129"/>
      <c r="U320" s="129"/>
      <c r="V320" s="129"/>
      <c r="W320" s="129"/>
      <c r="X320" s="129"/>
      <c r="Y320" s="129"/>
      <c r="Z320" s="129"/>
      <c r="AA320" s="129"/>
      <c r="AB320" s="129"/>
      <c r="AC320" s="129"/>
      <c r="AD320" s="129"/>
      <c r="AE320" s="129"/>
      <c r="AF320" s="129"/>
      <c r="AG320" s="129"/>
      <c r="AH320" s="129"/>
      <c r="AI320" s="129"/>
      <c r="AJ320" s="129"/>
      <c r="AK320" s="129"/>
      <c r="AL320" s="129"/>
      <c r="AM320" s="129"/>
      <c r="AN320" s="129"/>
      <c r="AO320" s="129"/>
      <c r="AP320" s="129"/>
      <c r="AQ320" s="129"/>
    </row>
    <row r="321" spans="1:43" ht="12.75" customHeight="1">
      <c r="A321" s="129"/>
      <c r="B321" s="129"/>
      <c r="C321" s="129"/>
      <c r="D321" s="129"/>
      <c r="E321" s="129"/>
      <c r="F321" s="129"/>
      <c r="G321" s="129"/>
      <c r="H321" s="129"/>
      <c r="I321" s="129"/>
      <c r="J321" s="129"/>
      <c r="K321" s="129"/>
      <c r="L321" s="129"/>
      <c r="M321" s="129"/>
      <c r="N321" s="129"/>
      <c r="O321" s="129"/>
      <c r="P321" s="129"/>
      <c r="Q321" s="129"/>
      <c r="R321" s="129"/>
      <c r="S321" s="129"/>
      <c r="T321" s="129"/>
      <c r="U321" s="129"/>
      <c r="V321" s="129"/>
      <c r="W321" s="129"/>
      <c r="X321" s="129"/>
      <c r="Y321" s="129"/>
      <c r="Z321" s="129"/>
      <c r="AA321" s="129"/>
      <c r="AB321" s="129"/>
      <c r="AC321" s="129"/>
      <c r="AD321" s="129"/>
      <c r="AE321" s="129"/>
      <c r="AF321" s="129"/>
      <c r="AG321" s="129"/>
      <c r="AH321" s="129"/>
      <c r="AI321" s="129"/>
      <c r="AJ321" s="129"/>
      <c r="AK321" s="129"/>
      <c r="AL321" s="129"/>
      <c r="AM321" s="129"/>
      <c r="AN321" s="129"/>
      <c r="AO321" s="129"/>
      <c r="AP321" s="129"/>
      <c r="AQ321" s="129"/>
    </row>
    <row r="322" spans="1:43" ht="12.75" customHeight="1">
      <c r="A322" s="129"/>
      <c r="B322" s="129"/>
      <c r="C322" s="129"/>
      <c r="D322" s="129"/>
      <c r="E322" s="129"/>
      <c r="F322" s="129"/>
      <c r="G322" s="129"/>
      <c r="H322" s="129"/>
      <c r="I322" s="129"/>
      <c r="J322" s="129"/>
      <c r="K322" s="129"/>
      <c r="L322" s="129"/>
      <c r="M322" s="129"/>
      <c r="N322" s="129"/>
      <c r="O322" s="129"/>
      <c r="P322" s="129"/>
      <c r="Q322" s="129"/>
      <c r="R322" s="129"/>
      <c r="S322" s="129"/>
      <c r="T322" s="129"/>
      <c r="U322" s="129"/>
      <c r="V322" s="129"/>
      <c r="W322" s="129"/>
      <c r="X322" s="129"/>
      <c r="Y322" s="129"/>
      <c r="Z322" s="129"/>
      <c r="AA322" s="129"/>
      <c r="AB322" s="129"/>
      <c r="AC322" s="129"/>
      <c r="AD322" s="129"/>
      <c r="AE322" s="129"/>
      <c r="AF322" s="129"/>
      <c r="AG322" s="129"/>
      <c r="AH322" s="129"/>
      <c r="AI322" s="129"/>
      <c r="AJ322" s="129"/>
      <c r="AK322" s="129"/>
      <c r="AL322" s="129"/>
      <c r="AM322" s="129"/>
      <c r="AN322" s="129"/>
      <c r="AO322" s="129"/>
      <c r="AP322" s="129"/>
      <c r="AQ322" s="129"/>
    </row>
    <row r="323" spans="1:43" ht="12.75" customHeight="1">
      <c r="A323" s="129"/>
      <c r="B323" s="129"/>
      <c r="C323" s="129"/>
      <c r="D323" s="129"/>
      <c r="E323" s="129"/>
      <c r="F323" s="129"/>
      <c r="G323" s="129"/>
      <c r="H323" s="129"/>
      <c r="I323" s="129"/>
      <c r="J323" s="129"/>
      <c r="K323" s="129"/>
      <c r="L323" s="129"/>
      <c r="M323" s="129"/>
      <c r="N323" s="129"/>
      <c r="O323" s="129"/>
      <c r="P323" s="129"/>
      <c r="Q323" s="129"/>
      <c r="R323" s="129"/>
      <c r="S323" s="129"/>
      <c r="T323" s="129"/>
      <c r="U323" s="129"/>
      <c r="V323" s="129"/>
      <c r="W323" s="129"/>
      <c r="X323" s="129"/>
      <c r="Y323" s="129"/>
      <c r="Z323" s="129"/>
      <c r="AA323" s="129"/>
      <c r="AB323" s="129"/>
      <c r="AC323" s="129"/>
      <c r="AD323" s="129"/>
      <c r="AE323" s="129"/>
      <c r="AF323" s="129"/>
      <c r="AG323" s="129"/>
      <c r="AH323" s="129"/>
      <c r="AI323" s="129"/>
      <c r="AJ323" s="129"/>
      <c r="AK323" s="129"/>
      <c r="AL323" s="129"/>
      <c r="AM323" s="129"/>
      <c r="AN323" s="129"/>
      <c r="AO323" s="129"/>
      <c r="AP323" s="129"/>
      <c r="AQ323" s="129"/>
    </row>
    <row r="324" spans="1:43" ht="12.75" customHeight="1">
      <c r="A324" s="129"/>
      <c r="B324" s="129"/>
      <c r="C324" s="129"/>
      <c r="D324" s="129"/>
      <c r="E324" s="129"/>
      <c r="F324" s="129"/>
      <c r="G324" s="129"/>
      <c r="H324" s="129"/>
      <c r="I324" s="129"/>
      <c r="J324" s="129"/>
      <c r="K324" s="129"/>
      <c r="L324" s="129"/>
      <c r="M324" s="129"/>
      <c r="N324" s="129"/>
      <c r="O324" s="129"/>
      <c r="P324" s="129"/>
      <c r="Q324" s="129"/>
      <c r="R324" s="129"/>
      <c r="S324" s="129"/>
      <c r="T324" s="129"/>
      <c r="U324" s="129"/>
      <c r="V324" s="129"/>
      <c r="W324" s="129"/>
      <c r="X324" s="129"/>
      <c r="Y324" s="129"/>
      <c r="Z324" s="129"/>
      <c r="AA324" s="129"/>
      <c r="AB324" s="129"/>
      <c r="AC324" s="129"/>
      <c r="AD324" s="129"/>
      <c r="AE324" s="129"/>
      <c r="AF324" s="129"/>
      <c r="AG324" s="129"/>
      <c r="AH324" s="129"/>
      <c r="AI324" s="129"/>
      <c r="AJ324" s="129"/>
      <c r="AK324" s="129"/>
      <c r="AL324" s="129"/>
      <c r="AM324" s="129"/>
      <c r="AN324" s="129"/>
      <c r="AO324" s="129"/>
      <c r="AP324" s="129"/>
      <c r="AQ324" s="129"/>
    </row>
    <row r="325" spans="1:43" ht="12.75" customHeight="1">
      <c r="A325" s="129"/>
      <c r="B325" s="129"/>
      <c r="C325" s="129"/>
      <c r="D325" s="129"/>
      <c r="E325" s="129"/>
      <c r="F325" s="129"/>
      <c r="G325" s="129"/>
      <c r="H325" s="129"/>
      <c r="I325" s="129"/>
      <c r="J325" s="129"/>
      <c r="K325" s="129"/>
      <c r="L325" s="129"/>
      <c r="M325" s="129"/>
      <c r="N325" s="129"/>
      <c r="O325" s="129"/>
      <c r="P325" s="129"/>
      <c r="Q325" s="129"/>
      <c r="R325" s="129"/>
      <c r="S325" s="129"/>
      <c r="T325" s="129"/>
      <c r="U325" s="129"/>
      <c r="V325" s="129"/>
      <c r="W325" s="129"/>
      <c r="X325" s="129"/>
      <c r="Y325" s="129"/>
      <c r="Z325" s="129"/>
      <c r="AA325" s="129"/>
      <c r="AB325" s="129"/>
      <c r="AC325" s="129"/>
      <c r="AD325" s="129"/>
      <c r="AE325" s="129"/>
      <c r="AF325" s="129"/>
      <c r="AG325" s="129"/>
      <c r="AH325" s="129"/>
      <c r="AI325" s="129"/>
      <c r="AJ325" s="129"/>
      <c r="AK325" s="129"/>
      <c r="AL325" s="129"/>
      <c r="AM325" s="129"/>
      <c r="AN325" s="129"/>
      <c r="AO325" s="129"/>
      <c r="AP325" s="129"/>
      <c r="AQ325" s="129"/>
    </row>
    <row r="326" spans="1:43" ht="12.75" customHeight="1">
      <c r="A326" s="129"/>
      <c r="B326" s="129"/>
      <c r="C326" s="129"/>
      <c r="D326" s="129"/>
      <c r="E326" s="129"/>
      <c r="F326" s="129"/>
      <c r="G326" s="129"/>
      <c r="H326" s="129"/>
      <c r="I326" s="129"/>
      <c r="J326" s="129"/>
      <c r="K326" s="129"/>
      <c r="L326" s="129"/>
      <c r="M326" s="129"/>
      <c r="N326" s="129"/>
      <c r="O326" s="129"/>
      <c r="P326" s="129"/>
      <c r="Q326" s="129"/>
      <c r="R326" s="129"/>
      <c r="S326" s="129"/>
      <c r="T326" s="129"/>
      <c r="U326" s="129"/>
      <c r="V326" s="129"/>
      <c r="W326" s="129"/>
      <c r="X326" s="129"/>
      <c r="Y326" s="129"/>
      <c r="Z326" s="129"/>
      <c r="AA326" s="129"/>
      <c r="AB326" s="129"/>
      <c r="AC326" s="129"/>
      <c r="AD326" s="129"/>
      <c r="AE326" s="129"/>
      <c r="AF326" s="129"/>
      <c r="AG326" s="129"/>
      <c r="AH326" s="129"/>
      <c r="AI326" s="129"/>
      <c r="AJ326" s="129"/>
      <c r="AK326" s="129"/>
      <c r="AL326" s="129"/>
      <c r="AM326" s="129"/>
      <c r="AN326" s="129"/>
      <c r="AO326" s="129"/>
      <c r="AP326" s="129"/>
      <c r="AQ326" s="129"/>
    </row>
    <row r="327" spans="1:43" ht="12.75" customHeight="1">
      <c r="A327" s="129"/>
      <c r="B327" s="129"/>
      <c r="C327" s="129"/>
      <c r="D327" s="129"/>
      <c r="E327" s="129"/>
      <c r="F327" s="129"/>
      <c r="G327" s="129"/>
      <c r="H327" s="129"/>
      <c r="I327" s="129"/>
      <c r="J327" s="129"/>
      <c r="K327" s="129"/>
      <c r="L327" s="129"/>
      <c r="M327" s="129"/>
      <c r="N327" s="129"/>
      <c r="O327" s="129"/>
      <c r="P327" s="129"/>
      <c r="Q327" s="129"/>
      <c r="R327" s="129"/>
      <c r="S327" s="129"/>
      <c r="T327" s="129"/>
      <c r="U327" s="129"/>
      <c r="V327" s="129"/>
      <c r="W327" s="129"/>
      <c r="X327" s="129"/>
      <c r="Y327" s="129"/>
      <c r="Z327" s="129"/>
      <c r="AA327" s="129"/>
      <c r="AB327" s="129"/>
      <c r="AC327" s="129"/>
      <c r="AD327" s="129"/>
      <c r="AE327" s="129"/>
      <c r="AF327" s="129"/>
      <c r="AG327" s="129"/>
      <c r="AH327" s="129"/>
      <c r="AI327" s="129"/>
      <c r="AJ327" s="129"/>
      <c r="AK327" s="129"/>
      <c r="AL327" s="129"/>
      <c r="AM327" s="129"/>
      <c r="AN327" s="129"/>
      <c r="AO327" s="129"/>
      <c r="AP327" s="129"/>
      <c r="AQ327" s="129"/>
    </row>
    <row r="328" spans="1:43" ht="12.75" customHeight="1">
      <c r="A328" s="129"/>
      <c r="B328" s="129"/>
      <c r="C328" s="129"/>
      <c r="D328" s="129"/>
      <c r="E328" s="129"/>
      <c r="F328" s="129"/>
      <c r="G328" s="129"/>
      <c r="H328" s="129"/>
      <c r="I328" s="129"/>
      <c r="J328" s="129"/>
      <c r="K328" s="129"/>
      <c r="L328" s="129"/>
      <c r="M328" s="129"/>
      <c r="N328" s="129"/>
      <c r="O328" s="129"/>
      <c r="P328" s="129"/>
      <c r="Q328" s="129"/>
      <c r="R328" s="129"/>
      <c r="S328" s="129"/>
      <c r="T328" s="129"/>
      <c r="U328" s="129"/>
      <c r="V328" s="129"/>
      <c r="W328" s="129"/>
      <c r="X328" s="129"/>
      <c r="Y328" s="129"/>
      <c r="Z328" s="129"/>
      <c r="AA328" s="129"/>
      <c r="AB328" s="129"/>
      <c r="AC328" s="129"/>
      <c r="AD328" s="129"/>
      <c r="AE328" s="129"/>
      <c r="AF328" s="129"/>
      <c r="AG328" s="129"/>
      <c r="AH328" s="129"/>
      <c r="AI328" s="129"/>
      <c r="AJ328" s="129"/>
      <c r="AK328" s="129"/>
      <c r="AL328" s="129"/>
      <c r="AM328" s="129"/>
      <c r="AN328" s="129"/>
      <c r="AO328" s="129"/>
      <c r="AP328" s="129"/>
      <c r="AQ328" s="129"/>
    </row>
    <row r="329" spans="1:43" ht="12.75" customHeight="1">
      <c r="A329" s="129"/>
      <c r="B329" s="129"/>
      <c r="C329" s="129"/>
      <c r="D329" s="129"/>
      <c r="E329" s="129"/>
      <c r="F329" s="129"/>
      <c r="G329" s="129"/>
      <c r="H329" s="129"/>
      <c r="I329" s="129"/>
      <c r="J329" s="129"/>
      <c r="K329" s="129"/>
      <c r="L329" s="129"/>
      <c r="M329" s="129"/>
      <c r="N329" s="129"/>
      <c r="O329" s="129"/>
      <c r="P329" s="129"/>
      <c r="Q329" s="129"/>
      <c r="R329" s="129"/>
      <c r="S329" s="129"/>
      <c r="T329" s="129"/>
      <c r="U329" s="129"/>
      <c r="V329" s="129"/>
      <c r="W329" s="129"/>
      <c r="X329" s="129"/>
      <c r="Y329" s="129"/>
      <c r="Z329" s="129"/>
      <c r="AA329" s="129"/>
      <c r="AB329" s="129"/>
      <c r="AC329" s="129"/>
      <c r="AD329" s="129"/>
      <c r="AE329" s="129"/>
      <c r="AF329" s="129"/>
      <c r="AG329" s="129"/>
      <c r="AH329" s="129"/>
      <c r="AI329" s="129"/>
      <c r="AJ329" s="129"/>
      <c r="AK329" s="129"/>
      <c r="AL329" s="129"/>
      <c r="AM329" s="129"/>
      <c r="AN329" s="129"/>
      <c r="AO329" s="129"/>
      <c r="AP329" s="129"/>
      <c r="AQ329" s="129"/>
    </row>
    <row r="330" spans="1:43" ht="12.75" customHeight="1">
      <c r="A330" s="129"/>
      <c r="B330" s="129"/>
      <c r="C330" s="129"/>
      <c r="D330" s="129"/>
      <c r="E330" s="129"/>
      <c r="F330" s="129"/>
      <c r="G330" s="129"/>
      <c r="H330" s="129"/>
      <c r="I330" s="129"/>
      <c r="J330" s="129"/>
      <c r="K330" s="129"/>
      <c r="L330" s="129"/>
      <c r="M330" s="129"/>
      <c r="N330" s="129"/>
      <c r="O330" s="129"/>
      <c r="P330" s="129"/>
      <c r="Q330" s="129"/>
      <c r="R330" s="129"/>
      <c r="S330" s="129"/>
      <c r="T330" s="129"/>
      <c r="U330" s="129"/>
      <c r="V330" s="129"/>
      <c r="W330" s="129"/>
      <c r="X330" s="129"/>
      <c r="Y330" s="129"/>
      <c r="Z330" s="129"/>
      <c r="AA330" s="129"/>
      <c r="AB330" s="129"/>
      <c r="AC330" s="129"/>
      <c r="AD330" s="129"/>
      <c r="AE330" s="129"/>
      <c r="AF330" s="129"/>
      <c r="AG330" s="129"/>
      <c r="AH330" s="129"/>
      <c r="AI330" s="129"/>
      <c r="AJ330" s="129"/>
      <c r="AK330" s="129"/>
      <c r="AL330" s="129"/>
      <c r="AM330" s="129"/>
      <c r="AN330" s="129"/>
      <c r="AO330" s="129"/>
      <c r="AP330" s="129"/>
      <c r="AQ330" s="129"/>
    </row>
    <row r="331" spans="1:43" ht="12.75" customHeight="1">
      <c r="A331" s="129"/>
      <c r="B331" s="129"/>
      <c r="C331" s="129"/>
      <c r="D331" s="129"/>
      <c r="E331" s="129"/>
      <c r="F331" s="129"/>
      <c r="G331" s="129"/>
      <c r="H331" s="129"/>
      <c r="I331" s="129"/>
      <c r="J331" s="129"/>
      <c r="K331" s="129"/>
      <c r="L331" s="129"/>
      <c r="M331" s="129"/>
      <c r="N331" s="129"/>
      <c r="O331" s="129"/>
      <c r="P331" s="129"/>
      <c r="Q331" s="129"/>
      <c r="R331" s="129"/>
      <c r="S331" s="129"/>
      <c r="T331" s="129"/>
      <c r="U331" s="129"/>
      <c r="V331" s="129"/>
      <c r="W331" s="129"/>
      <c r="X331" s="129"/>
      <c r="Y331" s="129"/>
      <c r="Z331" s="129"/>
      <c r="AA331" s="129"/>
      <c r="AB331" s="129"/>
      <c r="AC331" s="129"/>
      <c r="AD331" s="129"/>
      <c r="AE331" s="129"/>
      <c r="AF331" s="129"/>
      <c r="AG331" s="129"/>
      <c r="AH331" s="129"/>
      <c r="AI331" s="129"/>
      <c r="AJ331" s="129"/>
      <c r="AK331" s="129"/>
      <c r="AL331" s="129"/>
      <c r="AM331" s="129"/>
      <c r="AN331" s="129"/>
      <c r="AO331" s="129"/>
      <c r="AP331" s="129"/>
      <c r="AQ331" s="129"/>
    </row>
    <row r="332" spans="1:43" ht="12.75" customHeight="1">
      <c r="A332" s="129"/>
      <c r="B332" s="129"/>
      <c r="C332" s="129"/>
      <c r="D332" s="129"/>
      <c r="E332" s="129"/>
      <c r="F332" s="129"/>
      <c r="G332" s="129"/>
      <c r="H332" s="129"/>
      <c r="I332" s="129"/>
      <c r="J332" s="129"/>
      <c r="K332" s="129"/>
      <c r="L332" s="129"/>
      <c r="M332" s="129"/>
      <c r="N332" s="129"/>
      <c r="O332" s="129"/>
      <c r="P332" s="129"/>
      <c r="Q332" s="129"/>
      <c r="R332" s="129"/>
      <c r="S332" s="129"/>
      <c r="T332" s="129"/>
      <c r="U332" s="129"/>
      <c r="V332" s="129"/>
      <c r="W332" s="129"/>
      <c r="X332" s="129"/>
      <c r="Y332" s="129"/>
      <c r="Z332" s="129"/>
      <c r="AA332" s="129"/>
      <c r="AB332" s="129"/>
      <c r="AC332" s="129"/>
      <c r="AD332" s="129"/>
      <c r="AE332" s="129"/>
      <c r="AF332" s="129"/>
      <c r="AG332" s="129"/>
      <c r="AH332" s="129"/>
      <c r="AI332" s="129"/>
      <c r="AJ332" s="129"/>
      <c r="AK332" s="129"/>
      <c r="AL332" s="129"/>
      <c r="AM332" s="129"/>
      <c r="AN332" s="129"/>
      <c r="AO332" s="129"/>
      <c r="AP332" s="129"/>
      <c r="AQ332" s="129"/>
    </row>
    <row r="333" spans="1:43" ht="12.75" customHeight="1">
      <c r="A333" s="129"/>
      <c r="B333" s="129"/>
      <c r="C333" s="129"/>
      <c r="D333" s="129"/>
      <c r="E333" s="129"/>
      <c r="F333" s="129"/>
      <c r="G333" s="129"/>
      <c r="H333" s="129"/>
      <c r="I333" s="129"/>
      <c r="J333" s="129"/>
      <c r="K333" s="129"/>
      <c r="L333" s="129"/>
      <c r="M333" s="129"/>
      <c r="N333" s="129"/>
      <c r="O333" s="129"/>
      <c r="P333" s="129"/>
      <c r="Q333" s="129"/>
      <c r="R333" s="129"/>
      <c r="S333" s="129"/>
      <c r="T333" s="129"/>
      <c r="U333" s="129"/>
      <c r="V333" s="129"/>
      <c r="W333" s="129"/>
      <c r="X333" s="129"/>
      <c r="Y333" s="129"/>
      <c r="Z333" s="129"/>
      <c r="AA333" s="129"/>
      <c r="AB333" s="129"/>
      <c r="AC333" s="129"/>
      <c r="AD333" s="129"/>
      <c r="AE333" s="129"/>
      <c r="AF333" s="129"/>
      <c r="AG333" s="129"/>
      <c r="AH333" s="129"/>
      <c r="AI333" s="129"/>
      <c r="AJ333" s="129"/>
      <c r="AK333" s="129"/>
      <c r="AL333" s="129"/>
      <c r="AM333" s="129"/>
      <c r="AN333" s="129"/>
      <c r="AO333" s="129"/>
      <c r="AP333" s="129"/>
      <c r="AQ333" s="129"/>
    </row>
    <row r="334" spans="1:43" ht="12.75" customHeight="1">
      <c r="A334" s="129"/>
      <c r="B334" s="129"/>
      <c r="C334" s="129"/>
      <c r="D334" s="129"/>
      <c r="E334" s="129"/>
      <c r="F334" s="129"/>
      <c r="G334" s="129"/>
      <c r="H334" s="129"/>
      <c r="I334" s="129"/>
      <c r="J334" s="129"/>
      <c r="K334" s="129"/>
      <c r="L334" s="129"/>
      <c r="M334" s="129"/>
      <c r="N334" s="129"/>
      <c r="O334" s="129"/>
      <c r="P334" s="129"/>
      <c r="Q334" s="129"/>
      <c r="R334" s="129"/>
      <c r="S334" s="129"/>
      <c r="T334" s="129"/>
      <c r="U334" s="129"/>
      <c r="V334" s="129"/>
      <c r="W334" s="129"/>
      <c r="X334" s="129"/>
      <c r="Y334" s="129"/>
      <c r="Z334" s="129"/>
      <c r="AA334" s="129"/>
      <c r="AB334" s="129"/>
      <c r="AC334" s="129"/>
      <c r="AD334" s="129"/>
      <c r="AE334" s="129"/>
      <c r="AF334" s="129"/>
      <c r="AG334" s="129"/>
      <c r="AH334" s="129"/>
      <c r="AI334" s="129"/>
      <c r="AJ334" s="129"/>
      <c r="AK334" s="129"/>
      <c r="AL334" s="129"/>
      <c r="AM334" s="129"/>
      <c r="AN334" s="129"/>
      <c r="AO334" s="129"/>
      <c r="AP334" s="129"/>
      <c r="AQ334" s="129"/>
    </row>
    <row r="335" spans="1:43" ht="12.75" customHeight="1">
      <c r="A335" s="129"/>
      <c r="B335" s="129"/>
      <c r="C335" s="129"/>
      <c r="D335" s="129"/>
      <c r="E335" s="129"/>
      <c r="F335" s="129"/>
      <c r="G335" s="129"/>
      <c r="H335" s="129"/>
      <c r="I335" s="129"/>
      <c r="J335" s="129"/>
      <c r="K335" s="129"/>
      <c r="L335" s="129"/>
      <c r="M335" s="129"/>
      <c r="N335" s="129"/>
      <c r="O335" s="129"/>
      <c r="P335" s="129"/>
      <c r="Q335" s="129"/>
      <c r="R335" s="129"/>
      <c r="S335" s="129"/>
      <c r="T335" s="129"/>
      <c r="U335" s="129"/>
      <c r="V335" s="129"/>
      <c r="W335" s="129"/>
      <c r="X335" s="129"/>
      <c r="Y335" s="129"/>
      <c r="Z335" s="129"/>
      <c r="AA335" s="129"/>
      <c r="AB335" s="129"/>
      <c r="AC335" s="129"/>
      <c r="AD335" s="129"/>
      <c r="AE335" s="129"/>
      <c r="AF335" s="129"/>
      <c r="AG335" s="129"/>
      <c r="AH335" s="129"/>
      <c r="AI335" s="129"/>
      <c r="AJ335" s="129"/>
      <c r="AK335" s="129"/>
      <c r="AL335" s="129"/>
      <c r="AM335" s="129"/>
      <c r="AN335" s="129"/>
      <c r="AO335" s="129"/>
      <c r="AP335" s="129"/>
      <c r="AQ335" s="129"/>
    </row>
    <row r="336" spans="1:43" ht="12.75" customHeight="1">
      <c r="A336" s="129"/>
      <c r="B336" s="129"/>
      <c r="C336" s="129"/>
      <c r="D336" s="129"/>
      <c r="E336" s="129"/>
      <c r="F336" s="129"/>
      <c r="G336" s="129"/>
      <c r="H336" s="129"/>
      <c r="I336" s="129"/>
      <c r="J336" s="129"/>
      <c r="K336" s="129"/>
      <c r="L336" s="129"/>
      <c r="M336" s="129"/>
      <c r="N336" s="129"/>
      <c r="O336" s="129"/>
      <c r="P336" s="129"/>
      <c r="Q336" s="129"/>
      <c r="R336" s="129"/>
      <c r="S336" s="129"/>
      <c r="T336" s="129"/>
      <c r="U336" s="129"/>
      <c r="V336" s="129"/>
      <c r="W336" s="129"/>
      <c r="X336" s="129"/>
      <c r="Y336" s="129"/>
      <c r="Z336" s="129"/>
      <c r="AA336" s="129"/>
      <c r="AB336" s="129"/>
      <c r="AC336" s="129"/>
      <c r="AD336" s="129"/>
      <c r="AE336" s="129"/>
      <c r="AF336" s="129"/>
      <c r="AG336" s="129"/>
      <c r="AH336" s="129"/>
      <c r="AI336" s="129"/>
      <c r="AJ336" s="129"/>
      <c r="AK336" s="129"/>
      <c r="AL336" s="129"/>
      <c r="AM336" s="129"/>
      <c r="AN336" s="129"/>
      <c r="AO336" s="129"/>
      <c r="AP336" s="129"/>
      <c r="AQ336" s="129"/>
    </row>
    <row r="337" spans="1:43" ht="12.75" customHeight="1">
      <c r="A337" s="129"/>
      <c r="B337" s="129"/>
      <c r="C337" s="129"/>
      <c r="D337" s="129"/>
      <c r="E337" s="129"/>
      <c r="F337" s="129"/>
      <c r="G337" s="129"/>
      <c r="H337" s="129"/>
      <c r="I337" s="129"/>
      <c r="J337" s="129"/>
      <c r="K337" s="129"/>
      <c r="L337" s="129"/>
      <c r="M337" s="129"/>
      <c r="N337" s="129"/>
      <c r="O337" s="129"/>
      <c r="P337" s="129"/>
      <c r="Q337" s="129"/>
      <c r="R337" s="129"/>
      <c r="S337" s="129"/>
      <c r="T337" s="129"/>
      <c r="U337" s="129"/>
      <c r="V337" s="129"/>
      <c r="W337" s="129"/>
      <c r="X337" s="129"/>
      <c r="Y337" s="129"/>
      <c r="Z337" s="129"/>
      <c r="AA337" s="129"/>
      <c r="AB337" s="129"/>
      <c r="AC337" s="129"/>
      <c r="AD337" s="129"/>
      <c r="AE337" s="129"/>
      <c r="AF337" s="129"/>
      <c r="AG337" s="129"/>
      <c r="AH337" s="129"/>
      <c r="AI337" s="129"/>
      <c r="AJ337" s="129"/>
      <c r="AK337" s="129"/>
      <c r="AL337" s="129"/>
      <c r="AM337" s="129"/>
      <c r="AN337" s="129"/>
      <c r="AO337" s="129"/>
      <c r="AP337" s="129"/>
      <c r="AQ337" s="129"/>
    </row>
    <row r="338" spans="1:43" ht="12.75" customHeight="1">
      <c r="A338" s="129"/>
      <c r="B338" s="129"/>
      <c r="C338" s="129"/>
      <c r="D338" s="129"/>
      <c r="E338" s="129"/>
      <c r="F338" s="129"/>
      <c r="G338" s="129"/>
      <c r="H338" s="129"/>
      <c r="I338" s="129"/>
      <c r="J338" s="129"/>
      <c r="K338" s="129"/>
      <c r="L338" s="129"/>
      <c r="M338" s="129"/>
      <c r="N338" s="129"/>
      <c r="O338" s="129"/>
      <c r="P338" s="129"/>
      <c r="Q338" s="129"/>
      <c r="R338" s="129"/>
      <c r="S338" s="129"/>
      <c r="T338" s="129"/>
      <c r="U338" s="129"/>
      <c r="V338" s="129"/>
      <c r="W338" s="129"/>
      <c r="X338" s="129"/>
      <c r="Y338" s="129"/>
      <c r="Z338" s="129"/>
      <c r="AA338" s="129"/>
      <c r="AB338" s="129"/>
      <c r="AC338" s="129"/>
      <c r="AD338" s="129"/>
      <c r="AE338" s="129"/>
      <c r="AF338" s="129"/>
      <c r="AG338" s="129"/>
      <c r="AH338" s="129"/>
      <c r="AI338" s="129"/>
      <c r="AJ338" s="129"/>
      <c r="AK338" s="129"/>
      <c r="AL338" s="129"/>
      <c r="AM338" s="129"/>
      <c r="AN338" s="129"/>
      <c r="AO338" s="129"/>
      <c r="AP338" s="129"/>
      <c r="AQ338" s="129"/>
    </row>
    <row r="339" spans="1:43" ht="12.75" customHeight="1">
      <c r="A339" s="129"/>
      <c r="B339" s="129"/>
      <c r="C339" s="129"/>
      <c r="D339" s="129"/>
      <c r="E339" s="129"/>
      <c r="F339" s="129"/>
      <c r="G339" s="129"/>
      <c r="H339" s="129"/>
      <c r="I339" s="129"/>
      <c r="J339" s="129"/>
      <c r="K339" s="129"/>
      <c r="L339" s="129"/>
      <c r="M339" s="129"/>
      <c r="N339" s="129"/>
      <c r="O339" s="129"/>
      <c r="P339" s="129"/>
      <c r="Q339" s="129"/>
      <c r="R339" s="129"/>
      <c r="S339" s="129"/>
      <c r="T339" s="129"/>
      <c r="U339" s="129"/>
      <c r="V339" s="129"/>
      <c r="W339" s="129"/>
      <c r="X339" s="129"/>
      <c r="Y339" s="129"/>
      <c r="Z339" s="129"/>
      <c r="AA339" s="129"/>
      <c r="AB339" s="129"/>
      <c r="AC339" s="129"/>
      <c r="AD339" s="129"/>
      <c r="AE339" s="129"/>
      <c r="AF339" s="129"/>
      <c r="AG339" s="129"/>
      <c r="AH339" s="129"/>
      <c r="AI339" s="129"/>
      <c r="AJ339" s="129"/>
      <c r="AK339" s="129"/>
      <c r="AL339" s="129"/>
      <c r="AM339" s="129"/>
      <c r="AN339" s="129"/>
      <c r="AO339" s="129"/>
      <c r="AP339" s="129"/>
      <c r="AQ339" s="129"/>
    </row>
    <row r="340" spans="1:43" ht="12.75" customHeight="1">
      <c r="A340" s="129"/>
      <c r="B340" s="129"/>
      <c r="C340" s="129"/>
      <c r="D340" s="129"/>
      <c r="E340" s="129"/>
      <c r="F340" s="129"/>
      <c r="G340" s="129"/>
      <c r="H340" s="129"/>
      <c r="I340" s="129"/>
      <c r="J340" s="129"/>
      <c r="K340" s="129"/>
      <c r="L340" s="129"/>
      <c r="M340" s="129"/>
      <c r="N340" s="129"/>
      <c r="O340" s="129"/>
      <c r="P340" s="129"/>
      <c r="Q340" s="129"/>
      <c r="R340" s="129"/>
      <c r="S340" s="129"/>
      <c r="T340" s="129"/>
      <c r="U340" s="129"/>
      <c r="V340" s="129"/>
      <c r="W340" s="129"/>
      <c r="X340" s="129"/>
      <c r="Y340" s="129"/>
      <c r="Z340" s="129"/>
      <c r="AA340" s="129"/>
      <c r="AB340" s="129"/>
      <c r="AC340" s="129"/>
      <c r="AD340" s="129"/>
      <c r="AE340" s="129"/>
      <c r="AF340" s="129"/>
      <c r="AG340" s="129"/>
      <c r="AH340" s="129"/>
      <c r="AI340" s="129"/>
      <c r="AJ340" s="129"/>
      <c r="AK340" s="129"/>
      <c r="AL340" s="129"/>
      <c r="AM340" s="129"/>
      <c r="AN340" s="129"/>
      <c r="AO340" s="129"/>
      <c r="AP340" s="129"/>
      <c r="AQ340" s="129"/>
    </row>
    <row r="341" spans="1:43" ht="12.75" customHeight="1">
      <c r="A341" s="129"/>
      <c r="B341" s="129"/>
      <c r="C341" s="129"/>
      <c r="D341" s="129"/>
      <c r="E341" s="129"/>
      <c r="F341" s="129"/>
      <c r="G341" s="129"/>
      <c r="H341" s="129"/>
      <c r="I341" s="129"/>
      <c r="J341" s="129"/>
      <c r="K341" s="129"/>
      <c r="L341" s="129"/>
      <c r="M341" s="129"/>
      <c r="N341" s="129"/>
      <c r="O341" s="129"/>
      <c r="P341" s="129"/>
      <c r="Q341" s="129"/>
      <c r="R341" s="129"/>
      <c r="S341" s="129"/>
      <c r="T341" s="129"/>
      <c r="U341" s="129"/>
      <c r="V341" s="129"/>
      <c r="W341" s="129"/>
      <c r="X341" s="129"/>
      <c r="Y341" s="129"/>
      <c r="Z341" s="129"/>
      <c r="AA341" s="129"/>
      <c r="AB341" s="129"/>
      <c r="AC341" s="129"/>
      <c r="AD341" s="129"/>
      <c r="AE341" s="129"/>
      <c r="AF341" s="129"/>
      <c r="AG341" s="129"/>
      <c r="AH341" s="129"/>
      <c r="AI341" s="129"/>
      <c r="AJ341" s="129"/>
      <c r="AK341" s="129"/>
      <c r="AL341" s="129"/>
      <c r="AM341" s="129"/>
      <c r="AN341" s="129"/>
      <c r="AO341" s="129"/>
      <c r="AP341" s="129"/>
      <c r="AQ341" s="129"/>
    </row>
    <row r="342" spans="1:43" ht="12.75" customHeight="1">
      <c r="A342" s="129"/>
      <c r="B342" s="129"/>
      <c r="C342" s="129"/>
      <c r="D342" s="129"/>
      <c r="E342" s="129"/>
      <c r="F342" s="129"/>
      <c r="G342" s="129"/>
      <c r="H342" s="129"/>
      <c r="I342" s="129"/>
      <c r="J342" s="129"/>
      <c r="K342" s="129"/>
      <c r="L342" s="129"/>
      <c r="M342" s="129"/>
      <c r="N342" s="129"/>
      <c r="O342" s="129"/>
      <c r="P342" s="129"/>
      <c r="Q342" s="129"/>
      <c r="R342" s="129"/>
      <c r="S342" s="129"/>
      <c r="T342" s="129"/>
      <c r="U342" s="129"/>
      <c r="V342" s="129"/>
      <c r="W342" s="129"/>
      <c r="X342" s="129"/>
      <c r="Y342" s="129"/>
      <c r="Z342" s="129"/>
      <c r="AA342" s="129"/>
      <c r="AB342" s="129"/>
      <c r="AC342" s="129"/>
      <c r="AD342" s="129"/>
      <c r="AE342" s="129"/>
      <c r="AF342" s="129"/>
      <c r="AG342" s="129"/>
      <c r="AH342" s="129"/>
      <c r="AI342" s="129"/>
      <c r="AJ342" s="129"/>
      <c r="AK342" s="129"/>
      <c r="AL342" s="129"/>
      <c r="AM342" s="129"/>
      <c r="AN342" s="129"/>
      <c r="AO342" s="129"/>
      <c r="AP342" s="129"/>
      <c r="AQ342" s="129"/>
    </row>
    <row r="343" spans="1:43" ht="12.75" customHeight="1">
      <c r="A343" s="129"/>
      <c r="B343" s="129"/>
      <c r="C343" s="129"/>
      <c r="D343" s="129"/>
      <c r="E343" s="129"/>
      <c r="F343" s="129"/>
      <c r="G343" s="129"/>
      <c r="H343" s="129"/>
      <c r="I343" s="129"/>
      <c r="J343" s="129"/>
      <c r="K343" s="129"/>
      <c r="L343" s="129"/>
      <c r="M343" s="129"/>
      <c r="N343" s="129"/>
      <c r="O343" s="129"/>
      <c r="P343" s="129"/>
      <c r="Q343" s="129"/>
      <c r="R343" s="129"/>
      <c r="S343" s="129"/>
      <c r="T343" s="129"/>
      <c r="U343" s="129"/>
      <c r="V343" s="129"/>
      <c r="W343" s="129"/>
      <c r="X343" s="129"/>
      <c r="Y343" s="129"/>
      <c r="Z343" s="129"/>
      <c r="AA343" s="129"/>
      <c r="AB343" s="129"/>
      <c r="AC343" s="129"/>
      <c r="AD343" s="129"/>
      <c r="AE343" s="129"/>
      <c r="AF343" s="129"/>
      <c r="AG343" s="129"/>
      <c r="AH343" s="129"/>
      <c r="AI343" s="129"/>
      <c r="AJ343" s="129"/>
      <c r="AK343" s="129"/>
      <c r="AL343" s="129"/>
      <c r="AM343" s="129"/>
      <c r="AN343" s="129"/>
      <c r="AO343" s="129"/>
      <c r="AP343" s="129"/>
      <c r="AQ343" s="129"/>
    </row>
    <row r="344" spans="1:43" ht="12.75" customHeight="1">
      <c r="A344" s="129"/>
      <c r="B344" s="129"/>
      <c r="C344" s="129"/>
      <c r="D344" s="129"/>
      <c r="E344" s="129"/>
      <c r="F344" s="129"/>
      <c r="G344" s="129"/>
      <c r="H344" s="129"/>
      <c r="I344" s="129"/>
      <c r="J344" s="129"/>
      <c r="K344" s="129"/>
      <c r="L344" s="129"/>
      <c r="M344" s="129"/>
      <c r="N344" s="129"/>
      <c r="O344" s="129"/>
      <c r="P344" s="129"/>
      <c r="Q344" s="129"/>
      <c r="R344" s="129"/>
      <c r="S344" s="129"/>
      <c r="T344" s="129"/>
      <c r="U344" s="129"/>
      <c r="V344" s="129"/>
      <c r="W344" s="129"/>
      <c r="X344" s="129"/>
      <c r="Y344" s="129"/>
      <c r="Z344" s="129"/>
      <c r="AA344" s="129"/>
      <c r="AB344" s="129"/>
      <c r="AC344" s="129"/>
      <c r="AD344" s="129"/>
      <c r="AE344" s="129"/>
      <c r="AF344" s="129"/>
      <c r="AG344" s="129"/>
      <c r="AH344" s="129"/>
      <c r="AI344" s="129"/>
      <c r="AJ344" s="129"/>
      <c r="AK344" s="129"/>
      <c r="AL344" s="129"/>
      <c r="AM344" s="129"/>
      <c r="AN344" s="129"/>
      <c r="AO344" s="129"/>
      <c r="AP344" s="129"/>
      <c r="AQ344" s="129"/>
    </row>
    <row r="345" spans="1:43" ht="12.75" customHeight="1">
      <c r="A345" s="129"/>
      <c r="B345" s="129"/>
      <c r="C345" s="129"/>
      <c r="D345" s="129"/>
      <c r="E345" s="129"/>
      <c r="F345" s="129"/>
      <c r="G345" s="129"/>
      <c r="H345" s="129"/>
      <c r="I345" s="129"/>
      <c r="J345" s="129"/>
      <c r="K345" s="129"/>
      <c r="L345" s="129"/>
      <c r="M345" s="129"/>
      <c r="N345" s="129"/>
      <c r="O345" s="129"/>
      <c r="P345" s="129"/>
      <c r="Q345" s="129"/>
      <c r="R345" s="129"/>
      <c r="S345" s="129"/>
      <c r="T345" s="129"/>
      <c r="U345" s="129"/>
      <c r="V345" s="129"/>
      <c r="W345" s="129"/>
      <c r="X345" s="129"/>
      <c r="Y345" s="129"/>
      <c r="Z345" s="129"/>
      <c r="AA345" s="129"/>
      <c r="AB345" s="129"/>
      <c r="AC345" s="129"/>
      <c r="AD345" s="129"/>
      <c r="AE345" s="129"/>
      <c r="AF345" s="129"/>
      <c r="AG345" s="129"/>
      <c r="AH345" s="129"/>
      <c r="AI345" s="129"/>
      <c r="AJ345" s="129"/>
      <c r="AK345" s="129"/>
      <c r="AL345" s="129"/>
      <c r="AM345" s="129"/>
      <c r="AN345" s="129"/>
      <c r="AO345" s="129"/>
      <c r="AP345" s="129"/>
      <c r="AQ345" s="129"/>
    </row>
    <row r="346" spans="1:43" ht="12.75" customHeight="1">
      <c r="A346" s="129"/>
      <c r="B346" s="129"/>
      <c r="C346" s="129"/>
      <c r="D346" s="129"/>
      <c r="E346" s="129"/>
      <c r="F346" s="129"/>
      <c r="G346" s="129"/>
      <c r="H346" s="129"/>
      <c r="I346" s="129"/>
      <c r="J346" s="129"/>
      <c r="K346" s="129"/>
      <c r="L346" s="129"/>
      <c r="M346" s="129"/>
      <c r="N346" s="129"/>
      <c r="O346" s="129"/>
      <c r="P346" s="129"/>
      <c r="Q346" s="129"/>
      <c r="R346" s="129"/>
      <c r="S346" s="129"/>
      <c r="T346" s="129"/>
      <c r="U346" s="129"/>
      <c r="V346" s="129"/>
      <c r="W346" s="129"/>
      <c r="X346" s="129"/>
      <c r="Y346" s="129"/>
      <c r="Z346" s="129"/>
      <c r="AA346" s="129"/>
      <c r="AB346" s="129"/>
      <c r="AC346" s="129"/>
      <c r="AD346" s="129"/>
      <c r="AE346" s="129"/>
      <c r="AF346" s="129"/>
      <c r="AG346" s="129"/>
      <c r="AH346" s="129"/>
      <c r="AI346" s="129"/>
      <c r="AJ346" s="129"/>
      <c r="AK346" s="129"/>
      <c r="AL346" s="129"/>
      <c r="AM346" s="129"/>
      <c r="AN346" s="129"/>
      <c r="AO346" s="129"/>
      <c r="AP346" s="129"/>
      <c r="AQ346" s="129"/>
    </row>
    <row r="347" spans="1:43" ht="12.75" customHeight="1">
      <c r="A347" s="129"/>
      <c r="B347" s="129"/>
      <c r="C347" s="129"/>
      <c r="D347" s="129"/>
      <c r="E347" s="129"/>
      <c r="F347" s="129"/>
      <c r="G347" s="129"/>
      <c r="H347" s="129"/>
      <c r="I347" s="129"/>
      <c r="J347" s="129"/>
      <c r="K347" s="129"/>
      <c r="L347" s="129"/>
      <c r="M347" s="129"/>
      <c r="N347" s="129"/>
      <c r="O347" s="129"/>
      <c r="P347" s="129"/>
      <c r="Q347" s="129"/>
      <c r="R347" s="129"/>
      <c r="S347" s="129"/>
      <c r="T347" s="129"/>
      <c r="U347" s="129"/>
      <c r="V347" s="129"/>
      <c r="W347" s="129"/>
      <c r="X347" s="129"/>
      <c r="Y347" s="129"/>
      <c r="Z347" s="129"/>
      <c r="AA347" s="129"/>
      <c r="AB347" s="129"/>
      <c r="AC347" s="129"/>
      <c r="AD347" s="129"/>
      <c r="AE347" s="129"/>
      <c r="AF347" s="129"/>
      <c r="AG347" s="129"/>
      <c r="AH347" s="129"/>
      <c r="AI347" s="129"/>
      <c r="AJ347" s="129"/>
      <c r="AK347" s="129"/>
      <c r="AL347" s="129"/>
      <c r="AM347" s="129"/>
      <c r="AN347" s="129"/>
      <c r="AO347" s="129"/>
      <c r="AP347" s="129"/>
      <c r="AQ347" s="129"/>
    </row>
    <row r="348" spans="1:43" ht="12.75" customHeight="1">
      <c r="A348" s="129"/>
      <c r="B348" s="129"/>
      <c r="C348" s="129"/>
      <c r="D348" s="129"/>
      <c r="E348" s="129"/>
      <c r="F348" s="129"/>
      <c r="G348" s="129"/>
      <c r="H348" s="129"/>
      <c r="I348" s="129"/>
      <c r="J348" s="129"/>
      <c r="K348" s="129"/>
      <c r="L348" s="129"/>
      <c r="M348" s="129"/>
      <c r="N348" s="129"/>
      <c r="O348" s="129"/>
      <c r="P348" s="129"/>
      <c r="Q348" s="129"/>
      <c r="R348" s="129"/>
      <c r="S348" s="129"/>
      <c r="T348" s="129"/>
      <c r="U348" s="129"/>
      <c r="V348" s="129"/>
      <c r="W348" s="129"/>
      <c r="X348" s="129"/>
      <c r="Y348" s="129"/>
      <c r="Z348" s="129"/>
      <c r="AA348" s="129"/>
      <c r="AB348" s="129"/>
      <c r="AC348" s="129"/>
      <c r="AD348" s="129"/>
      <c r="AE348" s="129"/>
      <c r="AF348" s="129"/>
      <c r="AG348" s="129"/>
      <c r="AH348" s="129"/>
      <c r="AI348" s="129"/>
      <c r="AJ348" s="129"/>
      <c r="AK348" s="129"/>
      <c r="AL348" s="129"/>
      <c r="AM348" s="129"/>
      <c r="AN348" s="129"/>
      <c r="AO348" s="129"/>
      <c r="AP348" s="129"/>
      <c r="AQ348" s="129"/>
    </row>
    <row r="349" spans="1:43" ht="12.75" customHeight="1">
      <c r="A349" s="129"/>
      <c r="B349" s="129"/>
      <c r="C349" s="129"/>
      <c r="D349" s="129"/>
      <c r="E349" s="129"/>
      <c r="F349" s="129"/>
      <c r="G349" s="129"/>
      <c r="H349" s="129"/>
      <c r="I349" s="129"/>
      <c r="J349" s="129"/>
      <c r="K349" s="129"/>
      <c r="L349" s="129"/>
      <c r="M349" s="129"/>
      <c r="N349" s="129"/>
      <c r="O349" s="129"/>
      <c r="P349" s="129"/>
      <c r="Q349" s="129"/>
      <c r="R349" s="129"/>
      <c r="S349" s="129"/>
      <c r="T349" s="129"/>
      <c r="U349" s="129"/>
      <c r="V349" s="129"/>
      <c r="W349" s="129"/>
      <c r="X349" s="129"/>
      <c r="Y349" s="129"/>
      <c r="Z349" s="129"/>
      <c r="AA349" s="129"/>
      <c r="AB349" s="129"/>
      <c r="AC349" s="129"/>
      <c r="AD349" s="129"/>
      <c r="AE349" s="129"/>
      <c r="AF349" s="129"/>
      <c r="AG349" s="129"/>
      <c r="AH349" s="129"/>
      <c r="AI349" s="129"/>
      <c r="AJ349" s="129"/>
      <c r="AK349" s="129"/>
      <c r="AL349" s="129"/>
      <c r="AM349" s="129"/>
      <c r="AN349" s="129"/>
      <c r="AO349" s="129"/>
      <c r="AP349" s="129"/>
      <c r="AQ349" s="129"/>
    </row>
    <row r="350" spans="1:43" ht="12.75" customHeight="1">
      <c r="A350" s="129"/>
      <c r="B350" s="129"/>
      <c r="C350" s="129"/>
      <c r="D350" s="129"/>
      <c r="E350" s="129"/>
      <c r="F350" s="129"/>
      <c r="G350" s="129"/>
      <c r="H350" s="129"/>
      <c r="I350" s="129"/>
      <c r="J350" s="129"/>
      <c r="K350" s="129"/>
      <c r="L350" s="129"/>
      <c r="M350" s="129"/>
      <c r="N350" s="129"/>
      <c r="O350" s="129"/>
      <c r="P350" s="129"/>
      <c r="Q350" s="129"/>
      <c r="R350" s="129"/>
      <c r="S350" s="129"/>
      <c r="T350" s="129"/>
      <c r="U350" s="129"/>
      <c r="V350" s="129"/>
      <c r="W350" s="129"/>
      <c r="X350" s="129"/>
      <c r="Y350" s="129"/>
      <c r="Z350" s="129"/>
      <c r="AA350" s="129"/>
      <c r="AB350" s="129"/>
      <c r="AC350" s="129"/>
      <c r="AD350" s="129"/>
      <c r="AE350" s="129"/>
      <c r="AF350" s="129"/>
      <c r="AG350" s="129"/>
      <c r="AH350" s="129"/>
      <c r="AI350" s="129"/>
      <c r="AJ350" s="129"/>
      <c r="AK350" s="129"/>
      <c r="AL350" s="129"/>
      <c r="AM350" s="129"/>
      <c r="AN350" s="129"/>
      <c r="AO350" s="129"/>
      <c r="AP350" s="129"/>
      <c r="AQ350" s="129"/>
    </row>
    <row r="351" spans="1:43" ht="12.75" customHeight="1">
      <c r="A351" s="129"/>
      <c r="B351" s="129"/>
      <c r="C351" s="129"/>
      <c r="D351" s="129"/>
      <c r="E351" s="129"/>
      <c r="F351" s="129"/>
      <c r="G351" s="129"/>
      <c r="H351" s="129"/>
      <c r="I351" s="129"/>
      <c r="J351" s="129"/>
      <c r="K351" s="129"/>
      <c r="L351" s="129"/>
      <c r="M351" s="129"/>
      <c r="N351" s="129"/>
      <c r="O351" s="129"/>
      <c r="P351" s="129"/>
      <c r="Q351" s="129"/>
      <c r="R351" s="129"/>
      <c r="S351" s="129"/>
      <c r="T351" s="129"/>
      <c r="U351" s="129"/>
      <c r="V351" s="129"/>
      <c r="W351" s="129"/>
      <c r="X351" s="129"/>
      <c r="Y351" s="129"/>
      <c r="Z351" s="129"/>
      <c r="AA351" s="129"/>
      <c r="AB351" s="129"/>
      <c r="AC351" s="129"/>
      <c r="AD351" s="129"/>
      <c r="AE351" s="129"/>
      <c r="AF351" s="129"/>
      <c r="AG351" s="129"/>
      <c r="AH351" s="129"/>
      <c r="AI351" s="129"/>
      <c r="AJ351" s="129"/>
      <c r="AK351" s="129"/>
      <c r="AL351" s="129"/>
      <c r="AM351" s="129"/>
      <c r="AN351" s="129"/>
      <c r="AO351" s="129"/>
      <c r="AP351" s="129"/>
      <c r="AQ351" s="129"/>
    </row>
    <row r="352" spans="1:43" ht="12.75" customHeight="1">
      <c r="A352" s="129"/>
      <c r="B352" s="129"/>
      <c r="C352" s="129"/>
      <c r="D352" s="129"/>
      <c r="E352" s="129"/>
      <c r="F352" s="129"/>
      <c r="G352" s="129"/>
      <c r="H352" s="129"/>
      <c r="I352" s="129"/>
      <c r="J352" s="129"/>
      <c r="K352" s="129"/>
      <c r="L352" s="129"/>
      <c r="M352" s="129"/>
      <c r="N352" s="129"/>
      <c r="O352" s="129"/>
      <c r="P352" s="129"/>
      <c r="Q352" s="129"/>
      <c r="R352" s="129"/>
      <c r="S352" s="129"/>
      <c r="T352" s="129"/>
      <c r="U352" s="129"/>
      <c r="V352" s="129"/>
      <c r="W352" s="129"/>
      <c r="X352" s="129"/>
      <c r="Y352" s="129"/>
      <c r="Z352" s="129"/>
      <c r="AA352" s="129"/>
      <c r="AB352" s="129"/>
      <c r="AC352" s="129"/>
      <c r="AD352" s="129"/>
      <c r="AE352" s="129"/>
      <c r="AF352" s="129"/>
      <c r="AG352" s="129"/>
      <c r="AH352" s="129"/>
      <c r="AI352" s="129"/>
      <c r="AJ352" s="129"/>
      <c r="AK352" s="129"/>
      <c r="AL352" s="129"/>
      <c r="AM352" s="129"/>
      <c r="AN352" s="129"/>
      <c r="AO352" s="129"/>
      <c r="AP352" s="129"/>
      <c r="AQ352" s="129"/>
    </row>
    <row r="353" spans="1:43" ht="12.75" customHeight="1">
      <c r="A353" s="129"/>
      <c r="B353" s="129"/>
      <c r="C353" s="129"/>
      <c r="D353" s="129"/>
      <c r="E353" s="129"/>
      <c r="F353" s="129"/>
      <c r="G353" s="129"/>
      <c r="H353" s="129"/>
      <c r="I353" s="129"/>
      <c r="J353" s="129"/>
      <c r="K353" s="129"/>
      <c r="L353" s="129"/>
      <c r="M353" s="129"/>
      <c r="N353" s="129"/>
      <c r="O353" s="129"/>
      <c r="P353" s="129"/>
      <c r="Q353" s="129"/>
      <c r="R353" s="129"/>
      <c r="S353" s="129"/>
      <c r="T353" s="129"/>
      <c r="U353" s="129"/>
      <c r="V353" s="129"/>
      <c r="W353" s="129"/>
      <c r="X353" s="129"/>
      <c r="Y353" s="129"/>
      <c r="Z353" s="129"/>
      <c r="AA353" s="129"/>
      <c r="AB353" s="129"/>
      <c r="AC353" s="129"/>
      <c r="AD353" s="129"/>
      <c r="AE353" s="129"/>
      <c r="AF353" s="129"/>
      <c r="AG353" s="129"/>
      <c r="AH353" s="129"/>
      <c r="AI353" s="129"/>
      <c r="AJ353" s="129"/>
      <c r="AK353" s="129"/>
      <c r="AL353" s="129"/>
      <c r="AM353" s="129"/>
      <c r="AN353" s="129"/>
      <c r="AO353" s="129"/>
      <c r="AP353" s="129"/>
      <c r="AQ353" s="129"/>
    </row>
    <row r="354" spans="1:43" ht="12.75" customHeight="1">
      <c r="A354" s="129"/>
      <c r="B354" s="129"/>
      <c r="C354" s="129"/>
      <c r="D354" s="129"/>
      <c r="E354" s="129"/>
      <c r="F354" s="129"/>
      <c r="G354" s="129"/>
      <c r="H354" s="129"/>
      <c r="I354" s="129"/>
      <c r="J354" s="129"/>
      <c r="K354" s="129"/>
      <c r="L354" s="129"/>
      <c r="M354" s="129"/>
      <c r="N354" s="129"/>
      <c r="O354" s="129"/>
      <c r="P354" s="129"/>
      <c r="Q354" s="129"/>
      <c r="R354" s="129"/>
      <c r="S354" s="129"/>
      <c r="T354" s="129"/>
      <c r="U354" s="129"/>
      <c r="V354" s="129"/>
      <c r="W354" s="129"/>
      <c r="X354" s="129"/>
      <c r="Y354" s="129"/>
      <c r="Z354" s="129"/>
      <c r="AA354" s="129"/>
      <c r="AB354" s="129"/>
      <c r="AC354" s="129"/>
      <c r="AD354" s="129"/>
      <c r="AE354" s="129"/>
      <c r="AF354" s="129"/>
      <c r="AG354" s="129"/>
      <c r="AH354" s="129"/>
      <c r="AI354" s="129"/>
      <c r="AJ354" s="129"/>
      <c r="AK354" s="129"/>
      <c r="AL354" s="129"/>
      <c r="AM354" s="129"/>
      <c r="AN354" s="129"/>
      <c r="AO354" s="129"/>
      <c r="AP354" s="129"/>
      <c r="AQ354" s="129"/>
    </row>
    <row r="355" spans="1:43" ht="12.75" customHeight="1">
      <c r="A355" s="129"/>
      <c r="B355" s="129"/>
      <c r="C355" s="129"/>
      <c r="D355" s="129"/>
      <c r="E355" s="129"/>
      <c r="F355" s="129"/>
      <c r="G355" s="129"/>
      <c r="H355" s="129"/>
      <c r="I355" s="129"/>
      <c r="J355" s="129"/>
      <c r="K355" s="129"/>
      <c r="L355" s="129"/>
      <c r="M355" s="129"/>
      <c r="N355" s="129"/>
      <c r="O355" s="129"/>
      <c r="P355" s="129"/>
      <c r="Q355" s="129"/>
      <c r="R355" s="129"/>
      <c r="S355" s="129"/>
      <c r="T355" s="129"/>
      <c r="U355" s="129"/>
      <c r="V355" s="129"/>
      <c r="W355" s="129"/>
      <c r="X355" s="129"/>
      <c r="Y355" s="129"/>
      <c r="Z355" s="129"/>
      <c r="AA355" s="129"/>
      <c r="AB355" s="129"/>
      <c r="AC355" s="129"/>
      <c r="AD355" s="129"/>
      <c r="AE355" s="129"/>
      <c r="AF355" s="129"/>
      <c r="AG355" s="129"/>
      <c r="AH355" s="129"/>
      <c r="AI355" s="129"/>
      <c r="AJ355" s="129"/>
      <c r="AK355" s="129"/>
      <c r="AL355" s="129"/>
      <c r="AM355" s="129"/>
      <c r="AN355" s="129"/>
      <c r="AO355" s="129"/>
      <c r="AP355" s="129"/>
      <c r="AQ355" s="129"/>
    </row>
    <row r="356" spans="1:43" ht="12.75" customHeight="1">
      <c r="A356" s="129"/>
      <c r="B356" s="129"/>
      <c r="C356" s="129"/>
      <c r="D356" s="129"/>
      <c r="E356" s="129"/>
      <c r="F356" s="129"/>
      <c r="G356" s="129"/>
      <c r="H356" s="129"/>
      <c r="I356" s="129"/>
      <c r="J356" s="129"/>
      <c r="K356" s="129"/>
      <c r="L356" s="129"/>
      <c r="M356" s="129"/>
      <c r="N356" s="129"/>
      <c r="O356" s="129"/>
      <c r="P356" s="129"/>
      <c r="Q356" s="129"/>
      <c r="R356" s="129"/>
      <c r="S356" s="129"/>
      <c r="T356" s="129"/>
      <c r="U356" s="129"/>
      <c r="V356" s="129"/>
      <c r="W356" s="129"/>
      <c r="X356" s="129"/>
      <c r="Y356" s="129"/>
      <c r="Z356" s="129"/>
      <c r="AA356" s="129"/>
      <c r="AB356" s="129"/>
      <c r="AC356" s="129"/>
      <c r="AD356" s="129"/>
      <c r="AE356" s="129"/>
      <c r="AF356" s="129"/>
      <c r="AG356" s="129"/>
      <c r="AH356" s="129"/>
      <c r="AI356" s="129"/>
      <c r="AJ356" s="129"/>
      <c r="AK356" s="129"/>
      <c r="AL356" s="129"/>
      <c r="AM356" s="129"/>
      <c r="AN356" s="129"/>
      <c r="AO356" s="129"/>
      <c r="AP356" s="129"/>
      <c r="AQ356" s="129"/>
    </row>
    <row r="357" spans="1:43" ht="12.75" customHeight="1">
      <c r="A357" s="129"/>
      <c r="B357" s="129"/>
      <c r="C357" s="129"/>
      <c r="D357" s="129"/>
      <c r="E357" s="129"/>
      <c r="F357" s="129"/>
      <c r="G357" s="129"/>
      <c r="H357" s="129"/>
      <c r="I357" s="129"/>
      <c r="J357" s="129"/>
      <c r="K357" s="129"/>
      <c r="L357" s="129"/>
      <c r="M357" s="129"/>
      <c r="N357" s="129"/>
      <c r="O357" s="129"/>
      <c r="P357" s="129"/>
      <c r="Q357" s="129"/>
      <c r="R357" s="129"/>
      <c r="S357" s="129"/>
      <c r="T357" s="129"/>
      <c r="U357" s="129"/>
      <c r="V357" s="129"/>
      <c r="W357" s="129"/>
      <c r="X357" s="129"/>
      <c r="Y357" s="129"/>
      <c r="Z357" s="129"/>
      <c r="AA357" s="129"/>
      <c r="AB357" s="129"/>
      <c r="AC357" s="129"/>
      <c r="AD357" s="129"/>
      <c r="AE357" s="129"/>
      <c r="AF357" s="129"/>
      <c r="AG357" s="129"/>
      <c r="AH357" s="129"/>
      <c r="AI357" s="129"/>
      <c r="AJ357" s="129"/>
      <c r="AK357" s="129"/>
      <c r="AL357" s="129"/>
      <c r="AM357" s="129"/>
      <c r="AN357" s="129"/>
      <c r="AO357" s="129"/>
      <c r="AP357" s="129"/>
      <c r="AQ357" s="129"/>
    </row>
    <row r="358" spans="1:43" ht="12.75" customHeight="1">
      <c r="A358" s="129"/>
      <c r="B358" s="129"/>
      <c r="C358" s="129"/>
      <c r="D358" s="129"/>
      <c r="E358" s="129"/>
      <c r="F358" s="129"/>
      <c r="G358" s="129"/>
      <c r="H358" s="129"/>
      <c r="I358" s="129"/>
      <c r="J358" s="129"/>
      <c r="K358" s="129"/>
      <c r="L358" s="129"/>
      <c r="M358" s="129"/>
      <c r="N358" s="129"/>
      <c r="O358" s="129"/>
      <c r="P358" s="129"/>
      <c r="Q358" s="129"/>
      <c r="R358" s="129"/>
      <c r="S358" s="129"/>
      <c r="T358" s="129"/>
      <c r="U358" s="129"/>
      <c r="V358" s="129"/>
      <c r="W358" s="129"/>
      <c r="X358" s="129"/>
      <c r="Y358" s="129"/>
      <c r="Z358" s="129"/>
      <c r="AA358" s="129"/>
      <c r="AB358" s="129"/>
      <c r="AC358" s="129"/>
      <c r="AD358" s="129"/>
      <c r="AE358" s="129"/>
      <c r="AF358" s="129"/>
      <c r="AG358" s="129"/>
      <c r="AH358" s="129"/>
      <c r="AI358" s="129"/>
      <c r="AJ358" s="129"/>
      <c r="AK358" s="129"/>
      <c r="AL358" s="129"/>
      <c r="AM358" s="129"/>
      <c r="AN358" s="129"/>
      <c r="AO358" s="129"/>
      <c r="AP358" s="129"/>
      <c r="AQ358" s="129"/>
    </row>
    <row r="359" spans="1:43" ht="12.75" customHeight="1">
      <c r="A359" s="129"/>
      <c r="B359" s="129"/>
      <c r="C359" s="129"/>
      <c r="D359" s="129"/>
      <c r="E359" s="129"/>
      <c r="F359" s="129"/>
      <c r="G359" s="129"/>
      <c r="H359" s="129"/>
      <c r="I359" s="129"/>
      <c r="J359" s="129"/>
      <c r="K359" s="129"/>
      <c r="L359" s="129"/>
      <c r="M359" s="129"/>
      <c r="N359" s="129"/>
      <c r="O359" s="129"/>
      <c r="P359" s="129"/>
      <c r="Q359" s="129"/>
      <c r="R359" s="129"/>
      <c r="S359" s="129"/>
      <c r="T359" s="129"/>
      <c r="U359" s="129"/>
      <c r="V359" s="129"/>
      <c r="W359" s="129"/>
      <c r="X359" s="129"/>
      <c r="Y359" s="129"/>
      <c r="Z359" s="129"/>
      <c r="AA359" s="129"/>
      <c r="AB359" s="129"/>
      <c r="AC359" s="129"/>
      <c r="AD359" s="129"/>
      <c r="AE359" s="129"/>
      <c r="AF359" s="129"/>
      <c r="AG359" s="129"/>
      <c r="AH359" s="129"/>
      <c r="AI359" s="129"/>
      <c r="AJ359" s="129"/>
      <c r="AK359" s="129"/>
      <c r="AL359" s="129"/>
      <c r="AM359" s="129"/>
      <c r="AN359" s="129"/>
      <c r="AO359" s="129"/>
      <c r="AP359" s="129"/>
      <c r="AQ359" s="129"/>
    </row>
    <row r="360" spans="1:43" ht="12.75" customHeight="1">
      <c r="A360" s="129"/>
      <c r="B360" s="129"/>
      <c r="C360" s="129"/>
      <c r="D360" s="129"/>
      <c r="E360" s="129"/>
      <c r="F360" s="129"/>
      <c r="G360" s="129"/>
      <c r="H360" s="129"/>
      <c r="I360" s="129"/>
      <c r="J360" s="129"/>
      <c r="K360" s="129"/>
      <c r="L360" s="129"/>
      <c r="M360" s="129"/>
      <c r="N360" s="129"/>
      <c r="O360" s="129"/>
      <c r="P360" s="129"/>
      <c r="Q360" s="129"/>
      <c r="R360" s="129"/>
      <c r="S360" s="129"/>
      <c r="T360" s="129"/>
      <c r="U360" s="129"/>
      <c r="V360" s="129"/>
      <c r="W360" s="129"/>
      <c r="X360" s="129"/>
      <c r="Y360" s="129"/>
      <c r="Z360" s="129"/>
      <c r="AA360" s="129"/>
      <c r="AB360" s="129"/>
      <c r="AC360" s="129"/>
      <c r="AD360" s="129"/>
      <c r="AE360" s="129"/>
      <c r="AF360" s="129"/>
      <c r="AG360" s="129"/>
      <c r="AH360" s="129"/>
      <c r="AI360" s="129"/>
      <c r="AJ360" s="129"/>
      <c r="AK360" s="129"/>
      <c r="AL360" s="129"/>
      <c r="AM360" s="129"/>
      <c r="AN360" s="129"/>
      <c r="AO360" s="129"/>
      <c r="AP360" s="129"/>
      <c r="AQ360" s="129"/>
    </row>
    <row r="361" spans="1:43" ht="12.75" customHeight="1">
      <c r="A361" s="129"/>
      <c r="B361" s="129"/>
      <c r="C361" s="129"/>
      <c r="D361" s="129"/>
      <c r="E361" s="129"/>
      <c r="F361" s="129"/>
      <c r="G361" s="129"/>
      <c r="H361" s="129"/>
      <c r="I361" s="129"/>
      <c r="J361" s="129"/>
      <c r="K361" s="129"/>
      <c r="L361" s="129"/>
      <c r="M361" s="129"/>
      <c r="N361" s="129"/>
      <c r="O361" s="129"/>
      <c r="P361" s="129"/>
      <c r="Q361" s="129"/>
      <c r="R361" s="129"/>
      <c r="S361" s="129"/>
      <c r="T361" s="129"/>
      <c r="U361" s="129"/>
      <c r="V361" s="129"/>
      <c r="W361" s="129"/>
      <c r="X361" s="129"/>
      <c r="Y361" s="129"/>
      <c r="Z361" s="129"/>
      <c r="AA361" s="129"/>
      <c r="AB361" s="129"/>
      <c r="AC361" s="129"/>
      <c r="AD361" s="129"/>
      <c r="AE361" s="129"/>
      <c r="AF361" s="129"/>
      <c r="AG361" s="129"/>
      <c r="AH361" s="129"/>
      <c r="AI361" s="129"/>
      <c r="AJ361" s="129"/>
      <c r="AK361" s="129"/>
      <c r="AL361" s="129"/>
      <c r="AM361" s="129"/>
      <c r="AN361" s="129"/>
      <c r="AO361" s="129"/>
      <c r="AP361" s="129"/>
      <c r="AQ361" s="129"/>
    </row>
    <row r="362" spans="1:43" ht="12.75" customHeight="1">
      <c r="A362" s="129"/>
      <c r="B362" s="129"/>
      <c r="C362" s="129"/>
      <c r="D362" s="129"/>
      <c r="E362" s="129"/>
      <c r="F362" s="129"/>
      <c r="G362" s="129"/>
      <c r="H362" s="129"/>
      <c r="I362" s="129"/>
      <c r="J362" s="129"/>
      <c r="K362" s="129"/>
      <c r="L362" s="129"/>
      <c r="M362" s="129"/>
      <c r="N362" s="129"/>
      <c r="O362" s="129"/>
      <c r="P362" s="129"/>
      <c r="Q362" s="129"/>
      <c r="R362" s="129"/>
      <c r="S362" s="129"/>
      <c r="T362" s="129"/>
      <c r="U362" s="129"/>
      <c r="V362" s="129"/>
      <c r="W362" s="129"/>
      <c r="X362" s="129"/>
      <c r="Y362" s="129"/>
      <c r="Z362" s="129"/>
      <c r="AA362" s="129"/>
      <c r="AB362" s="129"/>
      <c r="AC362" s="129"/>
      <c r="AD362" s="129"/>
      <c r="AE362" s="129"/>
      <c r="AF362" s="129"/>
      <c r="AG362" s="129"/>
      <c r="AH362" s="129"/>
      <c r="AI362" s="129"/>
      <c r="AJ362" s="129"/>
      <c r="AK362" s="129"/>
      <c r="AL362" s="129"/>
      <c r="AM362" s="129"/>
      <c r="AN362" s="129"/>
      <c r="AO362" s="129"/>
      <c r="AP362" s="129"/>
      <c r="AQ362" s="129"/>
    </row>
    <row r="363" spans="1:43" ht="12.75" customHeight="1">
      <c r="A363" s="129"/>
      <c r="B363" s="129"/>
      <c r="C363" s="129"/>
      <c r="D363" s="129"/>
      <c r="E363" s="129"/>
      <c r="F363" s="129"/>
      <c r="G363" s="129"/>
      <c r="H363" s="129"/>
      <c r="I363" s="129"/>
      <c r="J363" s="129"/>
      <c r="K363" s="129"/>
      <c r="L363" s="129"/>
      <c r="M363" s="129"/>
      <c r="N363" s="129"/>
      <c r="O363" s="129"/>
      <c r="P363" s="129"/>
      <c r="Q363" s="129"/>
      <c r="R363" s="129"/>
      <c r="S363" s="129"/>
      <c r="T363" s="129"/>
      <c r="U363" s="129"/>
      <c r="V363" s="129"/>
      <c r="W363" s="129"/>
      <c r="X363" s="129"/>
      <c r="Y363" s="129"/>
      <c r="Z363" s="129"/>
      <c r="AA363" s="129"/>
      <c r="AB363" s="129"/>
      <c r="AC363" s="129"/>
      <c r="AD363" s="129"/>
      <c r="AE363" s="129"/>
      <c r="AF363" s="129"/>
      <c r="AG363" s="129"/>
      <c r="AH363" s="129"/>
      <c r="AI363" s="129"/>
      <c r="AJ363" s="129"/>
      <c r="AK363" s="129"/>
      <c r="AL363" s="129"/>
      <c r="AM363" s="129"/>
      <c r="AN363" s="129"/>
      <c r="AO363" s="129"/>
      <c r="AP363" s="129"/>
      <c r="AQ363" s="129"/>
    </row>
    <row r="364" spans="1:43" ht="12.75" customHeight="1">
      <c r="A364" s="129"/>
      <c r="B364" s="129"/>
      <c r="C364" s="129"/>
      <c r="D364" s="129"/>
      <c r="E364" s="129"/>
      <c r="F364" s="129"/>
      <c r="G364" s="129"/>
      <c r="H364" s="129"/>
      <c r="I364" s="129"/>
      <c r="J364" s="129"/>
      <c r="K364" s="129"/>
      <c r="L364" s="129"/>
      <c r="M364" s="129"/>
      <c r="N364" s="129"/>
      <c r="O364" s="129"/>
      <c r="P364" s="129"/>
      <c r="Q364" s="129"/>
      <c r="R364" s="129"/>
      <c r="S364" s="129"/>
      <c r="T364" s="129"/>
      <c r="U364" s="129"/>
      <c r="V364" s="129"/>
      <c r="W364" s="129"/>
      <c r="X364" s="129"/>
      <c r="Y364" s="129"/>
      <c r="Z364" s="129"/>
      <c r="AA364" s="129"/>
      <c r="AB364" s="129"/>
      <c r="AC364" s="129"/>
      <c r="AD364" s="129"/>
      <c r="AE364" s="129"/>
      <c r="AF364" s="129"/>
      <c r="AG364" s="129"/>
      <c r="AH364" s="129"/>
      <c r="AI364" s="129"/>
      <c r="AJ364" s="129"/>
      <c r="AK364" s="129"/>
      <c r="AL364" s="129"/>
      <c r="AM364" s="129"/>
      <c r="AN364" s="129"/>
      <c r="AO364" s="129"/>
      <c r="AP364" s="129"/>
      <c r="AQ364" s="129"/>
    </row>
    <row r="365" spans="1:43" ht="12.75" customHeight="1">
      <c r="A365" s="129"/>
      <c r="B365" s="129"/>
      <c r="C365" s="129"/>
      <c r="D365" s="129"/>
      <c r="E365" s="129"/>
      <c r="F365" s="129"/>
      <c r="G365" s="129"/>
      <c r="H365" s="129"/>
      <c r="I365" s="129"/>
      <c r="J365" s="129"/>
      <c r="K365" s="129"/>
      <c r="L365" s="129"/>
      <c r="M365" s="129"/>
      <c r="N365" s="129"/>
      <c r="O365" s="129"/>
      <c r="P365" s="129"/>
      <c r="Q365" s="129"/>
      <c r="R365" s="129"/>
      <c r="S365" s="129"/>
      <c r="T365" s="129"/>
      <c r="U365" s="129"/>
      <c r="V365" s="129"/>
      <c r="W365" s="129"/>
      <c r="X365" s="129"/>
      <c r="Y365" s="129"/>
      <c r="Z365" s="129"/>
      <c r="AA365" s="129"/>
      <c r="AB365" s="129"/>
      <c r="AC365" s="129"/>
      <c r="AD365" s="129"/>
      <c r="AE365" s="129"/>
      <c r="AF365" s="129"/>
      <c r="AG365" s="129"/>
      <c r="AH365" s="129"/>
      <c r="AI365" s="129"/>
      <c r="AJ365" s="129"/>
      <c r="AK365" s="129"/>
      <c r="AL365" s="129"/>
      <c r="AM365" s="129"/>
      <c r="AN365" s="129"/>
      <c r="AO365" s="129"/>
      <c r="AP365" s="129"/>
      <c r="AQ365" s="129"/>
    </row>
    <row r="366" spans="1:43" ht="12.75" customHeight="1">
      <c r="A366" s="129"/>
      <c r="B366" s="129"/>
      <c r="C366" s="129"/>
      <c r="D366" s="129"/>
      <c r="E366" s="129"/>
      <c r="F366" s="129"/>
      <c r="G366" s="129"/>
      <c r="H366" s="129"/>
      <c r="I366" s="129"/>
      <c r="J366" s="129"/>
      <c r="K366" s="129"/>
      <c r="L366" s="129"/>
      <c r="M366" s="129"/>
      <c r="N366" s="129"/>
      <c r="O366" s="129"/>
      <c r="P366" s="129"/>
      <c r="Q366" s="129"/>
      <c r="R366" s="129"/>
      <c r="S366" s="129"/>
      <c r="T366" s="129"/>
      <c r="U366" s="129"/>
      <c r="V366" s="129"/>
      <c r="W366" s="129"/>
      <c r="X366" s="129"/>
      <c r="Y366" s="129"/>
      <c r="Z366" s="129"/>
      <c r="AA366" s="129"/>
      <c r="AB366" s="129"/>
      <c r="AC366" s="129"/>
      <c r="AD366" s="129"/>
      <c r="AE366" s="129"/>
      <c r="AF366" s="129"/>
      <c r="AG366" s="129"/>
      <c r="AH366" s="129"/>
      <c r="AI366" s="129"/>
      <c r="AJ366" s="129"/>
      <c r="AK366" s="129"/>
      <c r="AL366" s="129"/>
      <c r="AM366" s="129"/>
      <c r="AN366" s="129"/>
      <c r="AO366" s="129"/>
      <c r="AP366" s="129"/>
      <c r="AQ366" s="129"/>
    </row>
    <row r="367" spans="1:43" ht="12.75" customHeight="1">
      <c r="A367" s="129"/>
      <c r="B367" s="129"/>
      <c r="C367" s="129"/>
      <c r="D367" s="129"/>
      <c r="E367" s="129"/>
      <c r="F367" s="129"/>
      <c r="G367" s="129"/>
      <c r="H367" s="129"/>
      <c r="I367" s="129"/>
      <c r="J367" s="129"/>
      <c r="K367" s="129"/>
      <c r="L367" s="129"/>
      <c r="M367" s="129"/>
      <c r="N367" s="129"/>
      <c r="O367" s="129"/>
      <c r="P367" s="129"/>
      <c r="Q367" s="129"/>
      <c r="R367" s="129"/>
      <c r="S367" s="129"/>
      <c r="T367" s="129"/>
      <c r="U367" s="129"/>
      <c r="V367" s="129"/>
      <c r="W367" s="129"/>
      <c r="X367" s="129"/>
      <c r="Y367" s="129"/>
      <c r="Z367" s="129"/>
      <c r="AA367" s="129"/>
      <c r="AB367" s="129"/>
      <c r="AC367" s="129"/>
      <c r="AD367" s="129"/>
      <c r="AE367" s="129"/>
      <c r="AF367" s="129"/>
      <c r="AG367" s="129"/>
      <c r="AH367" s="129"/>
      <c r="AI367" s="129"/>
      <c r="AJ367" s="129"/>
      <c r="AK367" s="129"/>
      <c r="AL367" s="129"/>
      <c r="AM367" s="129"/>
      <c r="AN367" s="129"/>
      <c r="AO367" s="129"/>
      <c r="AP367" s="129"/>
      <c r="AQ367" s="129"/>
    </row>
    <row r="368" spans="1:43" ht="12.75" customHeight="1">
      <c r="A368" s="129"/>
      <c r="B368" s="129"/>
      <c r="C368" s="129"/>
      <c r="D368" s="129"/>
      <c r="E368" s="129"/>
      <c r="F368" s="129"/>
      <c r="G368" s="129"/>
      <c r="H368" s="129"/>
      <c r="I368" s="129"/>
      <c r="J368" s="129"/>
      <c r="K368" s="129"/>
      <c r="L368" s="129"/>
      <c r="M368" s="129"/>
      <c r="N368" s="129"/>
      <c r="O368" s="129"/>
      <c r="P368" s="129"/>
      <c r="Q368" s="129"/>
      <c r="R368" s="129"/>
      <c r="S368" s="129"/>
      <c r="T368" s="129"/>
      <c r="U368" s="129"/>
      <c r="V368" s="129"/>
      <c r="W368" s="129"/>
      <c r="X368" s="129"/>
      <c r="Y368" s="129"/>
      <c r="Z368" s="129"/>
      <c r="AA368" s="129"/>
      <c r="AB368" s="129"/>
      <c r="AC368" s="129"/>
      <c r="AD368" s="129"/>
      <c r="AE368" s="129"/>
      <c r="AF368" s="129"/>
      <c r="AG368" s="129"/>
      <c r="AH368" s="129"/>
      <c r="AI368" s="129"/>
      <c r="AJ368" s="129"/>
      <c r="AK368" s="129"/>
      <c r="AL368" s="129"/>
      <c r="AM368" s="129"/>
      <c r="AN368" s="129"/>
      <c r="AO368" s="129"/>
      <c r="AP368" s="129"/>
      <c r="AQ368" s="129"/>
    </row>
    <row r="369" spans="1:43" ht="12.75" customHeight="1">
      <c r="A369" s="129"/>
      <c r="B369" s="129"/>
      <c r="C369" s="129"/>
      <c r="D369" s="129"/>
      <c r="E369" s="129"/>
      <c r="F369" s="129"/>
      <c r="G369" s="129"/>
      <c r="H369" s="129"/>
      <c r="I369" s="129"/>
      <c r="J369" s="129"/>
      <c r="K369" s="129"/>
      <c r="L369" s="129"/>
      <c r="M369" s="129"/>
      <c r="N369" s="129"/>
      <c r="O369" s="129"/>
      <c r="P369" s="129"/>
      <c r="Q369" s="129"/>
      <c r="R369" s="129"/>
      <c r="S369" s="129"/>
      <c r="T369" s="129"/>
      <c r="U369" s="129"/>
      <c r="V369" s="129"/>
      <c r="W369" s="129"/>
      <c r="X369" s="129"/>
      <c r="Y369" s="129"/>
      <c r="Z369" s="129"/>
      <c r="AA369" s="129"/>
      <c r="AB369" s="129"/>
      <c r="AC369" s="129"/>
      <c r="AD369" s="129"/>
      <c r="AE369" s="129"/>
      <c r="AF369" s="129"/>
      <c r="AG369" s="129"/>
      <c r="AH369" s="129"/>
      <c r="AI369" s="129"/>
      <c r="AJ369" s="129"/>
      <c r="AK369" s="129"/>
      <c r="AL369" s="129"/>
      <c r="AM369" s="129"/>
      <c r="AN369" s="129"/>
      <c r="AO369" s="129"/>
      <c r="AP369" s="129"/>
      <c r="AQ369" s="129"/>
    </row>
    <row r="370" spans="1:43" ht="12.75" customHeight="1">
      <c r="A370" s="129"/>
      <c r="B370" s="129"/>
      <c r="C370" s="129"/>
      <c r="D370" s="129"/>
      <c r="E370" s="129"/>
      <c r="F370" s="129"/>
      <c r="G370" s="129"/>
      <c r="H370" s="129"/>
      <c r="I370" s="129"/>
      <c r="J370" s="129"/>
      <c r="K370" s="129"/>
      <c r="L370" s="129"/>
      <c r="M370" s="129"/>
      <c r="N370" s="129"/>
      <c r="O370" s="129"/>
      <c r="P370" s="129"/>
      <c r="Q370" s="129"/>
      <c r="R370" s="129"/>
      <c r="S370" s="129"/>
      <c r="T370" s="129"/>
      <c r="U370" s="129"/>
      <c r="V370" s="129"/>
      <c r="W370" s="129"/>
      <c r="X370" s="129"/>
      <c r="Y370" s="129"/>
      <c r="Z370" s="129"/>
      <c r="AA370" s="129"/>
      <c r="AB370" s="129"/>
      <c r="AC370" s="129"/>
      <c r="AD370" s="129"/>
      <c r="AE370" s="129"/>
      <c r="AF370" s="129"/>
      <c r="AG370" s="129"/>
      <c r="AH370" s="129"/>
      <c r="AI370" s="129"/>
      <c r="AJ370" s="129"/>
      <c r="AK370" s="129"/>
      <c r="AL370" s="129"/>
      <c r="AM370" s="129"/>
      <c r="AN370" s="129"/>
      <c r="AO370" s="129"/>
      <c r="AP370" s="129"/>
      <c r="AQ370" s="129"/>
    </row>
    <row r="371" spans="1:43" ht="12.75" customHeight="1">
      <c r="A371" s="129"/>
      <c r="B371" s="129"/>
      <c r="C371" s="129"/>
      <c r="D371" s="129"/>
      <c r="E371" s="129"/>
      <c r="F371" s="129"/>
      <c r="G371" s="129"/>
      <c r="H371" s="129"/>
      <c r="I371" s="129"/>
      <c r="J371" s="129"/>
      <c r="K371" s="129"/>
      <c r="L371" s="129"/>
      <c r="M371" s="129"/>
      <c r="N371" s="129"/>
      <c r="O371" s="129"/>
      <c r="P371" s="129"/>
      <c r="Q371" s="129"/>
      <c r="R371" s="129"/>
      <c r="S371" s="129"/>
      <c r="T371" s="129"/>
      <c r="U371" s="129"/>
      <c r="V371" s="129"/>
      <c r="W371" s="129"/>
      <c r="X371" s="129"/>
      <c r="Y371" s="129"/>
      <c r="Z371" s="129"/>
      <c r="AA371" s="129"/>
      <c r="AB371" s="129"/>
      <c r="AC371" s="129"/>
      <c r="AD371" s="129"/>
      <c r="AE371" s="129"/>
      <c r="AF371" s="129"/>
      <c r="AG371" s="129"/>
      <c r="AH371" s="129"/>
      <c r="AI371" s="129"/>
      <c r="AJ371" s="129"/>
      <c r="AK371" s="129"/>
      <c r="AL371" s="129"/>
      <c r="AM371" s="129"/>
      <c r="AN371" s="129"/>
      <c r="AO371" s="129"/>
      <c r="AP371" s="129"/>
      <c r="AQ371" s="129"/>
    </row>
    <row r="372" spans="1:43" ht="12.75" customHeight="1">
      <c r="A372" s="129"/>
      <c r="B372" s="129"/>
      <c r="C372" s="129"/>
      <c r="D372" s="129"/>
      <c r="E372" s="129"/>
      <c r="F372" s="129"/>
      <c r="G372" s="129"/>
      <c r="H372" s="129"/>
      <c r="I372" s="129"/>
      <c r="J372" s="129"/>
      <c r="K372" s="129"/>
      <c r="L372" s="129"/>
      <c r="M372" s="129"/>
      <c r="N372" s="129"/>
      <c r="O372" s="129"/>
      <c r="P372" s="129"/>
      <c r="Q372" s="129"/>
      <c r="R372" s="129"/>
      <c r="S372" s="129"/>
      <c r="T372" s="129"/>
      <c r="U372" s="129"/>
      <c r="V372" s="129"/>
      <c r="W372" s="129"/>
      <c r="X372" s="129"/>
      <c r="Y372" s="129"/>
      <c r="Z372" s="129"/>
      <c r="AA372" s="129"/>
      <c r="AB372" s="129"/>
      <c r="AC372" s="129"/>
      <c r="AD372" s="129"/>
      <c r="AE372" s="129"/>
      <c r="AF372" s="129"/>
      <c r="AG372" s="129"/>
      <c r="AH372" s="129"/>
      <c r="AI372" s="129"/>
      <c r="AJ372" s="129"/>
      <c r="AK372" s="129"/>
      <c r="AL372" s="129"/>
      <c r="AM372" s="129"/>
      <c r="AN372" s="129"/>
      <c r="AO372" s="129"/>
      <c r="AP372" s="129"/>
      <c r="AQ372" s="129"/>
    </row>
    <row r="373" spans="1:43" ht="12.75" customHeight="1">
      <c r="A373" s="129"/>
      <c r="B373" s="129"/>
      <c r="C373" s="129"/>
      <c r="D373" s="129"/>
      <c r="E373" s="129"/>
      <c r="F373" s="129"/>
      <c r="G373" s="129"/>
      <c r="H373" s="129"/>
      <c r="I373" s="129"/>
      <c r="J373" s="129"/>
      <c r="K373" s="129"/>
      <c r="L373" s="129"/>
      <c r="M373" s="129"/>
      <c r="N373" s="129"/>
      <c r="O373" s="129"/>
      <c r="P373" s="129"/>
      <c r="Q373" s="129"/>
      <c r="R373" s="129"/>
      <c r="S373" s="129"/>
      <c r="T373" s="129"/>
      <c r="U373" s="129"/>
      <c r="V373" s="129"/>
      <c r="W373" s="129"/>
      <c r="X373" s="129"/>
      <c r="Y373" s="129"/>
      <c r="Z373" s="129"/>
      <c r="AA373" s="129"/>
      <c r="AB373" s="129"/>
      <c r="AC373" s="129"/>
      <c r="AD373" s="129"/>
      <c r="AE373" s="129"/>
      <c r="AF373" s="129"/>
      <c r="AG373" s="129"/>
      <c r="AH373" s="129"/>
      <c r="AI373" s="129"/>
      <c r="AJ373" s="129"/>
      <c r="AK373" s="129"/>
      <c r="AL373" s="129"/>
      <c r="AM373" s="129"/>
      <c r="AN373" s="129"/>
      <c r="AO373" s="129"/>
      <c r="AP373" s="129"/>
      <c r="AQ373" s="129"/>
    </row>
    <row r="374" spans="1:43" ht="12.75" customHeight="1">
      <c r="A374" s="129"/>
      <c r="B374" s="129"/>
      <c r="C374" s="129"/>
      <c r="D374" s="129"/>
      <c r="E374" s="129"/>
      <c r="F374" s="129"/>
      <c r="G374" s="129"/>
      <c r="H374" s="129"/>
      <c r="I374" s="129"/>
      <c r="J374" s="129"/>
      <c r="K374" s="129"/>
      <c r="L374" s="129"/>
      <c r="M374" s="129"/>
      <c r="N374" s="129"/>
      <c r="O374" s="129"/>
      <c r="P374" s="129"/>
      <c r="Q374" s="129"/>
      <c r="R374" s="129"/>
      <c r="S374" s="129"/>
      <c r="T374" s="129"/>
      <c r="U374" s="129"/>
      <c r="V374" s="129"/>
      <c r="W374" s="129"/>
      <c r="X374" s="129"/>
      <c r="Y374" s="129"/>
      <c r="Z374" s="129"/>
      <c r="AA374" s="129"/>
      <c r="AB374" s="129"/>
      <c r="AC374" s="129"/>
      <c r="AD374" s="129"/>
      <c r="AE374" s="129"/>
      <c r="AF374" s="129"/>
      <c r="AG374" s="129"/>
      <c r="AH374" s="129"/>
      <c r="AI374" s="129"/>
      <c r="AJ374" s="129"/>
      <c r="AK374" s="129"/>
      <c r="AL374" s="129"/>
      <c r="AM374" s="129"/>
      <c r="AN374" s="129"/>
      <c r="AO374" s="129"/>
      <c r="AP374" s="129"/>
      <c r="AQ374" s="129"/>
    </row>
    <row r="375" spans="1:43" ht="12.75" customHeight="1">
      <c r="A375" s="129"/>
      <c r="B375" s="129"/>
      <c r="C375" s="129"/>
      <c r="D375" s="129"/>
      <c r="E375" s="129"/>
      <c r="F375" s="129"/>
      <c r="G375" s="129"/>
      <c r="H375" s="129"/>
      <c r="I375" s="129"/>
      <c r="J375" s="129"/>
      <c r="K375" s="129"/>
      <c r="L375" s="129"/>
      <c r="M375" s="129"/>
      <c r="N375" s="129"/>
      <c r="O375" s="129"/>
      <c r="P375" s="129"/>
      <c r="Q375" s="129"/>
      <c r="R375" s="129"/>
      <c r="S375" s="129"/>
      <c r="T375" s="129"/>
      <c r="U375" s="129"/>
      <c r="V375" s="129"/>
      <c r="W375" s="129"/>
      <c r="X375" s="129"/>
      <c r="Y375" s="129"/>
      <c r="Z375" s="129"/>
      <c r="AA375" s="129"/>
      <c r="AB375" s="129"/>
      <c r="AC375" s="129"/>
      <c r="AD375" s="129"/>
      <c r="AE375" s="129"/>
      <c r="AF375" s="129"/>
      <c r="AG375" s="129"/>
      <c r="AH375" s="129"/>
      <c r="AI375" s="129"/>
      <c r="AJ375" s="129"/>
      <c r="AK375" s="129"/>
      <c r="AL375" s="129"/>
      <c r="AM375" s="129"/>
      <c r="AN375" s="129"/>
      <c r="AO375" s="129"/>
      <c r="AP375" s="129"/>
      <c r="AQ375" s="129"/>
    </row>
    <row r="376" spans="1:43" ht="12.75" customHeight="1">
      <c r="A376" s="129"/>
      <c r="B376" s="129"/>
      <c r="C376" s="129"/>
      <c r="D376" s="129"/>
      <c r="E376" s="129"/>
      <c r="F376" s="129"/>
      <c r="G376" s="129"/>
      <c r="H376" s="129"/>
      <c r="I376" s="129"/>
      <c r="J376" s="129"/>
      <c r="K376" s="129"/>
      <c r="L376" s="129"/>
      <c r="M376" s="129"/>
      <c r="N376" s="129"/>
      <c r="O376" s="129"/>
      <c r="P376" s="129"/>
      <c r="Q376" s="129"/>
      <c r="R376" s="129"/>
      <c r="S376" s="129"/>
      <c r="T376" s="129"/>
      <c r="U376" s="129"/>
      <c r="V376" s="129"/>
      <c r="W376" s="129"/>
      <c r="X376" s="129"/>
      <c r="Y376" s="129"/>
      <c r="Z376" s="129"/>
      <c r="AA376" s="129"/>
      <c r="AB376" s="129"/>
      <c r="AC376" s="129"/>
      <c r="AD376" s="129"/>
      <c r="AE376" s="129"/>
      <c r="AF376" s="129"/>
      <c r="AG376" s="129"/>
      <c r="AH376" s="129"/>
      <c r="AI376" s="129"/>
      <c r="AJ376" s="129"/>
      <c r="AK376" s="129"/>
      <c r="AL376" s="129"/>
      <c r="AM376" s="129"/>
      <c r="AN376" s="129"/>
      <c r="AO376" s="129"/>
      <c r="AP376" s="129"/>
      <c r="AQ376" s="129"/>
    </row>
    <row r="377" spans="1:43" ht="12.75" customHeight="1">
      <c r="A377" s="129"/>
      <c r="B377" s="129"/>
      <c r="C377" s="129"/>
      <c r="D377" s="129"/>
      <c r="E377" s="129"/>
      <c r="F377" s="129"/>
      <c r="G377" s="129"/>
      <c r="H377" s="129"/>
      <c r="I377" s="129"/>
      <c r="J377" s="129"/>
      <c r="K377" s="129"/>
      <c r="L377" s="129"/>
      <c r="M377" s="129"/>
      <c r="N377" s="129"/>
      <c r="O377" s="129"/>
      <c r="P377" s="129"/>
      <c r="Q377" s="129"/>
      <c r="R377" s="129"/>
      <c r="S377" s="129"/>
      <c r="T377" s="129"/>
      <c r="U377" s="129"/>
      <c r="V377" s="129"/>
      <c r="W377" s="129"/>
      <c r="X377" s="129"/>
      <c r="Y377" s="129"/>
      <c r="Z377" s="129"/>
      <c r="AA377" s="129"/>
      <c r="AB377" s="129"/>
      <c r="AC377" s="129"/>
      <c r="AD377" s="129"/>
      <c r="AE377" s="129"/>
      <c r="AF377" s="129"/>
      <c r="AG377" s="129"/>
      <c r="AH377" s="129"/>
      <c r="AI377" s="129"/>
      <c r="AJ377" s="129"/>
      <c r="AK377" s="129"/>
      <c r="AL377" s="129"/>
      <c r="AM377" s="129"/>
      <c r="AN377" s="129"/>
      <c r="AO377" s="129"/>
      <c r="AP377" s="129"/>
      <c r="AQ377" s="129"/>
    </row>
    <row r="378" spans="1:43" ht="12.75" customHeight="1">
      <c r="A378" s="129"/>
      <c r="B378" s="129"/>
      <c r="C378" s="129"/>
      <c r="D378" s="129"/>
      <c r="E378" s="129"/>
      <c r="F378" s="129"/>
      <c r="G378" s="129"/>
      <c r="H378" s="129"/>
      <c r="I378" s="129"/>
      <c r="J378" s="129"/>
      <c r="K378" s="129"/>
      <c r="L378" s="129"/>
      <c r="M378" s="129"/>
      <c r="N378" s="129"/>
      <c r="O378" s="129"/>
      <c r="P378" s="129"/>
      <c r="Q378" s="129"/>
      <c r="R378" s="129"/>
      <c r="S378" s="129"/>
      <c r="T378" s="129"/>
      <c r="U378" s="129"/>
      <c r="V378" s="129"/>
      <c r="W378" s="129"/>
      <c r="X378" s="129"/>
      <c r="Y378" s="129"/>
      <c r="Z378" s="129"/>
      <c r="AA378" s="129"/>
      <c r="AB378" s="129"/>
      <c r="AC378" s="129"/>
      <c r="AD378" s="129"/>
      <c r="AE378" s="129"/>
      <c r="AF378" s="129"/>
      <c r="AG378" s="129"/>
      <c r="AH378" s="129"/>
      <c r="AI378" s="129"/>
      <c r="AJ378" s="129"/>
      <c r="AK378" s="129"/>
      <c r="AL378" s="129"/>
      <c r="AM378" s="129"/>
      <c r="AN378" s="129"/>
      <c r="AO378" s="129"/>
      <c r="AP378" s="129"/>
      <c r="AQ378" s="129"/>
    </row>
    <row r="379" spans="1:43" ht="12.75" customHeight="1">
      <c r="A379" s="129"/>
      <c r="B379" s="129"/>
      <c r="C379" s="129"/>
      <c r="D379" s="129"/>
      <c r="E379" s="129"/>
      <c r="F379" s="129"/>
      <c r="G379" s="129"/>
      <c r="H379" s="129"/>
      <c r="I379" s="129"/>
      <c r="J379" s="129"/>
      <c r="K379" s="129"/>
      <c r="L379" s="129"/>
      <c r="M379" s="129"/>
      <c r="N379" s="129"/>
      <c r="O379" s="129"/>
      <c r="P379" s="129"/>
      <c r="Q379" s="129"/>
      <c r="R379" s="129"/>
      <c r="S379" s="129"/>
      <c r="T379" s="129"/>
      <c r="U379" s="129"/>
      <c r="V379" s="129"/>
      <c r="W379" s="129"/>
      <c r="X379" s="129"/>
      <c r="Y379" s="129"/>
      <c r="Z379" s="129"/>
      <c r="AA379" s="129"/>
      <c r="AB379" s="129"/>
      <c r="AC379" s="129"/>
      <c r="AD379" s="129"/>
      <c r="AE379" s="129"/>
      <c r="AF379" s="129"/>
      <c r="AG379" s="129"/>
      <c r="AH379" s="129"/>
      <c r="AI379" s="129"/>
      <c r="AJ379" s="129"/>
      <c r="AK379" s="129"/>
      <c r="AL379" s="129"/>
      <c r="AM379" s="129"/>
      <c r="AN379" s="129"/>
      <c r="AO379" s="129"/>
      <c r="AP379" s="129"/>
      <c r="AQ379" s="129"/>
    </row>
    <row r="380" spans="1:43" ht="12.75" customHeight="1">
      <c r="A380" s="129"/>
      <c r="B380" s="129"/>
      <c r="C380" s="129"/>
      <c r="D380" s="129"/>
      <c r="E380" s="129"/>
      <c r="F380" s="129"/>
      <c r="G380" s="129"/>
      <c r="H380" s="129"/>
      <c r="I380" s="129"/>
      <c r="J380" s="129"/>
      <c r="K380" s="129"/>
      <c r="L380" s="129"/>
      <c r="M380" s="129"/>
      <c r="N380" s="129"/>
      <c r="O380" s="129"/>
      <c r="P380" s="129"/>
      <c r="Q380" s="129"/>
      <c r="R380" s="129"/>
      <c r="S380" s="129"/>
      <c r="T380" s="129"/>
      <c r="U380" s="129"/>
      <c r="V380" s="129"/>
      <c r="W380" s="129"/>
      <c r="X380" s="129"/>
      <c r="Y380" s="129"/>
      <c r="Z380" s="129"/>
      <c r="AA380" s="129"/>
      <c r="AB380" s="129"/>
      <c r="AC380" s="129"/>
      <c r="AD380" s="129"/>
      <c r="AE380" s="129"/>
      <c r="AF380" s="129"/>
      <c r="AG380" s="129"/>
      <c r="AH380" s="129"/>
      <c r="AI380" s="129"/>
      <c r="AJ380" s="129"/>
      <c r="AK380" s="129"/>
      <c r="AL380" s="129"/>
      <c r="AM380" s="129"/>
      <c r="AN380" s="129"/>
      <c r="AO380" s="129"/>
      <c r="AP380" s="129"/>
      <c r="AQ380" s="129"/>
    </row>
    <row r="381" spans="1:43" ht="12.75" customHeight="1">
      <c r="A381" s="129"/>
      <c r="B381" s="129"/>
      <c r="C381" s="129"/>
      <c r="D381" s="129"/>
      <c r="E381" s="129"/>
      <c r="F381" s="129"/>
      <c r="G381" s="129"/>
      <c r="H381" s="129"/>
      <c r="I381" s="129"/>
      <c r="J381" s="129"/>
      <c r="K381" s="129"/>
      <c r="L381" s="129"/>
      <c r="M381" s="129"/>
      <c r="N381" s="129"/>
      <c r="O381" s="129"/>
      <c r="P381" s="129"/>
      <c r="Q381" s="129"/>
      <c r="R381" s="129"/>
      <c r="S381" s="129"/>
      <c r="T381" s="129"/>
      <c r="U381" s="129"/>
      <c r="V381" s="129"/>
      <c r="W381" s="129"/>
      <c r="X381" s="129"/>
      <c r="Y381" s="129"/>
      <c r="Z381" s="129"/>
      <c r="AA381" s="129"/>
      <c r="AB381" s="129"/>
      <c r="AC381" s="129"/>
      <c r="AD381" s="129"/>
      <c r="AE381" s="129"/>
      <c r="AF381" s="129"/>
      <c r="AG381" s="129"/>
      <c r="AH381" s="129"/>
      <c r="AI381" s="129"/>
      <c r="AJ381" s="129"/>
      <c r="AK381" s="129"/>
      <c r="AL381" s="129"/>
      <c r="AM381" s="129"/>
      <c r="AN381" s="129"/>
      <c r="AO381" s="129"/>
      <c r="AP381" s="129"/>
      <c r="AQ381" s="129"/>
    </row>
    <row r="382" spans="1:43" ht="12.75" customHeight="1">
      <c r="A382" s="129"/>
      <c r="B382" s="129"/>
      <c r="C382" s="129"/>
      <c r="D382" s="129"/>
      <c r="E382" s="129"/>
      <c r="F382" s="129"/>
      <c r="G382" s="129"/>
      <c r="H382" s="129"/>
      <c r="I382" s="129"/>
      <c r="J382" s="129"/>
      <c r="K382" s="129"/>
      <c r="L382" s="129"/>
      <c r="M382" s="129"/>
      <c r="N382" s="129"/>
      <c r="O382" s="129"/>
      <c r="P382" s="129"/>
      <c r="Q382" s="129"/>
      <c r="R382" s="129"/>
      <c r="S382" s="129"/>
      <c r="T382" s="129"/>
      <c r="U382" s="129"/>
      <c r="V382" s="129"/>
      <c r="W382" s="129"/>
      <c r="X382" s="129"/>
      <c r="Y382" s="129"/>
      <c r="Z382" s="129"/>
      <c r="AA382" s="129"/>
      <c r="AB382" s="129"/>
      <c r="AC382" s="129"/>
      <c r="AD382" s="129"/>
      <c r="AE382" s="129"/>
      <c r="AF382" s="129"/>
      <c r="AG382" s="129"/>
      <c r="AH382" s="129"/>
      <c r="AI382" s="129"/>
      <c r="AJ382" s="129"/>
      <c r="AK382" s="129"/>
      <c r="AL382" s="129"/>
      <c r="AM382" s="129"/>
      <c r="AN382" s="129"/>
      <c r="AO382" s="129"/>
      <c r="AP382" s="129"/>
      <c r="AQ382" s="129"/>
    </row>
    <row r="383" spans="1:43" ht="12.75" customHeight="1">
      <c r="A383" s="129"/>
      <c r="B383" s="129"/>
      <c r="C383" s="129"/>
      <c r="D383" s="129"/>
      <c r="E383" s="129"/>
      <c r="F383" s="129"/>
      <c r="G383" s="129"/>
      <c r="H383" s="129"/>
      <c r="I383" s="129"/>
      <c r="J383" s="129"/>
      <c r="K383" s="129"/>
      <c r="L383" s="129"/>
      <c r="M383" s="129"/>
      <c r="N383" s="129"/>
      <c r="O383" s="129"/>
      <c r="P383" s="129"/>
      <c r="Q383" s="129"/>
      <c r="R383" s="129"/>
      <c r="S383" s="129"/>
      <c r="T383" s="129"/>
      <c r="U383" s="129"/>
      <c r="V383" s="129"/>
      <c r="W383" s="129"/>
      <c r="X383" s="129"/>
      <c r="Y383" s="129"/>
      <c r="Z383" s="129"/>
      <c r="AA383" s="129"/>
      <c r="AB383" s="129"/>
      <c r="AC383" s="129"/>
      <c r="AD383" s="129"/>
      <c r="AE383" s="129"/>
      <c r="AF383" s="129"/>
      <c r="AG383" s="129"/>
      <c r="AH383" s="129"/>
      <c r="AI383" s="129"/>
      <c r="AJ383" s="129"/>
      <c r="AK383" s="129"/>
      <c r="AL383" s="129"/>
      <c r="AM383" s="129"/>
      <c r="AN383" s="129"/>
      <c r="AO383" s="129"/>
      <c r="AP383" s="129"/>
      <c r="AQ383" s="129"/>
    </row>
    <row r="384" spans="1:43" ht="12.75" customHeight="1">
      <c r="A384" s="129"/>
      <c r="B384" s="129"/>
      <c r="C384" s="129"/>
      <c r="D384" s="129"/>
      <c r="E384" s="129"/>
      <c r="F384" s="129"/>
      <c r="G384" s="129"/>
      <c r="H384" s="129"/>
      <c r="I384" s="129"/>
      <c r="J384" s="129"/>
      <c r="K384" s="129"/>
      <c r="L384" s="129"/>
      <c r="M384" s="129"/>
      <c r="N384" s="129"/>
      <c r="O384" s="129"/>
      <c r="P384" s="129"/>
      <c r="Q384" s="129"/>
      <c r="R384" s="129"/>
      <c r="S384" s="129"/>
      <c r="T384" s="129"/>
      <c r="U384" s="129"/>
      <c r="V384" s="129"/>
      <c r="W384" s="129"/>
      <c r="X384" s="129"/>
      <c r="Y384" s="129"/>
      <c r="Z384" s="129"/>
      <c r="AA384" s="129"/>
      <c r="AB384" s="129"/>
      <c r="AC384" s="129"/>
      <c r="AD384" s="129"/>
      <c r="AE384" s="129"/>
      <c r="AF384" s="129"/>
      <c r="AG384" s="129"/>
      <c r="AH384" s="129"/>
      <c r="AI384" s="129"/>
      <c r="AJ384" s="129"/>
      <c r="AK384" s="129"/>
      <c r="AL384" s="129"/>
      <c r="AM384" s="129"/>
      <c r="AN384" s="129"/>
      <c r="AO384" s="129"/>
      <c r="AP384" s="129"/>
      <c r="AQ384" s="129"/>
    </row>
    <row r="385" spans="1:43" ht="12.75" customHeight="1">
      <c r="A385" s="129"/>
      <c r="B385" s="129"/>
      <c r="C385" s="129"/>
      <c r="D385" s="129"/>
      <c r="E385" s="129"/>
      <c r="F385" s="129"/>
      <c r="G385" s="129"/>
      <c r="H385" s="129"/>
      <c r="I385" s="129"/>
      <c r="J385" s="129"/>
      <c r="K385" s="129"/>
      <c r="L385" s="129"/>
      <c r="M385" s="129"/>
      <c r="N385" s="129"/>
      <c r="O385" s="129"/>
      <c r="P385" s="129"/>
      <c r="Q385" s="129"/>
      <c r="R385" s="129"/>
      <c r="S385" s="129"/>
      <c r="T385" s="129"/>
      <c r="U385" s="129"/>
      <c r="V385" s="129"/>
      <c r="W385" s="129"/>
      <c r="X385" s="129"/>
      <c r="Y385" s="129"/>
      <c r="Z385" s="129"/>
      <c r="AA385" s="129"/>
      <c r="AB385" s="129"/>
      <c r="AC385" s="129"/>
      <c r="AD385" s="129"/>
      <c r="AE385" s="129"/>
      <c r="AF385" s="129"/>
      <c r="AG385" s="129"/>
      <c r="AH385" s="129"/>
      <c r="AI385" s="129"/>
      <c r="AJ385" s="129"/>
      <c r="AK385" s="129"/>
      <c r="AL385" s="129"/>
      <c r="AM385" s="129"/>
      <c r="AN385" s="129"/>
      <c r="AO385" s="129"/>
      <c r="AP385" s="129"/>
      <c r="AQ385" s="129"/>
    </row>
    <row r="386" spans="1:43" ht="12.75" customHeight="1">
      <c r="A386" s="129"/>
      <c r="B386" s="129"/>
      <c r="C386" s="129"/>
      <c r="D386" s="129"/>
      <c r="E386" s="129"/>
      <c r="F386" s="129"/>
      <c r="G386" s="129"/>
      <c r="H386" s="129"/>
      <c r="I386" s="129"/>
      <c r="J386" s="129"/>
      <c r="K386" s="129"/>
      <c r="L386" s="129"/>
      <c r="M386" s="129"/>
      <c r="N386" s="129"/>
      <c r="O386" s="129"/>
      <c r="P386" s="129"/>
      <c r="Q386" s="129"/>
      <c r="R386" s="129"/>
      <c r="S386" s="129"/>
      <c r="T386" s="129"/>
      <c r="U386" s="129"/>
      <c r="V386" s="129"/>
      <c r="W386" s="129"/>
      <c r="X386" s="129"/>
      <c r="Y386" s="129"/>
      <c r="Z386" s="129"/>
      <c r="AA386" s="129"/>
      <c r="AB386" s="129"/>
      <c r="AC386" s="129"/>
      <c r="AD386" s="129"/>
      <c r="AE386" s="129"/>
      <c r="AF386" s="129"/>
      <c r="AG386" s="129"/>
      <c r="AH386" s="129"/>
      <c r="AI386" s="129"/>
      <c r="AJ386" s="129"/>
      <c r="AK386" s="129"/>
      <c r="AL386" s="129"/>
      <c r="AM386" s="129"/>
      <c r="AN386" s="129"/>
      <c r="AO386" s="129"/>
      <c r="AP386" s="129"/>
      <c r="AQ386" s="129"/>
    </row>
    <row r="387" spans="1:43" ht="12.75" customHeight="1">
      <c r="A387" s="129"/>
      <c r="B387" s="129"/>
      <c r="C387" s="129"/>
      <c r="D387" s="129"/>
      <c r="E387" s="129"/>
      <c r="F387" s="129"/>
      <c r="G387" s="129"/>
      <c r="H387" s="129"/>
      <c r="I387" s="129"/>
      <c r="J387" s="129"/>
      <c r="K387" s="129"/>
      <c r="L387" s="129"/>
      <c r="M387" s="129"/>
      <c r="N387" s="129"/>
      <c r="O387" s="129"/>
      <c r="P387" s="129"/>
      <c r="Q387" s="129"/>
      <c r="R387" s="129"/>
      <c r="S387" s="129"/>
      <c r="T387" s="129"/>
      <c r="U387" s="129"/>
      <c r="V387" s="129"/>
      <c r="W387" s="129"/>
      <c r="X387" s="129"/>
      <c r="Y387" s="129"/>
      <c r="Z387" s="129"/>
      <c r="AA387" s="129"/>
      <c r="AB387" s="129"/>
      <c r="AC387" s="129"/>
      <c r="AD387" s="129"/>
      <c r="AE387" s="129"/>
      <c r="AF387" s="129"/>
      <c r="AG387" s="129"/>
      <c r="AH387" s="129"/>
      <c r="AI387" s="129"/>
      <c r="AJ387" s="129"/>
      <c r="AK387" s="129"/>
      <c r="AL387" s="129"/>
      <c r="AM387" s="129"/>
      <c r="AN387" s="129"/>
      <c r="AO387" s="129"/>
      <c r="AP387" s="129"/>
      <c r="AQ387" s="129"/>
    </row>
    <row r="388" spans="1:43" ht="12.75" customHeight="1">
      <c r="A388" s="129"/>
      <c r="B388" s="129"/>
      <c r="C388" s="129"/>
      <c r="D388" s="129"/>
      <c r="E388" s="129"/>
      <c r="F388" s="129"/>
      <c r="G388" s="129"/>
      <c r="H388" s="129"/>
      <c r="I388" s="129"/>
      <c r="J388" s="129"/>
      <c r="K388" s="129"/>
      <c r="L388" s="129"/>
      <c r="M388" s="129"/>
      <c r="N388" s="129"/>
      <c r="O388" s="129"/>
      <c r="P388" s="129"/>
      <c r="Q388" s="129"/>
      <c r="R388" s="129"/>
      <c r="S388" s="129"/>
      <c r="T388" s="129"/>
      <c r="U388" s="129"/>
      <c r="V388" s="129"/>
      <c r="W388" s="129"/>
      <c r="X388" s="129"/>
      <c r="Y388" s="129"/>
      <c r="Z388" s="129"/>
      <c r="AA388" s="129"/>
      <c r="AB388" s="129"/>
      <c r="AC388" s="129"/>
      <c r="AD388" s="129"/>
      <c r="AE388" s="129"/>
      <c r="AF388" s="129"/>
      <c r="AG388" s="129"/>
      <c r="AH388" s="129"/>
      <c r="AI388" s="129"/>
      <c r="AJ388" s="129"/>
      <c r="AK388" s="129"/>
      <c r="AL388" s="129"/>
      <c r="AM388" s="129"/>
      <c r="AN388" s="129"/>
      <c r="AO388" s="129"/>
      <c r="AP388" s="129"/>
      <c r="AQ388" s="129"/>
    </row>
    <row r="389" spans="1:43" ht="12.75" customHeight="1">
      <c r="A389" s="129"/>
      <c r="B389" s="129"/>
      <c r="C389" s="129"/>
      <c r="D389" s="129"/>
      <c r="E389" s="129"/>
      <c r="F389" s="129"/>
      <c r="G389" s="129"/>
      <c r="H389" s="129"/>
      <c r="I389" s="129"/>
      <c r="J389" s="129"/>
      <c r="K389" s="129"/>
      <c r="L389" s="129"/>
      <c r="M389" s="129"/>
      <c r="N389" s="129"/>
      <c r="O389" s="129"/>
      <c r="P389" s="129"/>
      <c r="Q389" s="129"/>
      <c r="R389" s="129"/>
      <c r="S389" s="129"/>
      <c r="T389" s="129"/>
      <c r="U389" s="129"/>
      <c r="V389" s="129"/>
      <c r="W389" s="129"/>
      <c r="X389" s="129"/>
      <c r="Y389" s="129"/>
      <c r="Z389" s="129"/>
      <c r="AA389" s="129"/>
      <c r="AB389" s="129"/>
      <c r="AC389" s="129"/>
      <c r="AD389" s="129"/>
      <c r="AE389" s="129"/>
      <c r="AF389" s="129"/>
      <c r="AG389" s="129"/>
      <c r="AH389" s="129"/>
      <c r="AI389" s="129"/>
      <c r="AJ389" s="129"/>
      <c r="AK389" s="129"/>
      <c r="AL389" s="129"/>
      <c r="AM389" s="129"/>
      <c r="AN389" s="129"/>
      <c r="AO389" s="129"/>
      <c r="AP389" s="129"/>
      <c r="AQ389" s="129"/>
    </row>
    <row r="390" spans="1:43" ht="12.75" customHeight="1">
      <c r="A390" s="129"/>
      <c r="B390" s="129"/>
      <c r="C390" s="129"/>
      <c r="D390" s="129"/>
      <c r="E390" s="129"/>
      <c r="F390" s="129"/>
      <c r="G390" s="129"/>
      <c r="H390" s="129"/>
      <c r="I390" s="129"/>
      <c r="J390" s="129"/>
      <c r="K390" s="129"/>
      <c r="L390" s="129"/>
      <c r="M390" s="129"/>
      <c r="N390" s="129"/>
      <c r="O390" s="129"/>
      <c r="P390" s="129"/>
      <c r="Q390" s="129"/>
      <c r="R390" s="129"/>
      <c r="S390" s="129"/>
      <c r="T390" s="129"/>
      <c r="U390" s="129"/>
      <c r="V390" s="129"/>
      <c r="W390" s="129"/>
      <c r="X390" s="129"/>
      <c r="Y390" s="129"/>
      <c r="Z390" s="129"/>
      <c r="AA390" s="129"/>
      <c r="AB390" s="129"/>
      <c r="AC390" s="129"/>
      <c r="AD390" s="129"/>
      <c r="AE390" s="129"/>
      <c r="AF390" s="129"/>
      <c r="AG390" s="129"/>
      <c r="AH390" s="129"/>
      <c r="AI390" s="129"/>
      <c r="AJ390" s="129"/>
      <c r="AK390" s="129"/>
      <c r="AL390" s="129"/>
      <c r="AM390" s="129"/>
      <c r="AN390" s="129"/>
      <c r="AO390" s="129"/>
      <c r="AP390" s="129"/>
      <c r="AQ390" s="129"/>
    </row>
    <row r="391" spans="1:43" ht="12.75" customHeight="1">
      <c r="A391" s="129"/>
      <c r="B391" s="129"/>
      <c r="C391" s="129"/>
      <c r="D391" s="129"/>
      <c r="E391" s="129"/>
      <c r="F391" s="129"/>
      <c r="G391" s="129"/>
      <c r="H391" s="129"/>
      <c r="I391" s="129"/>
      <c r="J391" s="129"/>
      <c r="K391" s="129"/>
      <c r="L391" s="129"/>
      <c r="M391" s="129"/>
      <c r="N391" s="129"/>
      <c r="O391" s="129"/>
      <c r="P391" s="129"/>
      <c r="Q391" s="129"/>
      <c r="R391" s="129"/>
      <c r="S391" s="129"/>
      <c r="T391" s="129"/>
      <c r="U391" s="129"/>
      <c r="V391" s="129"/>
      <c r="W391" s="129"/>
      <c r="X391" s="129"/>
      <c r="Y391" s="129"/>
      <c r="Z391" s="129"/>
      <c r="AA391" s="129"/>
      <c r="AB391" s="129"/>
      <c r="AC391" s="129"/>
      <c r="AD391" s="129"/>
      <c r="AE391" s="129"/>
      <c r="AF391" s="129"/>
      <c r="AG391" s="129"/>
      <c r="AH391" s="129"/>
      <c r="AI391" s="129"/>
      <c r="AJ391" s="129"/>
      <c r="AK391" s="129"/>
      <c r="AL391" s="129"/>
      <c r="AM391" s="129"/>
      <c r="AN391" s="129"/>
      <c r="AO391" s="129"/>
      <c r="AP391" s="129"/>
      <c r="AQ391" s="129"/>
    </row>
    <row r="392" spans="1:43" ht="12.75" customHeight="1">
      <c r="A392" s="129"/>
      <c r="B392" s="129"/>
      <c r="C392" s="129"/>
      <c r="D392" s="129"/>
      <c r="E392" s="129"/>
      <c r="F392" s="129"/>
      <c r="G392" s="129"/>
      <c r="H392" s="129"/>
      <c r="I392" s="129"/>
      <c r="J392" s="129"/>
      <c r="K392" s="129"/>
      <c r="L392" s="129"/>
      <c r="M392" s="129"/>
      <c r="N392" s="129"/>
      <c r="O392" s="129"/>
      <c r="P392" s="129"/>
      <c r="Q392" s="129"/>
      <c r="R392" s="129"/>
      <c r="S392" s="129"/>
      <c r="T392" s="129"/>
      <c r="U392" s="129"/>
      <c r="V392" s="129"/>
      <c r="W392" s="129"/>
      <c r="X392" s="129"/>
      <c r="Y392" s="129"/>
      <c r="Z392" s="129"/>
      <c r="AA392" s="129"/>
      <c r="AB392" s="129"/>
      <c r="AC392" s="129"/>
      <c r="AD392" s="129"/>
      <c r="AE392" s="129"/>
      <c r="AF392" s="129"/>
      <c r="AG392" s="129"/>
      <c r="AH392" s="129"/>
      <c r="AI392" s="129"/>
      <c r="AJ392" s="129"/>
      <c r="AK392" s="129"/>
      <c r="AL392" s="129"/>
      <c r="AM392" s="129"/>
      <c r="AN392" s="129"/>
      <c r="AO392" s="129"/>
      <c r="AP392" s="129"/>
      <c r="AQ392" s="129"/>
    </row>
    <row r="393" spans="1:43" ht="12.75" customHeight="1">
      <c r="A393" s="129"/>
      <c r="B393" s="129"/>
      <c r="C393" s="129"/>
      <c r="D393" s="129"/>
      <c r="E393" s="129"/>
      <c r="F393" s="129"/>
      <c r="G393" s="129"/>
      <c r="H393" s="129"/>
      <c r="I393" s="129"/>
      <c r="J393" s="129"/>
      <c r="K393" s="129"/>
      <c r="L393" s="129"/>
      <c r="M393" s="129"/>
      <c r="N393" s="129"/>
      <c r="O393" s="129"/>
      <c r="P393" s="129"/>
      <c r="Q393" s="129"/>
      <c r="R393" s="129"/>
      <c r="S393" s="129"/>
      <c r="T393" s="129"/>
      <c r="U393" s="129"/>
      <c r="V393" s="129"/>
      <c r="W393" s="129"/>
      <c r="X393" s="129"/>
      <c r="Y393" s="129"/>
      <c r="Z393" s="129"/>
      <c r="AA393" s="129"/>
      <c r="AB393" s="129"/>
      <c r="AC393" s="129"/>
      <c r="AD393" s="129"/>
      <c r="AE393" s="129"/>
      <c r="AF393" s="129"/>
      <c r="AG393" s="129"/>
      <c r="AH393" s="129"/>
      <c r="AI393" s="129"/>
      <c r="AJ393" s="129"/>
      <c r="AK393" s="129"/>
      <c r="AL393" s="129"/>
      <c r="AM393" s="129"/>
      <c r="AN393" s="129"/>
      <c r="AO393" s="129"/>
      <c r="AP393" s="129"/>
      <c r="AQ393" s="129"/>
    </row>
    <row r="394" spans="1:43" ht="12.75" customHeight="1">
      <c r="A394" s="129"/>
      <c r="B394" s="129"/>
      <c r="C394" s="129"/>
      <c r="D394" s="129"/>
      <c r="E394" s="129"/>
      <c r="F394" s="129"/>
      <c r="G394" s="129"/>
      <c r="H394" s="129"/>
      <c r="I394" s="129"/>
      <c r="J394" s="129"/>
      <c r="K394" s="129"/>
      <c r="L394" s="129"/>
      <c r="M394" s="129"/>
      <c r="N394" s="129"/>
      <c r="O394" s="129"/>
      <c r="P394" s="129"/>
      <c r="Q394" s="129"/>
      <c r="R394" s="129"/>
      <c r="S394" s="129"/>
      <c r="T394" s="129"/>
      <c r="U394" s="129"/>
      <c r="V394" s="129"/>
      <c r="W394" s="129"/>
      <c r="X394" s="129"/>
      <c r="Y394" s="129"/>
      <c r="Z394" s="129"/>
      <c r="AA394" s="129"/>
      <c r="AB394" s="129"/>
      <c r="AC394" s="129"/>
      <c r="AD394" s="129"/>
      <c r="AE394" s="129"/>
      <c r="AF394" s="129"/>
      <c r="AG394" s="129"/>
      <c r="AH394" s="129"/>
      <c r="AI394" s="129"/>
      <c r="AJ394" s="129"/>
      <c r="AK394" s="129"/>
      <c r="AL394" s="129"/>
      <c r="AM394" s="129"/>
      <c r="AN394" s="129"/>
      <c r="AO394" s="129"/>
      <c r="AP394" s="129"/>
      <c r="AQ394" s="129"/>
    </row>
    <row r="395" spans="1:43" ht="12.75" customHeight="1">
      <c r="A395" s="129"/>
      <c r="B395" s="129"/>
      <c r="C395" s="129"/>
      <c r="D395" s="129"/>
      <c r="E395" s="129"/>
      <c r="F395" s="129"/>
      <c r="G395" s="129"/>
      <c r="H395" s="129"/>
      <c r="I395" s="129"/>
      <c r="J395" s="129"/>
      <c r="K395" s="129"/>
      <c r="L395" s="129"/>
      <c r="M395" s="129"/>
      <c r="N395" s="129"/>
      <c r="O395" s="129"/>
      <c r="P395" s="129"/>
      <c r="Q395" s="129"/>
      <c r="R395" s="129"/>
      <c r="S395" s="129"/>
      <c r="T395" s="129"/>
      <c r="U395" s="129"/>
      <c r="V395" s="129"/>
      <c r="W395" s="129"/>
      <c r="X395" s="129"/>
      <c r="Y395" s="129"/>
      <c r="Z395" s="129"/>
      <c r="AA395" s="129"/>
      <c r="AB395" s="129"/>
      <c r="AC395" s="129"/>
      <c r="AD395" s="129"/>
      <c r="AE395" s="129"/>
      <c r="AF395" s="129"/>
      <c r="AG395" s="129"/>
      <c r="AH395" s="129"/>
      <c r="AI395" s="129"/>
      <c r="AJ395" s="129"/>
      <c r="AK395" s="129"/>
      <c r="AL395" s="129"/>
      <c r="AM395" s="129"/>
      <c r="AN395" s="129"/>
      <c r="AO395" s="129"/>
      <c r="AP395" s="129"/>
      <c r="AQ395" s="129"/>
    </row>
    <row r="396" spans="1:43" ht="12.75" customHeight="1">
      <c r="A396" s="129"/>
      <c r="B396" s="129"/>
      <c r="C396" s="129"/>
      <c r="D396" s="129"/>
      <c r="E396" s="129"/>
      <c r="F396" s="129"/>
      <c r="G396" s="129"/>
      <c r="H396" s="129"/>
      <c r="I396" s="129"/>
      <c r="J396" s="129"/>
      <c r="K396" s="129"/>
      <c r="L396" s="129"/>
      <c r="M396" s="129"/>
      <c r="N396" s="129"/>
      <c r="O396" s="129"/>
      <c r="P396" s="129"/>
      <c r="Q396" s="129"/>
      <c r="R396" s="129"/>
      <c r="S396" s="129"/>
      <c r="T396" s="129"/>
      <c r="U396" s="129"/>
      <c r="V396" s="129"/>
      <c r="W396" s="129"/>
      <c r="X396" s="129"/>
      <c r="Y396" s="129"/>
      <c r="Z396" s="129"/>
      <c r="AA396" s="129"/>
      <c r="AB396" s="129"/>
      <c r="AC396" s="129"/>
      <c r="AD396" s="129"/>
      <c r="AE396" s="129"/>
      <c r="AF396" s="129"/>
      <c r="AG396" s="129"/>
      <c r="AH396" s="129"/>
      <c r="AI396" s="129"/>
      <c r="AJ396" s="129"/>
      <c r="AK396" s="129"/>
      <c r="AL396" s="129"/>
      <c r="AM396" s="129"/>
      <c r="AN396" s="129"/>
      <c r="AO396" s="129"/>
      <c r="AP396" s="129"/>
      <c r="AQ396" s="129"/>
    </row>
    <row r="397" spans="1:43" ht="12.75" customHeight="1">
      <c r="A397" s="129"/>
      <c r="B397" s="129"/>
      <c r="C397" s="129"/>
      <c r="D397" s="129"/>
      <c r="E397" s="129"/>
      <c r="F397" s="129"/>
      <c r="G397" s="129"/>
      <c r="H397" s="129"/>
      <c r="I397" s="129"/>
      <c r="J397" s="129"/>
      <c r="K397" s="129"/>
      <c r="L397" s="129"/>
      <c r="M397" s="129"/>
      <c r="N397" s="129"/>
      <c r="O397" s="129"/>
      <c r="P397" s="129"/>
      <c r="Q397" s="129"/>
      <c r="R397" s="129"/>
      <c r="S397" s="129"/>
      <c r="T397" s="129"/>
      <c r="U397" s="129"/>
      <c r="V397" s="129"/>
      <c r="W397" s="129"/>
      <c r="X397" s="129"/>
      <c r="Y397" s="129"/>
      <c r="Z397" s="129"/>
      <c r="AA397" s="129"/>
      <c r="AB397" s="129"/>
      <c r="AC397" s="129"/>
      <c r="AD397" s="129"/>
      <c r="AE397" s="129"/>
      <c r="AF397" s="129"/>
      <c r="AG397" s="129"/>
      <c r="AH397" s="129"/>
      <c r="AI397" s="129"/>
      <c r="AJ397" s="129"/>
      <c r="AK397" s="129"/>
      <c r="AL397" s="129"/>
      <c r="AM397" s="129"/>
      <c r="AN397" s="129"/>
      <c r="AO397" s="129"/>
      <c r="AP397" s="129"/>
      <c r="AQ397" s="129"/>
    </row>
    <row r="398" spans="1:43" ht="12.75" customHeight="1">
      <c r="A398" s="129"/>
      <c r="B398" s="129"/>
      <c r="C398" s="129"/>
      <c r="D398" s="129"/>
      <c r="E398" s="129"/>
      <c r="F398" s="129"/>
      <c r="G398" s="129"/>
      <c r="H398" s="129"/>
      <c r="I398" s="129"/>
      <c r="J398" s="129"/>
      <c r="K398" s="129"/>
      <c r="L398" s="129"/>
      <c r="M398" s="129"/>
      <c r="N398" s="129"/>
      <c r="O398" s="129"/>
      <c r="P398" s="129"/>
      <c r="Q398" s="129"/>
      <c r="R398" s="129"/>
      <c r="S398" s="129"/>
      <c r="T398" s="129"/>
      <c r="U398" s="129"/>
      <c r="V398" s="129"/>
      <c r="W398" s="129"/>
      <c r="X398" s="129"/>
      <c r="Y398" s="129"/>
      <c r="Z398" s="129"/>
      <c r="AA398" s="129"/>
      <c r="AB398" s="129"/>
      <c r="AC398" s="129"/>
      <c r="AD398" s="129"/>
      <c r="AE398" s="129"/>
      <c r="AF398" s="129"/>
      <c r="AG398" s="129"/>
      <c r="AH398" s="129"/>
      <c r="AI398" s="129"/>
      <c r="AJ398" s="129"/>
      <c r="AK398" s="129"/>
      <c r="AL398" s="129"/>
      <c r="AM398" s="129"/>
      <c r="AN398" s="129"/>
      <c r="AO398" s="129"/>
      <c r="AP398" s="129"/>
      <c r="AQ398" s="129"/>
    </row>
    <row r="399" spans="1:43" ht="12.75" customHeight="1">
      <c r="A399" s="129"/>
      <c r="B399" s="129"/>
      <c r="C399" s="129"/>
      <c r="D399" s="129"/>
      <c r="E399" s="129"/>
      <c r="F399" s="129"/>
      <c r="G399" s="129"/>
      <c r="H399" s="129"/>
      <c r="I399" s="129"/>
      <c r="J399" s="129"/>
      <c r="K399" s="129"/>
      <c r="L399" s="129"/>
      <c r="M399" s="129"/>
      <c r="N399" s="129"/>
      <c r="O399" s="129"/>
      <c r="P399" s="129"/>
      <c r="Q399" s="129"/>
      <c r="R399" s="129"/>
      <c r="S399" s="129"/>
      <c r="T399" s="129"/>
      <c r="U399" s="129"/>
      <c r="V399" s="129"/>
      <c r="W399" s="129"/>
      <c r="X399" s="129"/>
      <c r="Y399" s="129"/>
      <c r="Z399" s="129"/>
      <c r="AA399" s="129"/>
      <c r="AB399" s="129"/>
      <c r="AC399" s="129"/>
      <c r="AD399" s="129"/>
      <c r="AE399" s="129"/>
      <c r="AF399" s="129"/>
      <c r="AG399" s="129"/>
      <c r="AH399" s="129"/>
      <c r="AI399" s="129"/>
      <c r="AJ399" s="129"/>
      <c r="AK399" s="129"/>
      <c r="AL399" s="129"/>
      <c r="AM399" s="129"/>
      <c r="AN399" s="129"/>
      <c r="AO399" s="129"/>
      <c r="AP399" s="129"/>
      <c r="AQ399" s="129"/>
    </row>
    <row r="400" spans="1:43" ht="12.75" customHeight="1">
      <c r="A400" s="129"/>
      <c r="B400" s="129"/>
      <c r="C400" s="129"/>
      <c r="D400" s="129"/>
      <c r="E400" s="129"/>
      <c r="F400" s="129"/>
      <c r="G400" s="129"/>
      <c r="H400" s="129"/>
      <c r="I400" s="129"/>
      <c r="J400" s="129"/>
      <c r="K400" s="129"/>
      <c r="L400" s="129"/>
      <c r="M400" s="129"/>
      <c r="N400" s="129"/>
      <c r="O400" s="129"/>
      <c r="P400" s="129"/>
      <c r="Q400" s="129"/>
      <c r="R400" s="129"/>
      <c r="S400" s="129"/>
      <c r="T400" s="129"/>
      <c r="U400" s="129"/>
      <c r="V400" s="129"/>
      <c r="W400" s="129"/>
      <c r="X400" s="129"/>
      <c r="Y400" s="129"/>
      <c r="Z400" s="129"/>
      <c r="AA400" s="129"/>
      <c r="AB400" s="129"/>
      <c r="AC400" s="129"/>
      <c r="AD400" s="129"/>
      <c r="AE400" s="129"/>
      <c r="AF400" s="129"/>
      <c r="AG400" s="129"/>
      <c r="AH400" s="129"/>
      <c r="AI400" s="129"/>
      <c r="AJ400" s="129"/>
      <c r="AK400" s="129"/>
      <c r="AL400" s="129"/>
      <c r="AM400" s="129"/>
      <c r="AN400" s="129"/>
      <c r="AO400" s="129"/>
      <c r="AP400" s="129"/>
      <c r="AQ400" s="129"/>
    </row>
    <row r="401" spans="1:43" ht="12.75" customHeight="1">
      <c r="A401" s="129"/>
      <c r="B401" s="129"/>
      <c r="C401" s="129"/>
      <c r="D401" s="129"/>
      <c r="E401" s="129"/>
      <c r="F401" s="129"/>
      <c r="G401" s="129"/>
      <c r="H401" s="129"/>
      <c r="I401" s="129"/>
      <c r="J401" s="129"/>
      <c r="K401" s="129"/>
      <c r="L401" s="129"/>
      <c r="M401" s="129"/>
      <c r="N401" s="129"/>
      <c r="O401" s="129"/>
      <c r="P401" s="129"/>
      <c r="Q401" s="129"/>
      <c r="R401" s="129"/>
      <c r="S401" s="129"/>
      <c r="T401" s="129"/>
      <c r="U401" s="129"/>
      <c r="V401" s="129"/>
      <c r="W401" s="129"/>
      <c r="X401" s="129"/>
      <c r="Y401" s="129"/>
      <c r="Z401" s="129"/>
      <c r="AA401" s="129"/>
      <c r="AB401" s="129"/>
      <c r="AC401" s="129"/>
      <c r="AD401" s="129"/>
      <c r="AE401" s="129"/>
      <c r="AF401" s="129"/>
      <c r="AG401" s="129"/>
      <c r="AH401" s="129"/>
      <c r="AI401" s="129"/>
      <c r="AJ401" s="129"/>
      <c r="AK401" s="129"/>
      <c r="AL401" s="129"/>
      <c r="AM401" s="129"/>
      <c r="AN401" s="129"/>
      <c r="AO401" s="129"/>
      <c r="AP401" s="129"/>
      <c r="AQ401" s="129"/>
    </row>
    <row r="402" spans="1:43" ht="12.75" customHeight="1">
      <c r="A402" s="129"/>
      <c r="B402" s="129"/>
      <c r="C402" s="129"/>
      <c r="D402" s="129"/>
      <c r="E402" s="129"/>
      <c r="F402" s="129"/>
      <c r="G402" s="129"/>
      <c r="H402" s="129"/>
      <c r="I402" s="129"/>
      <c r="J402" s="129"/>
      <c r="K402" s="129"/>
      <c r="L402" s="129"/>
      <c r="M402" s="129"/>
      <c r="N402" s="129"/>
      <c r="O402" s="129"/>
      <c r="P402" s="129"/>
      <c r="Q402" s="129"/>
      <c r="R402" s="129"/>
      <c r="S402" s="129"/>
      <c r="T402" s="129"/>
      <c r="U402" s="129"/>
      <c r="V402" s="129"/>
      <c r="W402" s="129"/>
      <c r="X402" s="129"/>
      <c r="Y402" s="129"/>
      <c r="Z402" s="129"/>
      <c r="AA402" s="129"/>
      <c r="AB402" s="129"/>
      <c r="AC402" s="129"/>
      <c r="AD402" s="129"/>
      <c r="AE402" s="129"/>
      <c r="AF402" s="129"/>
      <c r="AG402" s="129"/>
      <c r="AH402" s="129"/>
      <c r="AI402" s="129"/>
      <c r="AJ402" s="129"/>
      <c r="AK402" s="129"/>
      <c r="AL402" s="129"/>
      <c r="AM402" s="129"/>
      <c r="AN402" s="129"/>
      <c r="AO402" s="129"/>
      <c r="AP402" s="129"/>
      <c r="AQ402" s="129"/>
    </row>
    <row r="403" spans="1:43" ht="12.75" customHeight="1">
      <c r="A403" s="129"/>
      <c r="B403" s="129"/>
      <c r="C403" s="129"/>
      <c r="D403" s="129"/>
      <c r="E403" s="129"/>
      <c r="F403" s="129"/>
      <c r="G403" s="129"/>
      <c r="H403" s="129"/>
      <c r="I403" s="129"/>
      <c r="J403" s="129"/>
      <c r="K403" s="129"/>
      <c r="L403" s="129"/>
      <c r="M403" s="129"/>
      <c r="N403" s="129"/>
      <c r="O403" s="129"/>
      <c r="P403" s="129"/>
      <c r="Q403" s="129"/>
      <c r="R403" s="129"/>
      <c r="S403" s="129"/>
      <c r="T403" s="129"/>
      <c r="U403" s="129"/>
      <c r="V403" s="129"/>
      <c r="W403" s="129"/>
      <c r="X403" s="129"/>
      <c r="Y403" s="129"/>
      <c r="Z403" s="129"/>
      <c r="AA403" s="129"/>
      <c r="AB403" s="129"/>
      <c r="AC403" s="129"/>
      <c r="AD403" s="129"/>
      <c r="AE403" s="129"/>
      <c r="AF403" s="129"/>
      <c r="AG403" s="129"/>
      <c r="AH403" s="129"/>
      <c r="AI403" s="129"/>
      <c r="AJ403" s="129"/>
      <c r="AK403" s="129"/>
      <c r="AL403" s="129"/>
      <c r="AM403" s="129"/>
      <c r="AN403" s="129"/>
      <c r="AO403" s="129"/>
      <c r="AP403" s="129"/>
      <c r="AQ403" s="129"/>
    </row>
    <row r="404" spans="1:43" ht="12.75" customHeight="1">
      <c r="A404" s="129"/>
      <c r="B404" s="129"/>
      <c r="C404" s="129"/>
      <c r="D404" s="129"/>
      <c r="E404" s="129"/>
      <c r="F404" s="129"/>
      <c r="G404" s="129"/>
      <c r="H404" s="129"/>
      <c r="I404" s="129"/>
      <c r="J404" s="129"/>
      <c r="K404" s="129"/>
      <c r="L404" s="129"/>
      <c r="M404" s="129"/>
      <c r="N404" s="129"/>
      <c r="O404" s="129"/>
      <c r="P404" s="129"/>
      <c r="Q404" s="129"/>
      <c r="R404" s="129"/>
      <c r="S404" s="129"/>
      <c r="T404" s="129"/>
      <c r="U404" s="129"/>
      <c r="V404" s="129"/>
      <c r="W404" s="129"/>
      <c r="X404" s="129"/>
      <c r="Y404" s="129"/>
      <c r="Z404" s="129"/>
      <c r="AA404" s="129"/>
      <c r="AB404" s="129"/>
      <c r="AC404" s="129"/>
      <c r="AD404" s="129"/>
      <c r="AE404" s="129"/>
      <c r="AF404" s="129"/>
      <c r="AG404" s="129"/>
      <c r="AH404" s="129"/>
      <c r="AI404" s="129"/>
      <c r="AJ404" s="129"/>
      <c r="AK404" s="129"/>
      <c r="AL404" s="129"/>
      <c r="AM404" s="129"/>
      <c r="AN404" s="129"/>
      <c r="AO404" s="129"/>
      <c r="AP404" s="129"/>
      <c r="AQ404" s="129"/>
    </row>
    <row r="405" spans="1:43" ht="12.75" customHeight="1">
      <c r="A405" s="129"/>
      <c r="B405" s="129"/>
      <c r="C405" s="129"/>
      <c r="D405" s="129"/>
      <c r="E405" s="129"/>
      <c r="F405" s="129"/>
      <c r="G405" s="129"/>
      <c r="H405" s="129"/>
      <c r="I405" s="129"/>
      <c r="J405" s="129"/>
      <c r="K405" s="129"/>
      <c r="L405" s="129"/>
      <c r="M405" s="129"/>
      <c r="N405" s="129"/>
      <c r="O405" s="129"/>
      <c r="P405" s="129"/>
      <c r="Q405" s="129"/>
      <c r="R405" s="129"/>
      <c r="S405" s="129"/>
      <c r="T405" s="129"/>
      <c r="U405" s="129"/>
      <c r="V405" s="129"/>
      <c r="W405" s="129"/>
      <c r="X405" s="129"/>
      <c r="Y405" s="129"/>
      <c r="Z405" s="129"/>
      <c r="AA405" s="129"/>
      <c r="AB405" s="129"/>
      <c r="AC405" s="129"/>
      <c r="AD405" s="129"/>
      <c r="AE405" s="129"/>
      <c r="AF405" s="129"/>
      <c r="AG405" s="129"/>
      <c r="AH405" s="129"/>
      <c r="AI405" s="129"/>
      <c r="AJ405" s="129"/>
      <c r="AK405" s="129"/>
      <c r="AL405" s="129"/>
      <c r="AM405" s="129"/>
      <c r="AN405" s="129"/>
      <c r="AO405" s="129"/>
      <c r="AP405" s="129"/>
      <c r="AQ405" s="129"/>
    </row>
    <row r="406" spans="1:43" ht="12.75" customHeight="1">
      <c r="A406" s="129"/>
      <c r="B406" s="129"/>
      <c r="C406" s="129"/>
      <c r="D406" s="129"/>
      <c r="E406" s="129"/>
      <c r="F406" s="129"/>
      <c r="G406" s="129"/>
      <c r="H406" s="129"/>
      <c r="I406" s="129"/>
      <c r="J406" s="129"/>
      <c r="K406" s="129"/>
      <c r="L406" s="129"/>
      <c r="M406" s="129"/>
      <c r="N406" s="129"/>
      <c r="O406" s="129"/>
      <c r="P406" s="129"/>
      <c r="Q406" s="129"/>
      <c r="R406" s="129"/>
      <c r="S406" s="129"/>
      <c r="T406" s="129"/>
      <c r="U406" s="129"/>
      <c r="V406" s="129"/>
      <c r="W406" s="129"/>
      <c r="X406" s="129"/>
      <c r="Y406" s="129"/>
      <c r="Z406" s="129"/>
      <c r="AA406" s="129"/>
      <c r="AB406" s="129"/>
      <c r="AC406" s="129"/>
      <c r="AD406" s="129"/>
      <c r="AE406" s="129"/>
      <c r="AF406" s="129"/>
      <c r="AG406" s="129"/>
      <c r="AH406" s="129"/>
      <c r="AI406" s="129"/>
      <c r="AJ406" s="129"/>
      <c r="AK406" s="129"/>
      <c r="AL406" s="129"/>
      <c r="AM406" s="129"/>
      <c r="AN406" s="129"/>
      <c r="AO406" s="129"/>
      <c r="AP406" s="129"/>
      <c r="AQ406" s="129"/>
    </row>
    <row r="407" spans="1:43" ht="12.75" customHeight="1">
      <c r="A407" s="129"/>
      <c r="B407" s="129"/>
      <c r="C407" s="129"/>
      <c r="D407" s="129"/>
      <c r="E407" s="129"/>
      <c r="F407" s="129"/>
      <c r="G407" s="129"/>
      <c r="H407" s="129"/>
      <c r="I407" s="129"/>
      <c r="J407" s="129"/>
      <c r="K407" s="129"/>
      <c r="L407" s="129"/>
      <c r="M407" s="129"/>
      <c r="N407" s="129"/>
      <c r="O407" s="129"/>
      <c r="P407" s="129"/>
      <c r="Q407" s="129"/>
      <c r="R407" s="129"/>
      <c r="S407" s="129"/>
      <c r="T407" s="129"/>
      <c r="U407" s="129"/>
      <c r="V407" s="129"/>
      <c r="W407" s="129"/>
      <c r="X407" s="129"/>
      <c r="Y407" s="129"/>
      <c r="Z407" s="129"/>
      <c r="AA407" s="129"/>
      <c r="AB407" s="129"/>
      <c r="AC407" s="129"/>
      <c r="AD407" s="129"/>
      <c r="AE407" s="129"/>
      <c r="AF407" s="129"/>
      <c r="AG407" s="129"/>
      <c r="AH407" s="129"/>
      <c r="AI407" s="129"/>
      <c r="AJ407" s="129"/>
      <c r="AK407" s="129"/>
      <c r="AL407" s="129"/>
      <c r="AM407" s="129"/>
      <c r="AN407" s="129"/>
      <c r="AO407" s="129"/>
      <c r="AP407" s="129"/>
      <c r="AQ407" s="129"/>
    </row>
    <row r="408" spans="1:43" ht="12.75" customHeight="1">
      <c r="A408" s="129"/>
      <c r="B408" s="129"/>
      <c r="C408" s="129"/>
      <c r="D408" s="129"/>
      <c r="E408" s="129"/>
      <c r="F408" s="129"/>
      <c r="G408" s="129"/>
      <c r="H408" s="129"/>
      <c r="I408" s="129"/>
      <c r="J408" s="129"/>
      <c r="K408" s="129"/>
      <c r="L408" s="129"/>
      <c r="M408" s="129"/>
      <c r="N408" s="129"/>
      <c r="O408" s="129"/>
      <c r="P408" s="129"/>
      <c r="Q408" s="129"/>
      <c r="R408" s="129"/>
      <c r="S408" s="129"/>
      <c r="T408" s="129"/>
      <c r="U408" s="129"/>
      <c r="V408" s="129"/>
      <c r="W408" s="129"/>
      <c r="X408" s="129"/>
      <c r="Y408" s="129"/>
      <c r="Z408" s="129"/>
      <c r="AA408" s="129"/>
      <c r="AB408" s="129"/>
      <c r="AC408" s="129"/>
      <c r="AD408" s="129"/>
      <c r="AE408" s="129"/>
      <c r="AF408" s="129"/>
      <c r="AG408" s="129"/>
      <c r="AH408" s="129"/>
      <c r="AI408" s="129"/>
      <c r="AJ408" s="129"/>
      <c r="AK408" s="129"/>
      <c r="AL408" s="129"/>
      <c r="AM408" s="129"/>
      <c r="AN408" s="129"/>
      <c r="AO408" s="129"/>
      <c r="AP408" s="129"/>
      <c r="AQ408" s="129"/>
    </row>
    <row r="409" spans="1:43" ht="12.75" customHeight="1">
      <c r="A409" s="129"/>
      <c r="B409" s="129"/>
      <c r="C409" s="129"/>
      <c r="D409" s="129"/>
      <c r="E409" s="129"/>
      <c r="F409" s="129"/>
      <c r="G409" s="129"/>
      <c r="H409" s="129"/>
      <c r="I409" s="129"/>
      <c r="J409" s="129"/>
      <c r="K409" s="129"/>
      <c r="L409" s="129"/>
      <c r="M409" s="129"/>
      <c r="N409" s="129"/>
      <c r="O409" s="129"/>
      <c r="P409" s="129"/>
      <c r="Q409" s="129"/>
      <c r="R409" s="129"/>
      <c r="S409" s="129"/>
      <c r="T409" s="129"/>
      <c r="U409" s="129"/>
      <c r="V409" s="129"/>
      <c r="W409" s="129"/>
      <c r="X409" s="129"/>
      <c r="Y409" s="129"/>
      <c r="Z409" s="129"/>
      <c r="AA409" s="129"/>
      <c r="AB409" s="129"/>
      <c r="AC409" s="129"/>
      <c r="AD409" s="129"/>
      <c r="AE409" s="129"/>
      <c r="AF409" s="129"/>
      <c r="AG409" s="129"/>
      <c r="AH409" s="129"/>
      <c r="AI409" s="129"/>
      <c r="AJ409" s="129"/>
      <c r="AK409" s="129"/>
      <c r="AL409" s="129"/>
      <c r="AM409" s="129"/>
      <c r="AN409" s="129"/>
      <c r="AO409" s="129"/>
      <c r="AP409" s="129"/>
      <c r="AQ409" s="129"/>
    </row>
    <row r="410" spans="1:43" ht="12.75" customHeight="1">
      <c r="A410" s="129"/>
      <c r="B410" s="129"/>
      <c r="C410" s="129"/>
      <c r="D410" s="129"/>
      <c r="E410" s="129"/>
      <c r="F410" s="129"/>
      <c r="G410" s="129"/>
      <c r="H410" s="129"/>
      <c r="I410" s="129"/>
      <c r="J410" s="129"/>
      <c r="K410" s="129"/>
      <c r="L410" s="129"/>
      <c r="M410" s="129"/>
      <c r="N410" s="129"/>
      <c r="O410" s="129"/>
      <c r="P410" s="129"/>
      <c r="Q410" s="129"/>
      <c r="R410" s="129"/>
      <c r="S410" s="129"/>
      <c r="T410" s="129"/>
      <c r="U410" s="129"/>
      <c r="V410" s="129"/>
      <c r="W410" s="129"/>
      <c r="X410" s="129"/>
      <c r="Y410" s="129"/>
      <c r="Z410" s="129"/>
      <c r="AA410" s="129"/>
      <c r="AB410" s="129"/>
      <c r="AC410" s="129"/>
      <c r="AD410" s="129"/>
      <c r="AE410" s="129"/>
      <c r="AF410" s="129"/>
      <c r="AG410" s="129"/>
      <c r="AH410" s="129"/>
      <c r="AI410" s="129"/>
      <c r="AJ410" s="129"/>
      <c r="AK410" s="129"/>
      <c r="AL410" s="129"/>
      <c r="AM410" s="129"/>
      <c r="AN410" s="129"/>
      <c r="AO410" s="129"/>
      <c r="AP410" s="129"/>
      <c r="AQ410" s="129"/>
    </row>
    <row r="411" spans="1:43" ht="12.75" customHeight="1">
      <c r="A411" s="129"/>
      <c r="B411" s="129"/>
      <c r="C411" s="129"/>
      <c r="D411" s="129"/>
      <c r="E411" s="129"/>
      <c r="F411" s="129"/>
      <c r="G411" s="129"/>
      <c r="H411" s="129"/>
      <c r="I411" s="129"/>
      <c r="J411" s="129"/>
      <c r="K411" s="129"/>
      <c r="L411" s="129"/>
      <c r="M411" s="129"/>
      <c r="N411" s="129"/>
      <c r="O411" s="129"/>
      <c r="P411" s="129"/>
      <c r="Q411" s="129"/>
      <c r="R411" s="129"/>
      <c r="S411" s="129"/>
      <c r="T411" s="129"/>
      <c r="U411" s="129"/>
      <c r="V411" s="129"/>
      <c r="W411" s="129"/>
      <c r="X411" s="129"/>
      <c r="Y411" s="129"/>
      <c r="Z411" s="129"/>
      <c r="AA411" s="129"/>
      <c r="AB411" s="129"/>
      <c r="AC411" s="129"/>
      <c r="AD411" s="129"/>
      <c r="AE411" s="129"/>
      <c r="AF411" s="129"/>
      <c r="AG411" s="129"/>
      <c r="AH411" s="129"/>
      <c r="AI411" s="129"/>
      <c r="AJ411" s="129"/>
      <c r="AK411" s="129"/>
      <c r="AL411" s="129"/>
      <c r="AM411" s="129"/>
      <c r="AN411" s="129"/>
      <c r="AO411" s="129"/>
      <c r="AP411" s="129"/>
      <c r="AQ411" s="129"/>
    </row>
    <row r="412" spans="1:43" ht="12.75" customHeight="1">
      <c r="A412" s="129"/>
      <c r="B412" s="129"/>
      <c r="C412" s="129"/>
      <c r="D412" s="129"/>
      <c r="E412" s="129"/>
      <c r="F412" s="129"/>
      <c r="G412" s="129"/>
      <c r="H412" s="129"/>
      <c r="I412" s="129"/>
      <c r="J412" s="129"/>
      <c r="K412" s="129"/>
      <c r="L412" s="129"/>
      <c r="M412" s="129"/>
      <c r="N412" s="129"/>
      <c r="O412" s="129"/>
      <c r="P412" s="129"/>
      <c r="Q412" s="129"/>
      <c r="R412" s="129"/>
      <c r="S412" s="129"/>
      <c r="T412" s="129"/>
      <c r="U412" s="129"/>
      <c r="V412" s="129"/>
      <c r="W412" s="129"/>
      <c r="X412" s="129"/>
      <c r="Y412" s="129"/>
      <c r="Z412" s="129"/>
      <c r="AA412" s="129"/>
      <c r="AB412" s="129"/>
      <c r="AC412" s="129"/>
      <c r="AD412" s="129"/>
      <c r="AE412" s="129"/>
      <c r="AF412" s="129"/>
      <c r="AG412" s="129"/>
      <c r="AH412" s="129"/>
      <c r="AI412" s="129"/>
      <c r="AJ412" s="129"/>
      <c r="AK412" s="129"/>
      <c r="AL412" s="129"/>
      <c r="AM412" s="129"/>
      <c r="AN412" s="129"/>
      <c r="AO412" s="129"/>
      <c r="AP412" s="129"/>
      <c r="AQ412" s="129"/>
    </row>
    <row r="413" spans="1:43" ht="12.75" customHeight="1">
      <c r="A413" s="129"/>
      <c r="B413" s="129"/>
      <c r="C413" s="129"/>
      <c r="D413" s="129"/>
      <c r="E413" s="129"/>
      <c r="F413" s="129"/>
      <c r="G413" s="129"/>
      <c r="H413" s="129"/>
      <c r="I413" s="129"/>
      <c r="J413" s="129"/>
      <c r="K413" s="129"/>
      <c r="L413" s="129"/>
      <c r="M413" s="129"/>
      <c r="N413" s="129"/>
      <c r="O413" s="129"/>
      <c r="P413" s="129"/>
      <c r="Q413" s="129"/>
      <c r="R413" s="129"/>
      <c r="S413" s="129"/>
      <c r="T413" s="129"/>
      <c r="U413" s="129"/>
      <c r="V413" s="129"/>
      <c r="W413" s="129"/>
      <c r="X413" s="129"/>
      <c r="Y413" s="129"/>
      <c r="Z413" s="129"/>
      <c r="AA413" s="129"/>
      <c r="AB413" s="129"/>
      <c r="AC413" s="129"/>
      <c r="AD413" s="129"/>
      <c r="AE413" s="129"/>
      <c r="AF413" s="129"/>
      <c r="AG413" s="129"/>
      <c r="AH413" s="129"/>
      <c r="AI413" s="129"/>
      <c r="AJ413" s="129"/>
      <c r="AK413" s="129"/>
      <c r="AL413" s="129"/>
      <c r="AM413" s="129"/>
      <c r="AN413" s="129"/>
      <c r="AO413" s="129"/>
      <c r="AP413" s="129"/>
      <c r="AQ413" s="129"/>
    </row>
    <row r="414" spans="1:43" ht="12.75" customHeight="1">
      <c r="A414" s="129"/>
      <c r="B414" s="129"/>
      <c r="C414" s="129"/>
      <c r="D414" s="129"/>
      <c r="E414" s="129"/>
      <c r="F414" s="129"/>
      <c r="G414" s="129"/>
      <c r="H414" s="129"/>
      <c r="I414" s="129"/>
      <c r="J414" s="129"/>
      <c r="K414" s="129"/>
      <c r="L414" s="129"/>
      <c r="M414" s="129"/>
      <c r="N414" s="129"/>
      <c r="O414" s="129"/>
      <c r="P414" s="129"/>
      <c r="Q414" s="129"/>
      <c r="R414" s="129"/>
      <c r="S414" s="129"/>
      <c r="T414" s="129"/>
      <c r="U414" s="129"/>
      <c r="V414" s="129"/>
      <c r="W414" s="129"/>
      <c r="X414" s="129"/>
      <c r="Y414" s="129"/>
      <c r="Z414" s="129"/>
      <c r="AA414" s="129"/>
      <c r="AB414" s="129"/>
      <c r="AC414" s="129"/>
      <c r="AD414" s="129"/>
      <c r="AE414" s="129"/>
      <c r="AF414" s="129"/>
      <c r="AG414" s="129"/>
      <c r="AH414" s="129"/>
      <c r="AI414" s="129"/>
      <c r="AJ414" s="129"/>
      <c r="AK414" s="129"/>
      <c r="AL414" s="129"/>
      <c r="AM414" s="129"/>
      <c r="AN414" s="129"/>
      <c r="AO414" s="129"/>
      <c r="AP414" s="129"/>
      <c r="AQ414" s="129"/>
    </row>
    <row r="415" spans="1:43" ht="12.75" customHeight="1">
      <c r="A415" s="129"/>
      <c r="B415" s="129"/>
      <c r="C415" s="129"/>
      <c r="D415" s="129"/>
      <c r="E415" s="129"/>
      <c r="F415" s="129"/>
      <c r="G415" s="129"/>
      <c r="H415" s="129"/>
      <c r="I415" s="129"/>
      <c r="J415" s="129"/>
      <c r="K415" s="129"/>
      <c r="L415" s="129"/>
      <c r="M415" s="129"/>
      <c r="N415" s="129"/>
      <c r="O415" s="129"/>
      <c r="P415" s="129"/>
      <c r="Q415" s="129"/>
      <c r="R415" s="129"/>
      <c r="S415" s="129"/>
      <c r="T415" s="129"/>
      <c r="U415" s="129"/>
      <c r="V415" s="129"/>
      <c r="W415" s="129"/>
      <c r="X415" s="129"/>
      <c r="Y415" s="129"/>
      <c r="Z415" s="129"/>
      <c r="AA415" s="129"/>
      <c r="AB415" s="129"/>
      <c r="AC415" s="129"/>
      <c r="AD415" s="129"/>
      <c r="AE415" s="129"/>
      <c r="AF415" s="129"/>
      <c r="AG415" s="129"/>
      <c r="AH415" s="129"/>
      <c r="AI415" s="129"/>
      <c r="AJ415" s="129"/>
      <c r="AK415" s="129"/>
      <c r="AL415" s="129"/>
      <c r="AM415" s="129"/>
      <c r="AN415" s="129"/>
      <c r="AO415" s="129"/>
      <c r="AP415" s="129"/>
      <c r="AQ415" s="129"/>
    </row>
    <row r="416" spans="1:43" ht="12.75" customHeight="1">
      <c r="A416" s="129"/>
      <c r="B416" s="129"/>
      <c r="C416" s="129"/>
      <c r="D416" s="129"/>
      <c r="E416" s="129"/>
      <c r="F416" s="129"/>
      <c r="G416" s="129"/>
      <c r="H416" s="129"/>
      <c r="I416" s="129"/>
      <c r="J416" s="129"/>
      <c r="K416" s="129"/>
      <c r="L416" s="129"/>
      <c r="M416" s="129"/>
      <c r="N416" s="129"/>
      <c r="O416" s="129"/>
      <c r="P416" s="129"/>
      <c r="Q416" s="129"/>
      <c r="R416" s="129"/>
      <c r="S416" s="129"/>
      <c r="T416" s="129"/>
      <c r="U416" s="129"/>
      <c r="V416" s="129"/>
      <c r="W416" s="129"/>
      <c r="X416" s="129"/>
      <c r="Y416" s="129"/>
      <c r="Z416" s="129"/>
      <c r="AA416" s="129"/>
      <c r="AB416" s="129"/>
      <c r="AC416" s="129"/>
      <c r="AD416" s="129"/>
      <c r="AE416" s="129"/>
      <c r="AF416" s="129"/>
      <c r="AG416" s="129"/>
      <c r="AH416" s="129"/>
      <c r="AI416" s="129"/>
      <c r="AJ416" s="129"/>
      <c r="AK416" s="129"/>
      <c r="AL416" s="129"/>
      <c r="AM416" s="129"/>
      <c r="AN416" s="129"/>
      <c r="AO416" s="129"/>
      <c r="AP416" s="129"/>
      <c r="AQ416" s="129"/>
    </row>
    <row r="417" spans="1:43" ht="12.75" customHeight="1">
      <c r="A417" s="129"/>
      <c r="B417" s="129"/>
      <c r="C417" s="129"/>
      <c r="D417" s="129"/>
      <c r="E417" s="129"/>
      <c r="F417" s="129"/>
      <c r="G417" s="129"/>
      <c r="H417" s="129"/>
      <c r="I417" s="129"/>
      <c r="J417" s="129"/>
      <c r="K417" s="129"/>
      <c r="L417" s="129"/>
      <c r="M417" s="129"/>
      <c r="N417" s="129"/>
      <c r="O417" s="129"/>
      <c r="P417" s="129"/>
      <c r="Q417" s="129"/>
      <c r="R417" s="129"/>
      <c r="S417" s="129"/>
      <c r="T417" s="129"/>
      <c r="U417" s="129"/>
      <c r="V417" s="129"/>
      <c r="W417" s="129"/>
      <c r="X417" s="129"/>
      <c r="Y417" s="129"/>
      <c r="Z417" s="129"/>
      <c r="AA417" s="129"/>
      <c r="AB417" s="129"/>
      <c r="AC417" s="129"/>
      <c r="AD417" s="129"/>
      <c r="AE417" s="129"/>
      <c r="AF417" s="129"/>
      <c r="AG417" s="129"/>
      <c r="AH417" s="129"/>
      <c r="AI417" s="129"/>
      <c r="AJ417" s="129"/>
      <c r="AK417" s="129"/>
      <c r="AL417" s="129"/>
      <c r="AM417" s="129"/>
      <c r="AN417" s="129"/>
      <c r="AO417" s="129"/>
      <c r="AP417" s="129"/>
      <c r="AQ417" s="129"/>
    </row>
    <row r="418" spans="1:43" ht="12.75" customHeight="1">
      <c r="A418" s="129"/>
      <c r="B418" s="129"/>
      <c r="C418" s="129"/>
      <c r="D418" s="129"/>
      <c r="E418" s="129"/>
      <c r="F418" s="129"/>
      <c r="G418" s="129"/>
      <c r="H418" s="129"/>
      <c r="I418" s="129"/>
      <c r="J418" s="129"/>
      <c r="K418" s="129"/>
      <c r="L418" s="129"/>
      <c r="M418" s="129"/>
      <c r="N418" s="129"/>
      <c r="O418" s="129"/>
      <c r="P418" s="129"/>
      <c r="Q418" s="129"/>
      <c r="R418" s="129"/>
      <c r="S418" s="129"/>
      <c r="T418" s="129"/>
      <c r="U418" s="129"/>
      <c r="V418" s="129"/>
      <c r="W418" s="129"/>
      <c r="X418" s="129"/>
      <c r="Y418" s="129"/>
      <c r="Z418" s="129"/>
      <c r="AA418" s="129"/>
      <c r="AB418" s="129"/>
      <c r="AC418" s="129"/>
      <c r="AD418" s="129"/>
      <c r="AE418" s="129"/>
      <c r="AF418" s="129"/>
      <c r="AG418" s="129"/>
      <c r="AH418" s="129"/>
      <c r="AI418" s="129"/>
      <c r="AJ418" s="129"/>
      <c r="AK418" s="129"/>
      <c r="AL418" s="129"/>
      <c r="AM418" s="129"/>
      <c r="AN418" s="129"/>
      <c r="AO418" s="129"/>
      <c r="AP418" s="129"/>
      <c r="AQ418" s="129"/>
    </row>
    <row r="419" spans="1:43" ht="12.75" customHeight="1">
      <c r="A419" s="129"/>
      <c r="B419" s="129"/>
      <c r="C419" s="129"/>
      <c r="D419" s="129"/>
      <c r="E419" s="129"/>
      <c r="F419" s="129"/>
      <c r="G419" s="129"/>
      <c r="H419" s="129"/>
      <c r="I419" s="129"/>
      <c r="J419" s="129"/>
      <c r="K419" s="129"/>
      <c r="L419" s="129"/>
      <c r="M419" s="129"/>
      <c r="N419" s="129"/>
      <c r="O419" s="129"/>
      <c r="P419" s="129"/>
      <c r="Q419" s="129"/>
      <c r="R419" s="129"/>
      <c r="S419" s="129"/>
      <c r="T419" s="129"/>
      <c r="U419" s="129"/>
      <c r="V419" s="129"/>
      <c r="W419" s="129"/>
      <c r="X419" s="129"/>
      <c r="Y419" s="129"/>
      <c r="Z419" s="129"/>
      <c r="AA419" s="129"/>
      <c r="AB419" s="129"/>
      <c r="AC419" s="129"/>
      <c r="AD419" s="129"/>
      <c r="AE419" s="129"/>
      <c r="AF419" s="129"/>
      <c r="AG419" s="129"/>
      <c r="AH419" s="129"/>
      <c r="AI419" s="129"/>
      <c r="AJ419" s="129"/>
      <c r="AK419" s="129"/>
      <c r="AL419" s="129"/>
      <c r="AM419" s="129"/>
      <c r="AN419" s="129"/>
      <c r="AO419" s="129"/>
      <c r="AP419" s="129"/>
      <c r="AQ419" s="129"/>
    </row>
    <row r="420" spans="1:43" ht="12.75" customHeight="1">
      <c r="A420" s="129"/>
      <c r="B420" s="129"/>
      <c r="C420" s="129"/>
      <c r="D420" s="129"/>
      <c r="E420" s="129"/>
      <c r="F420" s="129"/>
      <c r="G420" s="129"/>
      <c r="H420" s="129"/>
      <c r="I420" s="129"/>
      <c r="J420" s="129"/>
      <c r="K420" s="129"/>
      <c r="L420" s="129"/>
      <c r="M420" s="129"/>
      <c r="N420" s="129"/>
      <c r="O420" s="129"/>
      <c r="P420" s="129"/>
      <c r="Q420" s="129"/>
      <c r="R420" s="129"/>
      <c r="S420" s="129"/>
      <c r="T420" s="129"/>
      <c r="U420" s="129"/>
      <c r="V420" s="129"/>
      <c r="W420" s="129"/>
      <c r="X420" s="129"/>
      <c r="Y420" s="129"/>
      <c r="Z420" s="129"/>
      <c r="AA420" s="129"/>
      <c r="AB420" s="129"/>
      <c r="AC420" s="129"/>
      <c r="AD420" s="129"/>
      <c r="AE420" s="129"/>
      <c r="AF420" s="129"/>
      <c r="AG420" s="129"/>
      <c r="AH420" s="129"/>
      <c r="AI420" s="129"/>
      <c r="AJ420" s="129"/>
      <c r="AK420" s="129"/>
      <c r="AL420" s="129"/>
      <c r="AM420" s="129"/>
      <c r="AN420" s="129"/>
      <c r="AO420" s="129"/>
      <c r="AP420" s="129"/>
      <c r="AQ420" s="129"/>
    </row>
    <row r="421" spans="1:43" ht="12.75" customHeight="1">
      <c r="A421" s="129"/>
      <c r="B421" s="129"/>
      <c r="C421" s="129"/>
      <c r="D421" s="129"/>
      <c r="E421" s="129"/>
      <c r="F421" s="129"/>
      <c r="G421" s="129"/>
      <c r="H421" s="129"/>
      <c r="I421" s="129"/>
      <c r="J421" s="129"/>
      <c r="K421" s="129"/>
      <c r="L421" s="129"/>
      <c r="M421" s="129"/>
      <c r="N421" s="129"/>
      <c r="O421" s="129"/>
      <c r="P421" s="129"/>
      <c r="Q421" s="129"/>
      <c r="R421" s="129"/>
      <c r="S421" s="129"/>
      <c r="T421" s="129"/>
      <c r="U421" s="129"/>
      <c r="V421" s="129"/>
      <c r="W421" s="129"/>
      <c r="X421" s="129"/>
      <c r="Y421" s="129"/>
      <c r="Z421" s="129"/>
      <c r="AA421" s="129"/>
      <c r="AB421" s="129"/>
      <c r="AC421" s="129"/>
      <c r="AD421" s="129"/>
      <c r="AE421" s="129"/>
      <c r="AF421" s="129"/>
      <c r="AG421" s="129"/>
      <c r="AH421" s="129"/>
      <c r="AI421" s="129"/>
      <c r="AJ421" s="129"/>
      <c r="AK421" s="129"/>
      <c r="AL421" s="129"/>
      <c r="AM421" s="129"/>
      <c r="AN421" s="129"/>
      <c r="AO421" s="129"/>
      <c r="AP421" s="129"/>
      <c r="AQ421" s="129"/>
    </row>
    <row r="422" spans="1:43" ht="12.75" customHeight="1">
      <c r="A422" s="129"/>
      <c r="B422" s="129"/>
      <c r="C422" s="129"/>
      <c r="D422" s="129"/>
      <c r="E422" s="129"/>
      <c r="F422" s="129"/>
      <c r="G422" s="129"/>
      <c r="H422" s="129"/>
      <c r="I422" s="129"/>
      <c r="J422" s="129"/>
      <c r="K422" s="129"/>
      <c r="L422" s="129"/>
      <c r="M422" s="129"/>
      <c r="N422" s="129"/>
      <c r="O422" s="129"/>
      <c r="P422" s="129"/>
      <c r="Q422" s="129"/>
      <c r="R422" s="129"/>
      <c r="S422" s="129"/>
      <c r="T422" s="129"/>
      <c r="U422" s="129"/>
      <c r="V422" s="129"/>
      <c r="W422" s="129"/>
      <c r="X422" s="129"/>
      <c r="Y422" s="129"/>
      <c r="Z422" s="129"/>
      <c r="AA422" s="129"/>
      <c r="AB422" s="129"/>
      <c r="AC422" s="129"/>
      <c r="AD422" s="129"/>
      <c r="AE422" s="129"/>
      <c r="AF422" s="129"/>
      <c r="AG422" s="129"/>
      <c r="AH422" s="129"/>
      <c r="AI422" s="129"/>
      <c r="AJ422" s="129"/>
      <c r="AK422" s="129"/>
      <c r="AL422" s="129"/>
      <c r="AM422" s="129"/>
      <c r="AN422" s="129"/>
      <c r="AO422" s="129"/>
      <c r="AP422" s="129"/>
      <c r="AQ422" s="129"/>
    </row>
    <row r="423" spans="1:43" ht="12.75" customHeight="1">
      <c r="A423" s="129"/>
      <c r="B423" s="129"/>
      <c r="C423" s="129"/>
      <c r="D423" s="129"/>
      <c r="E423" s="129"/>
      <c r="F423" s="129"/>
      <c r="G423" s="129"/>
      <c r="H423" s="129"/>
      <c r="I423" s="129"/>
      <c r="J423" s="129"/>
      <c r="K423" s="129"/>
      <c r="L423" s="129"/>
      <c r="M423" s="129"/>
      <c r="N423" s="129"/>
      <c r="O423" s="129"/>
      <c r="P423" s="129"/>
      <c r="Q423" s="129"/>
      <c r="R423" s="129"/>
      <c r="S423" s="129"/>
      <c r="T423" s="129"/>
      <c r="U423" s="129"/>
      <c r="V423" s="129"/>
      <c r="W423" s="129"/>
      <c r="X423" s="129"/>
      <c r="Y423" s="129"/>
      <c r="Z423" s="129"/>
      <c r="AA423" s="129"/>
      <c r="AB423" s="129"/>
      <c r="AC423" s="129"/>
      <c r="AD423" s="129"/>
      <c r="AE423" s="129"/>
      <c r="AF423" s="129"/>
      <c r="AG423" s="129"/>
      <c r="AH423" s="129"/>
      <c r="AI423" s="129"/>
      <c r="AJ423" s="129"/>
      <c r="AK423" s="129"/>
      <c r="AL423" s="129"/>
      <c r="AM423" s="129"/>
      <c r="AN423" s="129"/>
      <c r="AO423" s="129"/>
      <c r="AP423" s="129"/>
      <c r="AQ423" s="129"/>
    </row>
    <row r="424" spans="1:43" ht="12.75" customHeight="1">
      <c r="A424" s="129"/>
      <c r="B424" s="129"/>
      <c r="C424" s="129"/>
      <c r="D424" s="129"/>
      <c r="E424" s="129"/>
      <c r="F424" s="129"/>
      <c r="G424" s="129"/>
      <c r="H424" s="129"/>
      <c r="I424" s="129"/>
      <c r="J424" s="129"/>
      <c r="K424" s="129"/>
      <c r="L424" s="129"/>
      <c r="M424" s="129"/>
      <c r="N424" s="129"/>
      <c r="O424" s="129"/>
      <c r="P424" s="129"/>
      <c r="Q424" s="129"/>
      <c r="R424" s="129"/>
      <c r="S424" s="129"/>
      <c r="T424" s="129"/>
      <c r="U424" s="129"/>
      <c r="V424" s="129"/>
      <c r="W424" s="129"/>
      <c r="X424" s="129"/>
      <c r="Y424" s="129"/>
      <c r="Z424" s="129"/>
      <c r="AA424" s="129"/>
      <c r="AB424" s="129"/>
      <c r="AC424" s="129"/>
      <c r="AD424" s="129"/>
      <c r="AE424" s="129"/>
      <c r="AF424" s="129"/>
      <c r="AG424" s="129"/>
      <c r="AH424" s="129"/>
      <c r="AI424" s="129"/>
      <c r="AJ424" s="129"/>
      <c r="AK424" s="129"/>
      <c r="AL424" s="129"/>
      <c r="AM424" s="129"/>
      <c r="AN424" s="129"/>
      <c r="AO424" s="129"/>
      <c r="AP424" s="129"/>
      <c r="AQ424" s="129"/>
    </row>
    <row r="425" spans="1:43" ht="12.75" customHeight="1">
      <c r="A425" s="129"/>
      <c r="B425" s="129"/>
      <c r="C425" s="129"/>
      <c r="D425" s="129"/>
      <c r="E425" s="129"/>
      <c r="F425" s="129"/>
      <c r="G425" s="129"/>
      <c r="H425" s="129"/>
      <c r="I425" s="129"/>
      <c r="J425" s="129"/>
      <c r="K425" s="129"/>
      <c r="L425" s="129"/>
      <c r="M425" s="129"/>
      <c r="N425" s="129"/>
      <c r="O425" s="129"/>
      <c r="P425" s="129"/>
      <c r="Q425" s="129"/>
      <c r="R425" s="129"/>
      <c r="S425" s="129"/>
      <c r="T425" s="129"/>
      <c r="U425" s="129"/>
      <c r="V425" s="129"/>
      <c r="W425" s="129"/>
      <c r="X425" s="129"/>
      <c r="Y425" s="129"/>
      <c r="Z425" s="129"/>
      <c r="AA425" s="129"/>
      <c r="AB425" s="129"/>
      <c r="AC425" s="129"/>
      <c r="AD425" s="129"/>
      <c r="AE425" s="129"/>
      <c r="AF425" s="129"/>
      <c r="AG425" s="129"/>
      <c r="AH425" s="129"/>
      <c r="AI425" s="129"/>
      <c r="AJ425" s="129"/>
      <c r="AK425" s="129"/>
      <c r="AL425" s="129"/>
      <c r="AM425" s="129"/>
      <c r="AN425" s="129"/>
      <c r="AO425" s="129"/>
      <c r="AP425" s="129"/>
      <c r="AQ425" s="129"/>
    </row>
    <row r="426" spans="1:43" ht="12.75" customHeight="1">
      <c r="A426" s="129"/>
      <c r="B426" s="129"/>
      <c r="C426" s="129"/>
      <c r="D426" s="129"/>
      <c r="E426" s="129"/>
      <c r="F426" s="129"/>
      <c r="G426" s="129"/>
      <c r="H426" s="129"/>
      <c r="I426" s="129"/>
      <c r="J426" s="129"/>
      <c r="K426" s="129"/>
      <c r="L426" s="129"/>
      <c r="M426" s="129"/>
      <c r="N426" s="129"/>
      <c r="O426" s="129"/>
      <c r="P426" s="129"/>
      <c r="Q426" s="129"/>
      <c r="R426" s="129"/>
      <c r="S426" s="129"/>
      <c r="T426" s="129"/>
      <c r="U426" s="129"/>
      <c r="V426" s="129"/>
      <c r="W426" s="129"/>
      <c r="X426" s="129"/>
      <c r="Y426" s="129"/>
      <c r="Z426" s="129"/>
      <c r="AA426" s="129"/>
      <c r="AB426" s="129"/>
      <c r="AC426" s="129"/>
      <c r="AD426" s="129"/>
      <c r="AE426" s="129"/>
      <c r="AF426" s="129"/>
      <c r="AG426" s="129"/>
      <c r="AH426" s="129"/>
      <c r="AI426" s="129"/>
      <c r="AJ426" s="129"/>
      <c r="AK426" s="129"/>
      <c r="AL426" s="129"/>
      <c r="AM426" s="129"/>
      <c r="AN426" s="129"/>
      <c r="AO426" s="129"/>
      <c r="AP426" s="129"/>
      <c r="AQ426" s="129"/>
    </row>
    <row r="427" spans="1:43" ht="12.75" customHeight="1">
      <c r="A427" s="129"/>
      <c r="B427" s="129"/>
      <c r="C427" s="129"/>
      <c r="D427" s="129"/>
      <c r="E427" s="129"/>
      <c r="F427" s="129"/>
      <c r="G427" s="129"/>
      <c r="H427" s="129"/>
      <c r="I427" s="129"/>
      <c r="J427" s="129"/>
      <c r="K427" s="129"/>
      <c r="L427" s="129"/>
      <c r="M427" s="129"/>
      <c r="N427" s="129"/>
      <c r="O427" s="129"/>
      <c r="P427" s="129"/>
      <c r="Q427" s="129"/>
      <c r="R427" s="129"/>
      <c r="S427" s="129"/>
      <c r="T427" s="129"/>
      <c r="U427" s="129"/>
      <c r="V427" s="129"/>
      <c r="W427" s="129"/>
      <c r="X427" s="129"/>
      <c r="Y427" s="129"/>
      <c r="Z427" s="129"/>
      <c r="AA427" s="129"/>
      <c r="AB427" s="129"/>
      <c r="AC427" s="129"/>
      <c r="AD427" s="129"/>
      <c r="AE427" s="129"/>
      <c r="AF427" s="129"/>
      <c r="AG427" s="129"/>
      <c r="AH427" s="129"/>
      <c r="AI427" s="129"/>
      <c r="AJ427" s="129"/>
      <c r="AK427" s="129"/>
      <c r="AL427" s="129"/>
      <c r="AM427" s="129"/>
      <c r="AN427" s="129"/>
      <c r="AO427" s="129"/>
      <c r="AP427" s="129"/>
      <c r="AQ427" s="129"/>
    </row>
    <row r="428" spans="1:43" ht="12.75" customHeight="1">
      <c r="A428" s="129"/>
      <c r="B428" s="129"/>
      <c r="C428" s="129"/>
      <c r="D428" s="129"/>
      <c r="E428" s="129"/>
      <c r="F428" s="129"/>
      <c r="G428" s="129"/>
      <c r="H428" s="129"/>
      <c r="I428" s="129"/>
      <c r="J428" s="129"/>
      <c r="K428" s="129"/>
      <c r="L428" s="129"/>
      <c r="M428" s="129"/>
      <c r="N428" s="129"/>
      <c r="O428" s="129"/>
      <c r="P428" s="129"/>
      <c r="Q428" s="129"/>
      <c r="R428" s="129"/>
      <c r="S428" s="129"/>
      <c r="T428" s="129"/>
      <c r="U428" s="129"/>
      <c r="V428" s="129"/>
      <c r="W428" s="129"/>
      <c r="X428" s="129"/>
      <c r="Y428" s="129"/>
      <c r="Z428" s="129"/>
      <c r="AA428" s="129"/>
      <c r="AB428" s="129"/>
      <c r="AC428" s="129"/>
      <c r="AD428" s="129"/>
      <c r="AE428" s="129"/>
      <c r="AF428" s="129"/>
      <c r="AG428" s="129"/>
      <c r="AH428" s="129"/>
      <c r="AI428" s="129"/>
      <c r="AJ428" s="129"/>
      <c r="AK428" s="129"/>
      <c r="AL428" s="129"/>
      <c r="AM428" s="129"/>
      <c r="AN428" s="129"/>
      <c r="AO428" s="129"/>
      <c r="AP428" s="129"/>
      <c r="AQ428" s="129"/>
    </row>
    <row r="429" spans="1:43" ht="12.75" customHeight="1">
      <c r="A429" s="129"/>
      <c r="B429" s="129"/>
      <c r="C429" s="129"/>
      <c r="D429" s="129"/>
      <c r="E429" s="129"/>
      <c r="F429" s="129"/>
      <c r="G429" s="129"/>
      <c r="H429" s="129"/>
      <c r="I429" s="129"/>
      <c r="J429" s="129"/>
      <c r="K429" s="129"/>
      <c r="L429" s="129"/>
      <c r="M429" s="129"/>
      <c r="N429" s="129"/>
      <c r="O429" s="129"/>
      <c r="P429" s="129"/>
      <c r="Q429" s="129"/>
      <c r="R429" s="129"/>
      <c r="S429" s="129"/>
      <c r="T429" s="129"/>
      <c r="U429" s="129"/>
      <c r="V429" s="129"/>
      <c r="W429" s="129"/>
      <c r="X429" s="129"/>
      <c r="Y429" s="129"/>
      <c r="Z429" s="129"/>
      <c r="AA429" s="129"/>
      <c r="AB429" s="129"/>
      <c r="AC429" s="129"/>
      <c r="AD429" s="129"/>
      <c r="AE429" s="129"/>
      <c r="AF429" s="129"/>
      <c r="AG429" s="129"/>
      <c r="AH429" s="129"/>
      <c r="AI429" s="129"/>
      <c r="AJ429" s="129"/>
      <c r="AK429" s="129"/>
      <c r="AL429" s="129"/>
      <c r="AM429" s="129"/>
      <c r="AN429" s="129"/>
      <c r="AO429" s="129"/>
      <c r="AP429" s="129"/>
      <c r="AQ429" s="129"/>
    </row>
    <row r="430" spans="1:43" ht="12.75" customHeight="1">
      <c r="A430" s="129"/>
      <c r="B430" s="129"/>
      <c r="C430" s="129"/>
      <c r="D430" s="129"/>
      <c r="E430" s="129"/>
      <c r="F430" s="129"/>
      <c r="G430" s="129"/>
      <c r="H430" s="129"/>
      <c r="I430" s="129"/>
      <c r="J430" s="129"/>
      <c r="K430" s="129"/>
      <c r="L430" s="129"/>
      <c r="M430" s="129"/>
      <c r="N430" s="129"/>
      <c r="O430" s="129"/>
      <c r="P430" s="129"/>
      <c r="Q430" s="129"/>
      <c r="R430" s="129"/>
      <c r="S430" s="129"/>
      <c r="T430" s="129"/>
      <c r="U430" s="129"/>
      <c r="V430" s="129"/>
      <c r="W430" s="129"/>
      <c r="X430" s="129"/>
      <c r="Y430" s="129"/>
      <c r="Z430" s="129"/>
      <c r="AA430" s="129"/>
      <c r="AB430" s="129"/>
      <c r="AC430" s="129"/>
      <c r="AD430" s="129"/>
      <c r="AE430" s="129"/>
      <c r="AF430" s="129"/>
      <c r="AG430" s="129"/>
      <c r="AH430" s="129"/>
      <c r="AI430" s="129"/>
      <c r="AJ430" s="129"/>
      <c r="AK430" s="129"/>
      <c r="AL430" s="129"/>
      <c r="AM430" s="129"/>
      <c r="AN430" s="129"/>
      <c r="AO430" s="129"/>
      <c r="AP430" s="129"/>
      <c r="AQ430" s="129"/>
    </row>
    <row r="431" spans="1:43" ht="12.75" customHeight="1">
      <c r="A431" s="129"/>
      <c r="B431" s="129"/>
      <c r="C431" s="129"/>
      <c r="D431" s="129"/>
      <c r="E431" s="129"/>
      <c r="F431" s="129"/>
      <c r="G431" s="129"/>
      <c r="H431" s="129"/>
      <c r="I431" s="129"/>
      <c r="J431" s="129"/>
      <c r="K431" s="129"/>
      <c r="L431" s="129"/>
      <c r="M431" s="129"/>
      <c r="N431" s="129"/>
      <c r="O431" s="129"/>
      <c r="P431" s="129"/>
      <c r="Q431" s="129"/>
      <c r="R431" s="129"/>
      <c r="S431" s="129"/>
      <c r="T431" s="129"/>
      <c r="U431" s="129"/>
      <c r="V431" s="129"/>
      <c r="W431" s="129"/>
      <c r="X431" s="129"/>
      <c r="Y431" s="129"/>
      <c r="Z431" s="129"/>
      <c r="AA431" s="129"/>
      <c r="AB431" s="129"/>
      <c r="AC431" s="129"/>
      <c r="AD431" s="129"/>
      <c r="AE431" s="129"/>
      <c r="AF431" s="129"/>
      <c r="AG431" s="129"/>
      <c r="AH431" s="129"/>
      <c r="AI431" s="129"/>
      <c r="AJ431" s="129"/>
      <c r="AK431" s="129"/>
      <c r="AL431" s="129"/>
      <c r="AM431" s="129"/>
      <c r="AN431" s="129"/>
      <c r="AO431" s="129"/>
      <c r="AP431" s="129"/>
      <c r="AQ431" s="129"/>
    </row>
    <row r="432" spans="1:43" ht="12.75" customHeight="1">
      <c r="A432" s="129"/>
      <c r="B432" s="129"/>
      <c r="C432" s="129"/>
      <c r="D432" s="129"/>
      <c r="E432" s="129"/>
      <c r="F432" s="129"/>
      <c r="G432" s="129"/>
      <c r="H432" s="129"/>
      <c r="I432" s="129"/>
      <c r="J432" s="129"/>
      <c r="K432" s="129"/>
      <c r="L432" s="129"/>
      <c r="M432" s="129"/>
      <c r="N432" s="129"/>
      <c r="O432" s="129"/>
      <c r="P432" s="129"/>
      <c r="Q432" s="129"/>
      <c r="R432" s="129"/>
      <c r="S432" s="129"/>
      <c r="T432" s="129"/>
      <c r="U432" s="129"/>
      <c r="V432" s="129"/>
      <c r="W432" s="129"/>
      <c r="X432" s="129"/>
      <c r="Y432" s="129"/>
      <c r="Z432" s="129"/>
      <c r="AA432" s="129"/>
      <c r="AB432" s="129"/>
      <c r="AC432" s="129"/>
      <c r="AD432" s="129"/>
      <c r="AE432" s="129"/>
      <c r="AF432" s="129"/>
      <c r="AG432" s="129"/>
      <c r="AH432" s="129"/>
      <c r="AI432" s="129"/>
      <c r="AJ432" s="129"/>
      <c r="AK432" s="129"/>
      <c r="AL432" s="129"/>
      <c r="AM432" s="129"/>
      <c r="AN432" s="129"/>
      <c r="AO432" s="129"/>
      <c r="AP432" s="129"/>
      <c r="AQ432" s="129"/>
    </row>
    <row r="433" spans="1:43" ht="12.75" customHeight="1">
      <c r="A433" s="129"/>
      <c r="B433" s="129"/>
      <c r="C433" s="129"/>
      <c r="D433" s="129"/>
      <c r="E433" s="129"/>
      <c r="F433" s="129"/>
      <c r="G433" s="129"/>
      <c r="H433" s="129"/>
      <c r="I433" s="129"/>
      <c r="J433" s="129"/>
      <c r="K433" s="129"/>
      <c r="L433" s="129"/>
      <c r="M433" s="129"/>
      <c r="N433" s="129"/>
      <c r="O433" s="129"/>
      <c r="P433" s="129"/>
      <c r="Q433" s="129"/>
      <c r="R433" s="129"/>
      <c r="S433" s="129"/>
      <c r="T433" s="129"/>
      <c r="U433" s="129"/>
      <c r="V433" s="129"/>
      <c r="W433" s="129"/>
      <c r="X433" s="129"/>
      <c r="Y433" s="129"/>
      <c r="Z433" s="129"/>
      <c r="AA433" s="129"/>
      <c r="AB433" s="129"/>
      <c r="AC433" s="129"/>
      <c r="AD433" s="129"/>
      <c r="AE433" s="129"/>
      <c r="AF433" s="129"/>
      <c r="AG433" s="129"/>
      <c r="AH433" s="129"/>
      <c r="AI433" s="129"/>
      <c r="AJ433" s="129"/>
      <c r="AK433" s="129"/>
      <c r="AL433" s="129"/>
      <c r="AM433" s="129"/>
      <c r="AN433" s="129"/>
      <c r="AO433" s="129"/>
      <c r="AP433" s="129"/>
      <c r="AQ433" s="129"/>
    </row>
    <row r="434" spans="1:43" ht="12.75" customHeight="1">
      <c r="A434" s="129"/>
      <c r="B434" s="129"/>
      <c r="C434" s="129"/>
      <c r="D434" s="129"/>
      <c r="E434" s="129"/>
      <c r="F434" s="129"/>
      <c r="G434" s="129"/>
      <c r="H434" s="129"/>
      <c r="I434" s="129"/>
      <c r="J434" s="129"/>
      <c r="K434" s="129"/>
      <c r="L434" s="129"/>
      <c r="M434" s="129"/>
      <c r="N434" s="129"/>
      <c r="O434" s="129"/>
      <c r="P434" s="129"/>
      <c r="Q434" s="129"/>
      <c r="R434" s="129"/>
      <c r="S434" s="129"/>
      <c r="T434" s="129"/>
      <c r="U434" s="129"/>
      <c r="V434" s="129"/>
      <c r="W434" s="129"/>
      <c r="X434" s="129"/>
      <c r="Y434" s="129"/>
      <c r="Z434" s="129"/>
      <c r="AA434" s="129"/>
      <c r="AB434" s="129"/>
      <c r="AC434" s="129"/>
      <c r="AD434" s="129"/>
      <c r="AE434" s="129"/>
      <c r="AF434" s="129"/>
      <c r="AG434" s="129"/>
      <c r="AH434" s="129"/>
      <c r="AI434" s="129"/>
      <c r="AJ434" s="129"/>
      <c r="AK434" s="129"/>
      <c r="AL434" s="129"/>
      <c r="AM434" s="129"/>
      <c r="AN434" s="129"/>
      <c r="AO434" s="129"/>
      <c r="AP434" s="129"/>
      <c r="AQ434" s="129"/>
    </row>
    <row r="435" spans="1:43" ht="12.75" customHeight="1">
      <c r="A435" s="129"/>
      <c r="B435" s="129"/>
      <c r="C435" s="129"/>
      <c r="D435" s="129"/>
      <c r="E435" s="129"/>
      <c r="F435" s="129"/>
      <c r="G435" s="129"/>
      <c r="H435" s="129"/>
      <c r="I435" s="129"/>
      <c r="J435" s="129"/>
      <c r="K435" s="129"/>
      <c r="L435" s="129"/>
      <c r="M435" s="129"/>
      <c r="N435" s="129"/>
      <c r="O435" s="129"/>
      <c r="P435" s="129"/>
      <c r="Q435" s="129"/>
      <c r="R435" s="129"/>
      <c r="S435" s="129"/>
      <c r="T435" s="129"/>
      <c r="U435" s="129"/>
      <c r="V435" s="129"/>
      <c r="W435" s="129"/>
      <c r="X435" s="129"/>
      <c r="Y435" s="129"/>
      <c r="Z435" s="129"/>
      <c r="AA435" s="129"/>
      <c r="AB435" s="129"/>
      <c r="AC435" s="129"/>
      <c r="AD435" s="129"/>
      <c r="AE435" s="129"/>
      <c r="AF435" s="129"/>
      <c r="AG435" s="129"/>
      <c r="AH435" s="129"/>
      <c r="AI435" s="129"/>
      <c r="AJ435" s="129"/>
      <c r="AK435" s="129"/>
      <c r="AL435" s="129"/>
      <c r="AM435" s="129"/>
      <c r="AN435" s="129"/>
      <c r="AO435" s="129"/>
      <c r="AP435" s="129"/>
      <c r="AQ435" s="129"/>
    </row>
    <row r="436" spans="1:43" ht="12.75" customHeight="1">
      <c r="A436" s="129"/>
      <c r="B436" s="129"/>
      <c r="C436" s="129"/>
      <c r="D436" s="129"/>
      <c r="E436" s="129"/>
      <c r="F436" s="129"/>
      <c r="G436" s="129"/>
      <c r="H436" s="129"/>
      <c r="I436" s="129"/>
      <c r="J436" s="129"/>
      <c r="K436" s="129"/>
      <c r="L436" s="129"/>
      <c r="M436" s="129"/>
      <c r="N436" s="129"/>
      <c r="O436" s="129"/>
      <c r="P436" s="129"/>
      <c r="Q436" s="129"/>
      <c r="R436" s="129"/>
      <c r="S436" s="129"/>
      <c r="T436" s="129"/>
      <c r="U436" s="129"/>
      <c r="V436" s="129"/>
      <c r="W436" s="129"/>
      <c r="X436" s="129"/>
      <c r="Y436" s="129"/>
      <c r="Z436" s="129"/>
      <c r="AA436" s="129"/>
      <c r="AB436" s="129"/>
      <c r="AC436" s="129"/>
      <c r="AD436" s="129"/>
      <c r="AE436" s="129"/>
      <c r="AF436" s="129"/>
      <c r="AG436" s="129"/>
      <c r="AH436" s="129"/>
      <c r="AI436" s="129"/>
      <c r="AJ436" s="129"/>
      <c r="AK436" s="129"/>
      <c r="AL436" s="129"/>
      <c r="AM436" s="129"/>
      <c r="AN436" s="129"/>
      <c r="AO436" s="129"/>
      <c r="AP436" s="129"/>
      <c r="AQ436" s="129"/>
    </row>
    <row r="437" spans="1:43" ht="12.75" customHeight="1">
      <c r="A437" s="129"/>
      <c r="B437" s="129"/>
      <c r="C437" s="129"/>
      <c r="D437" s="129"/>
      <c r="E437" s="129"/>
      <c r="F437" s="129"/>
      <c r="G437" s="129"/>
      <c r="H437" s="129"/>
      <c r="I437" s="129"/>
      <c r="J437" s="129"/>
      <c r="K437" s="129"/>
      <c r="L437" s="129"/>
      <c r="M437" s="129"/>
      <c r="N437" s="129"/>
      <c r="O437" s="129"/>
      <c r="P437" s="129"/>
      <c r="Q437" s="129"/>
      <c r="R437" s="129"/>
      <c r="S437" s="129"/>
      <c r="T437" s="129"/>
      <c r="U437" s="129"/>
      <c r="V437" s="129"/>
      <c r="W437" s="129"/>
      <c r="X437" s="129"/>
      <c r="Y437" s="129"/>
      <c r="Z437" s="129"/>
      <c r="AA437" s="129"/>
      <c r="AB437" s="129"/>
      <c r="AC437" s="129"/>
      <c r="AD437" s="129"/>
      <c r="AE437" s="129"/>
      <c r="AF437" s="129"/>
      <c r="AG437" s="129"/>
      <c r="AH437" s="129"/>
      <c r="AI437" s="129"/>
      <c r="AJ437" s="129"/>
      <c r="AK437" s="129"/>
      <c r="AL437" s="129"/>
      <c r="AM437" s="129"/>
      <c r="AN437" s="129"/>
      <c r="AO437" s="129"/>
      <c r="AP437" s="129"/>
      <c r="AQ437" s="129"/>
    </row>
    <row r="438" spans="1:43" ht="12.75" customHeight="1">
      <c r="A438" s="129"/>
      <c r="B438" s="129"/>
      <c r="C438" s="129"/>
      <c r="D438" s="129"/>
      <c r="E438" s="129"/>
      <c r="F438" s="129"/>
      <c r="G438" s="129"/>
      <c r="H438" s="129"/>
      <c r="I438" s="129"/>
      <c r="J438" s="129"/>
      <c r="K438" s="129"/>
      <c r="L438" s="129"/>
      <c r="M438" s="129"/>
      <c r="N438" s="129"/>
      <c r="O438" s="129"/>
      <c r="P438" s="129"/>
      <c r="Q438" s="129"/>
      <c r="R438" s="129"/>
      <c r="S438" s="129"/>
      <c r="T438" s="129"/>
      <c r="U438" s="129"/>
      <c r="V438" s="129"/>
      <c r="W438" s="129"/>
      <c r="X438" s="129"/>
      <c r="Y438" s="129"/>
      <c r="Z438" s="129"/>
      <c r="AA438" s="129"/>
      <c r="AB438" s="129"/>
      <c r="AC438" s="129"/>
      <c r="AD438" s="129"/>
      <c r="AE438" s="129"/>
      <c r="AF438" s="129"/>
      <c r="AG438" s="129"/>
      <c r="AH438" s="129"/>
      <c r="AI438" s="129"/>
      <c r="AJ438" s="129"/>
      <c r="AK438" s="129"/>
      <c r="AL438" s="129"/>
      <c r="AM438" s="129"/>
      <c r="AN438" s="129"/>
      <c r="AO438" s="129"/>
      <c r="AP438" s="129"/>
      <c r="AQ438" s="129"/>
    </row>
    <row r="439" spans="1:43" ht="12.75" customHeight="1">
      <c r="A439" s="129"/>
      <c r="B439" s="129"/>
      <c r="C439" s="129"/>
      <c r="D439" s="129"/>
      <c r="E439" s="129"/>
      <c r="F439" s="129"/>
      <c r="G439" s="129"/>
      <c r="H439" s="129"/>
      <c r="I439" s="129"/>
      <c r="J439" s="129"/>
      <c r="K439" s="129"/>
      <c r="L439" s="129"/>
      <c r="M439" s="129"/>
      <c r="N439" s="129"/>
      <c r="O439" s="129"/>
      <c r="P439" s="129"/>
      <c r="Q439" s="129"/>
      <c r="R439" s="129"/>
      <c r="S439" s="129"/>
      <c r="T439" s="129"/>
      <c r="U439" s="129"/>
      <c r="V439" s="129"/>
      <c r="W439" s="129"/>
      <c r="X439" s="129"/>
      <c r="Y439" s="129"/>
      <c r="Z439" s="129"/>
      <c r="AA439" s="129"/>
      <c r="AB439" s="129"/>
      <c r="AC439" s="129"/>
      <c r="AD439" s="129"/>
      <c r="AE439" s="129"/>
      <c r="AF439" s="129"/>
      <c r="AG439" s="129"/>
      <c r="AH439" s="129"/>
      <c r="AI439" s="129"/>
      <c r="AJ439" s="129"/>
      <c r="AK439" s="129"/>
      <c r="AL439" s="129"/>
      <c r="AM439" s="129"/>
      <c r="AN439" s="129"/>
      <c r="AO439" s="129"/>
      <c r="AP439" s="129"/>
      <c r="AQ439" s="129"/>
    </row>
    <row r="440" spans="1:43" ht="12.75" customHeight="1">
      <c r="A440" s="129"/>
      <c r="B440" s="129"/>
      <c r="C440" s="129"/>
      <c r="D440" s="129"/>
      <c r="E440" s="129"/>
      <c r="F440" s="129"/>
      <c r="G440" s="129"/>
      <c r="H440" s="129"/>
      <c r="I440" s="129"/>
      <c r="J440" s="129"/>
      <c r="K440" s="129"/>
      <c r="L440" s="129"/>
      <c r="M440" s="129"/>
      <c r="N440" s="129"/>
      <c r="O440" s="129"/>
      <c r="P440" s="129"/>
      <c r="Q440" s="129"/>
      <c r="R440" s="129"/>
      <c r="S440" s="129"/>
      <c r="T440" s="129"/>
      <c r="U440" s="129"/>
      <c r="V440" s="129"/>
      <c r="W440" s="129"/>
      <c r="X440" s="129"/>
      <c r="Y440" s="129"/>
      <c r="Z440" s="129"/>
      <c r="AA440" s="129"/>
      <c r="AB440" s="129"/>
      <c r="AC440" s="129"/>
      <c r="AD440" s="129"/>
      <c r="AE440" s="129"/>
      <c r="AF440" s="129"/>
      <c r="AG440" s="129"/>
      <c r="AH440" s="129"/>
      <c r="AI440" s="129"/>
      <c r="AJ440" s="129"/>
      <c r="AK440" s="129"/>
      <c r="AL440" s="129"/>
      <c r="AM440" s="129"/>
      <c r="AN440" s="129"/>
      <c r="AO440" s="129"/>
      <c r="AP440" s="129"/>
      <c r="AQ440" s="129"/>
    </row>
    <row r="441" spans="1:43" ht="12.75" customHeight="1">
      <c r="A441" s="129"/>
      <c r="B441" s="129"/>
      <c r="C441" s="129"/>
      <c r="D441" s="129"/>
      <c r="E441" s="129"/>
      <c r="F441" s="129"/>
      <c r="G441" s="129"/>
      <c r="H441" s="129"/>
      <c r="I441" s="129"/>
      <c r="J441" s="129"/>
      <c r="K441" s="129"/>
      <c r="L441" s="129"/>
      <c r="M441" s="129"/>
      <c r="N441" s="129"/>
      <c r="O441" s="129"/>
      <c r="P441" s="129"/>
      <c r="Q441" s="129"/>
      <c r="R441" s="129"/>
      <c r="S441" s="129"/>
      <c r="T441" s="129"/>
      <c r="U441" s="129"/>
      <c r="V441" s="129"/>
      <c r="W441" s="129"/>
      <c r="X441" s="129"/>
      <c r="Y441" s="129"/>
      <c r="Z441" s="129"/>
      <c r="AA441" s="129"/>
      <c r="AB441" s="129"/>
      <c r="AC441" s="129"/>
      <c r="AD441" s="129"/>
      <c r="AE441" s="129"/>
      <c r="AF441" s="129"/>
      <c r="AG441" s="129"/>
      <c r="AH441" s="129"/>
      <c r="AI441" s="129"/>
      <c r="AJ441" s="129"/>
      <c r="AK441" s="129"/>
      <c r="AL441" s="129"/>
      <c r="AM441" s="129"/>
      <c r="AN441" s="129"/>
      <c r="AO441" s="129"/>
      <c r="AP441" s="129"/>
      <c r="AQ441" s="129"/>
    </row>
    <row r="442" spans="1:43" ht="12.75" customHeight="1">
      <c r="A442" s="129"/>
      <c r="B442" s="129"/>
      <c r="C442" s="129"/>
      <c r="D442" s="129"/>
      <c r="E442" s="129"/>
      <c r="F442" s="129"/>
      <c r="G442" s="129"/>
      <c r="H442" s="129"/>
      <c r="I442" s="129"/>
      <c r="J442" s="129"/>
      <c r="K442" s="129"/>
      <c r="L442" s="129"/>
      <c r="M442" s="129"/>
      <c r="N442" s="129"/>
      <c r="O442" s="129"/>
      <c r="P442" s="129"/>
      <c r="Q442" s="129"/>
      <c r="R442" s="129"/>
      <c r="S442" s="129"/>
      <c r="T442" s="129"/>
      <c r="U442" s="129"/>
      <c r="V442" s="129"/>
      <c r="W442" s="129"/>
      <c r="X442" s="129"/>
      <c r="Y442" s="129"/>
      <c r="Z442" s="129"/>
      <c r="AA442" s="129"/>
      <c r="AB442" s="129"/>
      <c r="AC442" s="129"/>
      <c r="AD442" s="129"/>
      <c r="AE442" s="129"/>
      <c r="AF442" s="129"/>
      <c r="AG442" s="129"/>
      <c r="AH442" s="129"/>
      <c r="AI442" s="129"/>
      <c r="AJ442" s="129"/>
      <c r="AK442" s="129"/>
      <c r="AL442" s="129"/>
      <c r="AM442" s="129"/>
      <c r="AN442" s="129"/>
      <c r="AO442" s="129"/>
      <c r="AP442" s="129"/>
      <c r="AQ442" s="129"/>
    </row>
    <row r="443" spans="1:43" ht="12.75" customHeight="1">
      <c r="A443" s="129"/>
      <c r="B443" s="129"/>
      <c r="C443" s="129"/>
      <c r="D443" s="129"/>
      <c r="E443" s="129"/>
      <c r="F443" s="129"/>
      <c r="G443" s="129"/>
      <c r="H443" s="129"/>
      <c r="I443" s="129"/>
      <c r="J443" s="129"/>
      <c r="K443" s="129"/>
      <c r="L443" s="129"/>
      <c r="M443" s="129"/>
      <c r="N443" s="129"/>
      <c r="O443" s="129"/>
      <c r="P443" s="129"/>
      <c r="Q443" s="129"/>
      <c r="R443" s="129"/>
      <c r="S443" s="129"/>
      <c r="T443" s="129"/>
      <c r="U443" s="129"/>
      <c r="V443" s="129"/>
      <c r="W443" s="129"/>
      <c r="X443" s="129"/>
      <c r="Y443" s="129"/>
      <c r="Z443" s="129"/>
      <c r="AA443" s="129"/>
      <c r="AB443" s="129"/>
      <c r="AC443" s="129"/>
      <c r="AD443" s="129"/>
      <c r="AE443" s="129"/>
      <c r="AF443" s="129"/>
      <c r="AG443" s="129"/>
      <c r="AH443" s="129"/>
      <c r="AI443" s="129"/>
      <c r="AJ443" s="129"/>
      <c r="AK443" s="129"/>
      <c r="AL443" s="129"/>
      <c r="AM443" s="129"/>
      <c r="AN443" s="129"/>
      <c r="AO443" s="129"/>
      <c r="AP443" s="129"/>
      <c r="AQ443" s="129"/>
    </row>
    <row r="444" spans="1:43" ht="12.75" customHeight="1">
      <c r="A444" s="129"/>
      <c r="B444" s="129"/>
      <c r="C444" s="129"/>
      <c r="D444" s="129"/>
      <c r="E444" s="129"/>
      <c r="F444" s="129"/>
      <c r="G444" s="129"/>
      <c r="H444" s="129"/>
      <c r="I444" s="129"/>
      <c r="J444" s="129"/>
      <c r="K444" s="129"/>
      <c r="L444" s="129"/>
      <c r="M444" s="129"/>
      <c r="N444" s="129"/>
      <c r="O444" s="129"/>
      <c r="P444" s="129"/>
      <c r="Q444" s="129"/>
      <c r="R444" s="129"/>
      <c r="S444" s="129"/>
      <c r="T444" s="129"/>
      <c r="U444" s="129"/>
      <c r="V444" s="129"/>
      <c r="W444" s="129"/>
      <c r="X444" s="129"/>
      <c r="Y444" s="129"/>
      <c r="Z444" s="129"/>
      <c r="AA444" s="129"/>
      <c r="AB444" s="129"/>
      <c r="AC444" s="129"/>
      <c r="AD444" s="129"/>
      <c r="AE444" s="129"/>
      <c r="AF444" s="129"/>
      <c r="AG444" s="129"/>
      <c r="AH444" s="129"/>
      <c r="AI444" s="129"/>
      <c r="AJ444" s="129"/>
      <c r="AK444" s="129"/>
      <c r="AL444" s="129"/>
      <c r="AM444" s="129"/>
      <c r="AN444" s="129"/>
      <c r="AO444" s="129"/>
      <c r="AP444" s="129"/>
      <c r="AQ444" s="129"/>
    </row>
    <row r="445" spans="1:43" ht="12.75" customHeight="1">
      <c r="A445" s="129"/>
      <c r="B445" s="129"/>
      <c r="C445" s="129"/>
      <c r="D445" s="129"/>
      <c r="E445" s="129"/>
      <c r="F445" s="129"/>
      <c r="G445" s="129"/>
      <c r="H445" s="129"/>
      <c r="I445" s="129"/>
      <c r="J445" s="129"/>
      <c r="K445" s="129"/>
      <c r="L445" s="129"/>
      <c r="M445" s="129"/>
      <c r="N445" s="129"/>
      <c r="O445" s="129"/>
      <c r="P445" s="129"/>
      <c r="Q445" s="129"/>
      <c r="R445" s="129"/>
      <c r="S445" s="129"/>
      <c r="T445" s="129"/>
      <c r="U445" s="129"/>
      <c r="V445" s="129"/>
      <c r="W445" s="129"/>
      <c r="X445" s="129"/>
      <c r="Y445" s="129"/>
      <c r="Z445" s="129"/>
      <c r="AA445" s="129"/>
      <c r="AB445" s="129"/>
      <c r="AC445" s="129"/>
      <c r="AD445" s="129"/>
      <c r="AE445" s="129"/>
      <c r="AF445" s="129"/>
      <c r="AG445" s="129"/>
      <c r="AH445" s="129"/>
      <c r="AI445" s="129"/>
      <c r="AJ445" s="129"/>
      <c r="AK445" s="129"/>
      <c r="AL445" s="129"/>
      <c r="AM445" s="129"/>
      <c r="AN445" s="129"/>
      <c r="AO445" s="129"/>
      <c r="AP445" s="129"/>
      <c r="AQ445" s="129"/>
    </row>
    <row r="446" spans="1:43" ht="12.75" customHeight="1">
      <c r="A446" s="129"/>
      <c r="B446" s="129"/>
      <c r="C446" s="129"/>
      <c r="D446" s="129"/>
      <c r="E446" s="129"/>
      <c r="F446" s="129"/>
      <c r="G446" s="129"/>
      <c r="H446" s="129"/>
      <c r="I446" s="129"/>
      <c r="J446" s="129"/>
      <c r="K446" s="129"/>
      <c r="L446" s="129"/>
      <c r="M446" s="129"/>
      <c r="N446" s="129"/>
      <c r="O446" s="129"/>
      <c r="P446" s="129"/>
      <c r="Q446" s="129"/>
      <c r="R446" s="129"/>
      <c r="S446" s="129"/>
      <c r="T446" s="129"/>
      <c r="U446" s="129"/>
      <c r="V446" s="129"/>
      <c r="W446" s="129"/>
      <c r="X446" s="129"/>
      <c r="Y446" s="129"/>
      <c r="Z446" s="129"/>
      <c r="AA446" s="129"/>
      <c r="AB446" s="129"/>
      <c r="AC446" s="129"/>
      <c r="AD446" s="129"/>
      <c r="AE446" s="129"/>
      <c r="AF446" s="129"/>
      <c r="AG446" s="129"/>
      <c r="AH446" s="129"/>
      <c r="AI446" s="129"/>
      <c r="AJ446" s="129"/>
      <c r="AK446" s="129"/>
      <c r="AL446" s="129"/>
      <c r="AM446" s="129"/>
      <c r="AN446" s="129"/>
      <c r="AO446" s="129"/>
      <c r="AP446" s="129"/>
      <c r="AQ446" s="129"/>
    </row>
    <row r="447" spans="1:43" ht="12.75" customHeight="1">
      <c r="A447" s="129"/>
      <c r="B447" s="129"/>
      <c r="C447" s="129"/>
      <c r="D447" s="129"/>
      <c r="E447" s="129"/>
      <c r="F447" s="129"/>
      <c r="G447" s="129"/>
      <c r="H447" s="129"/>
      <c r="I447" s="129"/>
      <c r="J447" s="129"/>
      <c r="K447" s="129"/>
      <c r="L447" s="129"/>
      <c r="M447" s="129"/>
      <c r="N447" s="129"/>
      <c r="O447" s="129"/>
      <c r="P447" s="129"/>
      <c r="Q447" s="129"/>
      <c r="R447" s="129"/>
      <c r="S447" s="129"/>
      <c r="T447" s="129"/>
      <c r="U447" s="129"/>
      <c r="V447" s="129"/>
      <c r="W447" s="129"/>
      <c r="X447" s="129"/>
      <c r="Y447" s="129"/>
      <c r="Z447" s="129"/>
      <c r="AA447" s="129"/>
      <c r="AB447" s="129"/>
      <c r="AC447" s="129"/>
      <c r="AD447" s="129"/>
      <c r="AE447" s="129"/>
      <c r="AF447" s="129"/>
      <c r="AG447" s="129"/>
      <c r="AH447" s="129"/>
      <c r="AI447" s="129"/>
      <c r="AJ447" s="129"/>
      <c r="AK447" s="129"/>
      <c r="AL447" s="129"/>
      <c r="AM447" s="129"/>
      <c r="AN447" s="129"/>
      <c r="AO447" s="129"/>
      <c r="AP447" s="129"/>
      <c r="AQ447" s="129"/>
    </row>
    <row r="448" spans="1:43" ht="12.75" customHeight="1">
      <c r="A448" s="129"/>
      <c r="B448" s="129"/>
      <c r="C448" s="129"/>
      <c r="D448" s="129"/>
      <c r="E448" s="129"/>
      <c r="F448" s="129"/>
      <c r="G448" s="129"/>
      <c r="H448" s="129"/>
      <c r="I448" s="129"/>
      <c r="J448" s="129"/>
      <c r="K448" s="129"/>
      <c r="L448" s="129"/>
      <c r="M448" s="129"/>
      <c r="N448" s="129"/>
      <c r="O448" s="129"/>
      <c r="P448" s="129"/>
      <c r="Q448" s="129"/>
      <c r="R448" s="129"/>
      <c r="S448" s="129"/>
      <c r="T448" s="129"/>
      <c r="U448" s="129"/>
      <c r="V448" s="129"/>
      <c r="W448" s="129"/>
      <c r="X448" s="129"/>
      <c r="Y448" s="129"/>
      <c r="Z448" s="129"/>
      <c r="AA448" s="129"/>
      <c r="AB448" s="129"/>
      <c r="AC448" s="129"/>
      <c r="AD448" s="129"/>
      <c r="AE448" s="129"/>
      <c r="AF448" s="129"/>
      <c r="AG448" s="129"/>
      <c r="AH448" s="129"/>
      <c r="AI448" s="129"/>
      <c r="AJ448" s="129"/>
      <c r="AK448" s="129"/>
      <c r="AL448" s="129"/>
      <c r="AM448" s="129"/>
      <c r="AN448" s="129"/>
      <c r="AO448" s="129"/>
      <c r="AP448" s="129"/>
      <c r="AQ448" s="129"/>
    </row>
    <row r="449" spans="1:43" ht="12.75" customHeight="1">
      <c r="A449" s="129"/>
      <c r="B449" s="129"/>
      <c r="C449" s="129"/>
      <c r="D449" s="129"/>
      <c r="E449" s="129"/>
      <c r="F449" s="129"/>
      <c r="G449" s="129"/>
      <c r="H449" s="129"/>
      <c r="I449" s="129"/>
      <c r="J449" s="129"/>
      <c r="K449" s="129"/>
      <c r="L449" s="129"/>
      <c r="M449" s="129"/>
      <c r="N449" s="129"/>
      <c r="O449" s="129"/>
      <c r="P449" s="129"/>
      <c r="Q449" s="129"/>
      <c r="R449" s="129"/>
      <c r="S449" s="129"/>
      <c r="T449" s="129"/>
      <c r="U449" s="129"/>
      <c r="V449" s="129"/>
      <c r="W449" s="129"/>
      <c r="X449" s="129"/>
      <c r="Y449" s="129"/>
      <c r="Z449" s="129"/>
      <c r="AA449" s="129"/>
      <c r="AB449" s="129"/>
      <c r="AC449" s="129"/>
      <c r="AD449" s="129"/>
      <c r="AE449" s="129"/>
      <c r="AF449" s="129"/>
      <c r="AG449" s="129"/>
      <c r="AH449" s="129"/>
      <c r="AI449" s="129"/>
      <c r="AJ449" s="129"/>
      <c r="AK449" s="129"/>
      <c r="AL449" s="129"/>
      <c r="AM449" s="129"/>
      <c r="AN449" s="129"/>
      <c r="AO449" s="129"/>
      <c r="AP449" s="129"/>
      <c r="AQ449" s="129"/>
    </row>
    <row r="450" spans="1:43" ht="12.75" customHeight="1">
      <c r="A450" s="129"/>
      <c r="B450" s="129"/>
      <c r="C450" s="129"/>
      <c r="D450" s="129"/>
      <c r="E450" s="129"/>
      <c r="F450" s="129"/>
      <c r="G450" s="129"/>
      <c r="H450" s="129"/>
      <c r="I450" s="129"/>
      <c r="J450" s="129"/>
      <c r="K450" s="129"/>
      <c r="L450" s="129"/>
      <c r="M450" s="129"/>
      <c r="N450" s="129"/>
      <c r="O450" s="129"/>
      <c r="P450" s="129"/>
      <c r="Q450" s="129"/>
      <c r="R450" s="129"/>
      <c r="S450" s="129"/>
      <c r="T450" s="129"/>
      <c r="U450" s="129"/>
      <c r="V450" s="129"/>
      <c r="W450" s="129"/>
      <c r="X450" s="129"/>
      <c r="Y450" s="129"/>
      <c r="Z450" s="129"/>
      <c r="AA450" s="129"/>
      <c r="AB450" s="129"/>
      <c r="AC450" s="129"/>
      <c r="AD450" s="129"/>
      <c r="AE450" s="129"/>
      <c r="AF450" s="129"/>
      <c r="AG450" s="129"/>
      <c r="AH450" s="129"/>
      <c r="AI450" s="129"/>
      <c r="AJ450" s="129"/>
      <c r="AK450" s="129"/>
      <c r="AL450" s="129"/>
      <c r="AM450" s="129"/>
      <c r="AN450" s="129"/>
      <c r="AO450" s="129"/>
      <c r="AP450" s="129"/>
      <c r="AQ450" s="129"/>
    </row>
    <row r="451" spans="1:43" ht="12.75" customHeight="1">
      <c r="A451" s="129"/>
      <c r="B451" s="129"/>
      <c r="C451" s="129"/>
      <c r="D451" s="129"/>
      <c r="E451" s="129"/>
      <c r="F451" s="129"/>
      <c r="G451" s="129"/>
      <c r="H451" s="129"/>
      <c r="I451" s="129"/>
      <c r="J451" s="129"/>
      <c r="K451" s="129"/>
      <c r="L451" s="129"/>
      <c r="M451" s="129"/>
      <c r="N451" s="129"/>
      <c r="O451" s="129"/>
      <c r="P451" s="129"/>
      <c r="Q451" s="129"/>
      <c r="R451" s="129"/>
      <c r="S451" s="129"/>
      <c r="T451" s="129"/>
      <c r="U451" s="129"/>
      <c r="V451" s="129"/>
      <c r="W451" s="129"/>
      <c r="X451" s="129"/>
      <c r="Y451" s="129"/>
      <c r="Z451" s="129"/>
      <c r="AA451" s="129"/>
      <c r="AB451" s="129"/>
      <c r="AC451" s="129"/>
      <c r="AD451" s="129"/>
      <c r="AE451" s="129"/>
      <c r="AF451" s="129"/>
      <c r="AG451" s="129"/>
      <c r="AH451" s="129"/>
      <c r="AI451" s="129"/>
      <c r="AJ451" s="129"/>
      <c r="AK451" s="129"/>
      <c r="AL451" s="129"/>
      <c r="AM451" s="129"/>
      <c r="AN451" s="129"/>
      <c r="AO451" s="129"/>
      <c r="AP451" s="129"/>
      <c r="AQ451" s="129"/>
    </row>
    <row r="452" spans="1:43" ht="12.75" customHeight="1">
      <c r="A452" s="129"/>
      <c r="B452" s="129"/>
      <c r="C452" s="129"/>
      <c r="D452" s="129"/>
      <c r="E452" s="129"/>
      <c r="F452" s="129"/>
      <c r="G452" s="129"/>
      <c r="H452" s="129"/>
      <c r="I452" s="129"/>
      <c r="J452" s="129"/>
      <c r="K452" s="129"/>
      <c r="L452" s="129"/>
      <c r="M452" s="129"/>
      <c r="N452" s="129"/>
      <c r="O452" s="129"/>
      <c r="P452" s="129"/>
      <c r="Q452" s="129"/>
      <c r="R452" s="129"/>
      <c r="S452" s="129"/>
      <c r="T452" s="129"/>
      <c r="U452" s="129"/>
      <c r="V452" s="129"/>
      <c r="W452" s="129"/>
      <c r="X452" s="129"/>
      <c r="Y452" s="129"/>
      <c r="Z452" s="129"/>
      <c r="AA452" s="129"/>
      <c r="AB452" s="129"/>
      <c r="AC452" s="129"/>
      <c r="AD452" s="129"/>
      <c r="AE452" s="129"/>
      <c r="AF452" s="129"/>
      <c r="AG452" s="129"/>
      <c r="AH452" s="129"/>
      <c r="AI452" s="129"/>
      <c r="AJ452" s="129"/>
      <c r="AK452" s="129"/>
      <c r="AL452" s="129"/>
      <c r="AM452" s="129"/>
      <c r="AN452" s="129"/>
      <c r="AO452" s="129"/>
      <c r="AP452" s="129"/>
      <c r="AQ452" s="129"/>
    </row>
    <row r="453" spans="1:43" ht="12.75" customHeight="1">
      <c r="A453" s="129"/>
      <c r="B453" s="129"/>
      <c r="C453" s="129"/>
      <c r="D453" s="129"/>
      <c r="E453" s="129"/>
      <c r="F453" s="129"/>
      <c r="G453" s="129"/>
      <c r="H453" s="129"/>
      <c r="I453" s="129"/>
      <c r="J453" s="129"/>
      <c r="K453" s="129"/>
      <c r="L453" s="129"/>
      <c r="M453" s="129"/>
      <c r="N453" s="129"/>
      <c r="O453" s="129"/>
      <c r="P453" s="129"/>
      <c r="Q453" s="129"/>
      <c r="R453" s="129"/>
      <c r="S453" s="129"/>
      <c r="T453" s="129"/>
      <c r="U453" s="129"/>
      <c r="V453" s="129"/>
      <c r="W453" s="129"/>
      <c r="X453" s="129"/>
      <c r="Y453" s="129"/>
      <c r="Z453" s="129"/>
      <c r="AA453" s="129"/>
      <c r="AB453" s="129"/>
      <c r="AC453" s="129"/>
      <c r="AD453" s="129"/>
      <c r="AE453" s="129"/>
      <c r="AF453" s="129"/>
      <c r="AG453" s="129"/>
      <c r="AH453" s="129"/>
      <c r="AI453" s="129"/>
      <c r="AJ453" s="129"/>
      <c r="AK453" s="129"/>
      <c r="AL453" s="129"/>
      <c r="AM453" s="129"/>
      <c r="AN453" s="129"/>
      <c r="AO453" s="129"/>
      <c r="AP453" s="129"/>
      <c r="AQ453" s="129"/>
    </row>
    <row r="454" spans="1:43" ht="12.75" customHeight="1">
      <c r="A454" s="129"/>
      <c r="B454" s="129"/>
      <c r="C454" s="129"/>
      <c r="D454" s="129"/>
      <c r="E454" s="129"/>
      <c r="F454" s="129"/>
      <c r="G454" s="129"/>
      <c r="H454" s="129"/>
      <c r="I454" s="129"/>
      <c r="J454" s="129"/>
      <c r="K454" s="129"/>
      <c r="L454" s="129"/>
      <c r="M454" s="129"/>
      <c r="N454" s="129"/>
      <c r="O454" s="129"/>
      <c r="P454" s="129"/>
      <c r="Q454" s="129"/>
      <c r="R454" s="129"/>
      <c r="S454" s="129"/>
      <c r="T454" s="129"/>
      <c r="U454" s="129"/>
      <c r="V454" s="129"/>
      <c r="W454" s="129"/>
      <c r="X454" s="129"/>
      <c r="Y454" s="129"/>
      <c r="Z454" s="129"/>
      <c r="AA454" s="129"/>
      <c r="AB454" s="129"/>
      <c r="AC454" s="129"/>
      <c r="AD454" s="129"/>
      <c r="AE454" s="129"/>
      <c r="AF454" s="129"/>
      <c r="AG454" s="129"/>
      <c r="AH454" s="129"/>
      <c r="AI454" s="129"/>
      <c r="AJ454" s="129"/>
      <c r="AK454" s="129"/>
      <c r="AL454" s="129"/>
      <c r="AM454" s="129"/>
      <c r="AN454" s="129"/>
      <c r="AO454" s="129"/>
      <c r="AP454" s="129"/>
      <c r="AQ454" s="129"/>
    </row>
    <row r="455" spans="1:43" ht="12.75" customHeight="1">
      <c r="A455" s="129"/>
      <c r="B455" s="129"/>
      <c r="C455" s="129"/>
      <c r="D455" s="129"/>
      <c r="E455" s="129"/>
      <c r="F455" s="129"/>
      <c r="G455" s="129"/>
      <c r="H455" s="129"/>
      <c r="I455" s="129"/>
      <c r="J455" s="129"/>
      <c r="K455" s="129"/>
      <c r="L455" s="129"/>
      <c r="M455" s="129"/>
      <c r="N455" s="129"/>
      <c r="O455" s="129"/>
      <c r="P455" s="129"/>
      <c r="Q455" s="129"/>
      <c r="R455" s="129"/>
      <c r="S455" s="129"/>
      <c r="T455" s="129"/>
      <c r="U455" s="129"/>
      <c r="V455" s="129"/>
      <c r="W455" s="129"/>
      <c r="X455" s="129"/>
      <c r="Y455" s="129"/>
      <c r="Z455" s="129"/>
      <c r="AA455" s="129"/>
      <c r="AB455" s="129"/>
      <c r="AC455" s="129"/>
      <c r="AD455" s="129"/>
      <c r="AE455" s="129"/>
      <c r="AF455" s="129"/>
      <c r="AG455" s="129"/>
      <c r="AH455" s="129"/>
      <c r="AI455" s="129"/>
      <c r="AJ455" s="129"/>
      <c r="AK455" s="129"/>
      <c r="AL455" s="129"/>
      <c r="AM455" s="129"/>
      <c r="AN455" s="129"/>
      <c r="AO455" s="129"/>
      <c r="AP455" s="129"/>
      <c r="AQ455" s="129"/>
    </row>
    <row r="456" spans="1:43" ht="12.75" customHeight="1">
      <c r="A456" s="129"/>
      <c r="B456" s="129"/>
      <c r="C456" s="129"/>
      <c r="D456" s="129"/>
      <c r="E456" s="129"/>
      <c r="F456" s="129"/>
      <c r="G456" s="129"/>
      <c r="H456" s="129"/>
      <c r="I456" s="129"/>
      <c r="J456" s="129"/>
      <c r="K456" s="129"/>
      <c r="L456" s="129"/>
      <c r="M456" s="129"/>
      <c r="N456" s="129"/>
      <c r="O456" s="129"/>
      <c r="P456" s="129"/>
      <c r="Q456" s="129"/>
      <c r="R456" s="129"/>
      <c r="S456" s="129"/>
      <c r="T456" s="129"/>
      <c r="U456" s="129"/>
      <c r="V456" s="129"/>
      <c r="W456" s="129"/>
      <c r="X456" s="129"/>
      <c r="Y456" s="129"/>
      <c r="Z456" s="129"/>
      <c r="AA456" s="129"/>
      <c r="AB456" s="129"/>
      <c r="AC456" s="129"/>
      <c r="AD456" s="129"/>
      <c r="AE456" s="129"/>
      <c r="AF456" s="129"/>
      <c r="AG456" s="129"/>
      <c r="AH456" s="129"/>
      <c r="AI456" s="129"/>
      <c r="AJ456" s="129"/>
      <c r="AK456" s="129"/>
      <c r="AL456" s="129"/>
      <c r="AM456" s="129"/>
      <c r="AN456" s="129"/>
      <c r="AO456" s="129"/>
      <c r="AP456" s="129"/>
      <c r="AQ456" s="129"/>
    </row>
    <row r="457" spans="1:43" ht="12.75" customHeight="1">
      <c r="A457" s="129"/>
      <c r="B457" s="129"/>
      <c r="C457" s="129"/>
      <c r="D457" s="129"/>
      <c r="E457" s="129"/>
      <c r="F457" s="129"/>
      <c r="G457" s="129"/>
      <c r="H457" s="129"/>
      <c r="I457" s="129"/>
      <c r="J457" s="129"/>
      <c r="K457" s="129"/>
      <c r="L457" s="129"/>
      <c r="M457" s="129"/>
      <c r="N457" s="129"/>
      <c r="O457" s="129"/>
      <c r="P457" s="129"/>
      <c r="Q457" s="129"/>
      <c r="R457" s="129"/>
      <c r="S457" s="129"/>
      <c r="T457" s="129"/>
      <c r="U457" s="129"/>
      <c r="V457" s="129"/>
      <c r="W457" s="129"/>
      <c r="X457" s="129"/>
      <c r="Y457" s="129"/>
      <c r="Z457" s="129"/>
      <c r="AA457" s="129"/>
      <c r="AB457" s="129"/>
      <c r="AC457" s="129"/>
      <c r="AD457" s="129"/>
      <c r="AE457" s="129"/>
      <c r="AF457" s="129"/>
      <c r="AG457" s="129"/>
      <c r="AH457" s="129"/>
      <c r="AI457" s="129"/>
      <c r="AJ457" s="129"/>
      <c r="AK457" s="129"/>
      <c r="AL457" s="129"/>
      <c r="AM457" s="129"/>
      <c r="AN457" s="129"/>
      <c r="AO457" s="129"/>
      <c r="AP457" s="129"/>
      <c r="AQ457" s="129"/>
    </row>
    <row r="458" spans="1:43" ht="12.75" customHeight="1">
      <c r="A458" s="129"/>
      <c r="B458" s="129"/>
      <c r="C458" s="129"/>
      <c r="D458" s="129"/>
      <c r="E458" s="129"/>
      <c r="F458" s="129"/>
      <c r="G458" s="129"/>
      <c r="H458" s="129"/>
      <c r="I458" s="129"/>
      <c r="J458" s="129"/>
      <c r="K458" s="129"/>
      <c r="L458" s="129"/>
      <c r="M458" s="129"/>
      <c r="N458" s="129"/>
      <c r="O458" s="129"/>
      <c r="P458" s="129"/>
      <c r="Q458" s="129"/>
      <c r="R458" s="129"/>
      <c r="S458" s="129"/>
      <c r="T458" s="129"/>
      <c r="U458" s="129"/>
      <c r="V458" s="129"/>
      <c r="W458" s="129"/>
      <c r="X458" s="129"/>
      <c r="Y458" s="129"/>
      <c r="Z458" s="129"/>
      <c r="AA458" s="129"/>
      <c r="AB458" s="129"/>
      <c r="AC458" s="129"/>
      <c r="AD458" s="129"/>
      <c r="AE458" s="129"/>
      <c r="AF458" s="129"/>
      <c r="AG458" s="129"/>
      <c r="AH458" s="129"/>
      <c r="AI458" s="129"/>
      <c r="AJ458" s="129"/>
      <c r="AK458" s="129"/>
      <c r="AL458" s="129"/>
      <c r="AM458" s="129"/>
      <c r="AN458" s="129"/>
      <c r="AO458" s="129"/>
      <c r="AP458" s="129"/>
      <c r="AQ458" s="129"/>
    </row>
    <row r="459" spans="1:43" ht="12.75" customHeight="1">
      <c r="A459" s="129"/>
      <c r="B459" s="129"/>
      <c r="C459" s="129"/>
      <c r="D459" s="129"/>
      <c r="E459" s="129"/>
      <c r="F459" s="129"/>
      <c r="G459" s="129"/>
      <c r="H459" s="129"/>
      <c r="I459" s="129"/>
      <c r="J459" s="129"/>
      <c r="K459" s="129"/>
      <c r="L459" s="129"/>
      <c r="M459" s="129"/>
      <c r="N459" s="129"/>
      <c r="O459" s="129"/>
      <c r="P459" s="129"/>
      <c r="Q459" s="129"/>
      <c r="R459" s="129"/>
      <c r="S459" s="129"/>
      <c r="T459" s="129"/>
      <c r="U459" s="129"/>
      <c r="V459" s="129"/>
      <c r="W459" s="129"/>
      <c r="X459" s="129"/>
      <c r="Y459" s="129"/>
      <c r="Z459" s="129"/>
      <c r="AA459" s="129"/>
      <c r="AB459" s="129"/>
      <c r="AC459" s="129"/>
      <c r="AD459" s="129"/>
      <c r="AE459" s="129"/>
      <c r="AF459" s="129"/>
      <c r="AG459" s="129"/>
      <c r="AH459" s="129"/>
      <c r="AI459" s="129"/>
      <c r="AJ459" s="129"/>
      <c r="AK459" s="129"/>
      <c r="AL459" s="129"/>
      <c r="AM459" s="129"/>
      <c r="AN459" s="129"/>
      <c r="AO459" s="129"/>
      <c r="AP459" s="129"/>
      <c r="AQ459" s="129"/>
    </row>
    <row r="460" spans="1:43" ht="12.75" customHeight="1">
      <c r="A460" s="129"/>
      <c r="B460" s="129"/>
      <c r="C460" s="129"/>
      <c r="D460" s="129"/>
      <c r="E460" s="129"/>
      <c r="F460" s="129"/>
      <c r="G460" s="129"/>
      <c r="H460" s="129"/>
      <c r="I460" s="129"/>
      <c r="J460" s="129"/>
      <c r="K460" s="129"/>
      <c r="L460" s="129"/>
      <c r="M460" s="129"/>
      <c r="N460" s="129"/>
      <c r="O460" s="129"/>
      <c r="P460" s="129"/>
      <c r="Q460" s="129"/>
      <c r="R460" s="129"/>
      <c r="S460" s="129"/>
      <c r="T460" s="129"/>
      <c r="U460" s="129"/>
      <c r="V460" s="129"/>
      <c r="W460" s="129"/>
      <c r="X460" s="129"/>
      <c r="Y460" s="129"/>
      <c r="Z460" s="129"/>
      <c r="AA460" s="129"/>
      <c r="AB460" s="129"/>
      <c r="AC460" s="129"/>
      <c r="AD460" s="129"/>
      <c r="AE460" s="129"/>
      <c r="AF460" s="129"/>
      <c r="AG460" s="129"/>
      <c r="AH460" s="129"/>
      <c r="AI460" s="129"/>
      <c r="AJ460" s="129"/>
      <c r="AK460" s="129"/>
      <c r="AL460" s="129"/>
      <c r="AM460" s="129"/>
      <c r="AN460" s="129"/>
      <c r="AO460" s="129"/>
      <c r="AP460" s="129"/>
      <c r="AQ460" s="129"/>
    </row>
    <row r="461" spans="1:43" ht="12.75" customHeight="1">
      <c r="A461" s="129"/>
      <c r="B461" s="129"/>
      <c r="C461" s="129"/>
      <c r="D461" s="129"/>
      <c r="E461" s="129"/>
      <c r="F461" s="129"/>
      <c r="G461" s="129"/>
      <c r="H461" s="129"/>
      <c r="I461" s="129"/>
      <c r="J461" s="129"/>
      <c r="K461" s="129"/>
      <c r="L461" s="129"/>
      <c r="M461" s="129"/>
      <c r="N461" s="129"/>
      <c r="O461" s="129"/>
      <c r="P461" s="129"/>
      <c r="Q461" s="129"/>
      <c r="R461" s="129"/>
      <c r="S461" s="129"/>
      <c r="T461" s="129"/>
      <c r="U461" s="129"/>
      <c r="V461" s="129"/>
      <c r="W461" s="129"/>
      <c r="X461" s="129"/>
      <c r="Y461" s="129"/>
      <c r="Z461" s="129"/>
      <c r="AA461" s="129"/>
      <c r="AB461" s="129"/>
      <c r="AC461" s="129"/>
      <c r="AD461" s="129"/>
      <c r="AE461" s="129"/>
      <c r="AF461" s="129"/>
      <c r="AG461" s="129"/>
      <c r="AH461" s="129"/>
      <c r="AI461" s="129"/>
      <c r="AJ461" s="129"/>
      <c r="AK461" s="129"/>
      <c r="AL461" s="129"/>
      <c r="AM461" s="129"/>
      <c r="AN461" s="129"/>
      <c r="AO461" s="129"/>
      <c r="AP461" s="129"/>
      <c r="AQ461" s="129"/>
    </row>
    <row r="462" spans="1:43" ht="12.75" customHeight="1">
      <c r="A462" s="129"/>
      <c r="B462" s="129"/>
      <c r="C462" s="129"/>
      <c r="D462" s="129"/>
      <c r="E462" s="129"/>
      <c r="F462" s="129"/>
      <c r="G462" s="129"/>
      <c r="H462" s="129"/>
      <c r="I462" s="129"/>
      <c r="J462" s="129"/>
      <c r="K462" s="129"/>
      <c r="L462" s="129"/>
      <c r="M462" s="129"/>
      <c r="N462" s="129"/>
      <c r="O462" s="129"/>
      <c r="P462" s="129"/>
      <c r="Q462" s="129"/>
      <c r="R462" s="129"/>
      <c r="S462" s="129"/>
      <c r="T462" s="129"/>
      <c r="U462" s="129"/>
      <c r="V462" s="129"/>
      <c r="W462" s="129"/>
      <c r="X462" s="129"/>
      <c r="Y462" s="129"/>
      <c r="Z462" s="129"/>
      <c r="AA462" s="129"/>
      <c r="AB462" s="129"/>
      <c r="AC462" s="129"/>
      <c r="AD462" s="129"/>
      <c r="AE462" s="129"/>
      <c r="AF462" s="129"/>
      <c r="AG462" s="129"/>
      <c r="AH462" s="129"/>
      <c r="AI462" s="129"/>
      <c r="AJ462" s="129"/>
      <c r="AK462" s="129"/>
      <c r="AL462" s="129"/>
      <c r="AM462" s="129"/>
      <c r="AN462" s="129"/>
      <c r="AO462" s="129"/>
      <c r="AP462" s="129"/>
      <c r="AQ462" s="129"/>
    </row>
    <row r="463" spans="1:43" ht="12.75" customHeight="1">
      <c r="A463" s="129"/>
      <c r="B463" s="129"/>
      <c r="C463" s="129"/>
      <c r="D463" s="129"/>
      <c r="E463" s="129"/>
      <c r="F463" s="129"/>
      <c r="G463" s="129"/>
      <c r="H463" s="129"/>
      <c r="I463" s="129"/>
      <c r="J463" s="129"/>
      <c r="K463" s="129"/>
      <c r="L463" s="129"/>
      <c r="M463" s="129"/>
      <c r="N463" s="129"/>
      <c r="O463" s="129"/>
      <c r="P463" s="129"/>
      <c r="Q463" s="129"/>
      <c r="R463" s="129"/>
      <c r="S463" s="129"/>
      <c r="T463" s="129"/>
      <c r="U463" s="129"/>
      <c r="V463" s="129"/>
      <c r="W463" s="129"/>
      <c r="X463" s="129"/>
      <c r="Y463" s="129"/>
      <c r="Z463" s="129"/>
      <c r="AA463" s="129"/>
      <c r="AB463" s="129"/>
      <c r="AC463" s="129"/>
      <c r="AD463" s="129"/>
      <c r="AE463" s="129"/>
      <c r="AF463" s="129"/>
      <c r="AG463" s="129"/>
      <c r="AH463" s="129"/>
      <c r="AI463" s="129"/>
      <c r="AJ463" s="129"/>
      <c r="AK463" s="129"/>
      <c r="AL463" s="129"/>
      <c r="AM463" s="129"/>
      <c r="AN463" s="129"/>
      <c r="AO463" s="129"/>
      <c r="AP463" s="129"/>
      <c r="AQ463" s="129"/>
    </row>
    <row r="464" spans="1:43" ht="12.75" customHeight="1">
      <c r="A464" s="129"/>
      <c r="B464" s="129"/>
      <c r="C464" s="129"/>
      <c r="D464" s="129"/>
      <c r="E464" s="129"/>
      <c r="F464" s="129"/>
      <c r="G464" s="129"/>
      <c r="H464" s="129"/>
      <c r="I464" s="129"/>
      <c r="J464" s="129"/>
      <c r="K464" s="129"/>
      <c r="L464" s="129"/>
      <c r="M464" s="129"/>
      <c r="N464" s="129"/>
      <c r="O464" s="129"/>
      <c r="P464" s="129"/>
      <c r="Q464" s="129"/>
      <c r="R464" s="129"/>
      <c r="S464" s="129"/>
      <c r="T464" s="129"/>
      <c r="U464" s="129"/>
      <c r="V464" s="129"/>
      <c r="W464" s="129"/>
      <c r="X464" s="129"/>
      <c r="Y464" s="129"/>
      <c r="Z464" s="129"/>
      <c r="AA464" s="129"/>
      <c r="AB464" s="129"/>
      <c r="AC464" s="129"/>
      <c r="AD464" s="129"/>
      <c r="AE464" s="129"/>
      <c r="AF464" s="129"/>
      <c r="AG464" s="129"/>
      <c r="AH464" s="129"/>
      <c r="AI464" s="129"/>
      <c r="AJ464" s="129"/>
      <c r="AK464" s="129"/>
      <c r="AL464" s="129"/>
      <c r="AM464" s="129"/>
      <c r="AN464" s="129"/>
      <c r="AO464" s="129"/>
      <c r="AP464" s="129"/>
      <c r="AQ464" s="129"/>
    </row>
    <row r="465" spans="1:43" ht="12.75" customHeight="1">
      <c r="A465" s="129"/>
      <c r="B465" s="129"/>
      <c r="C465" s="129"/>
      <c r="D465" s="129"/>
      <c r="E465" s="129"/>
      <c r="F465" s="129"/>
      <c r="G465" s="129"/>
      <c r="H465" s="129"/>
      <c r="I465" s="129"/>
      <c r="J465" s="129"/>
      <c r="K465" s="129"/>
      <c r="L465" s="129"/>
      <c r="M465" s="129"/>
      <c r="N465" s="129"/>
      <c r="O465" s="129"/>
      <c r="P465" s="129"/>
      <c r="Q465" s="129"/>
      <c r="R465" s="129"/>
      <c r="S465" s="129"/>
      <c r="T465" s="129"/>
      <c r="U465" s="129"/>
      <c r="V465" s="129"/>
      <c r="W465" s="129"/>
      <c r="X465" s="129"/>
      <c r="Y465" s="129"/>
      <c r="Z465" s="129"/>
      <c r="AA465" s="129"/>
      <c r="AB465" s="129"/>
      <c r="AC465" s="129"/>
      <c r="AD465" s="129"/>
      <c r="AE465" s="129"/>
      <c r="AF465" s="129"/>
      <c r="AG465" s="129"/>
      <c r="AH465" s="129"/>
      <c r="AI465" s="129"/>
      <c r="AJ465" s="129"/>
      <c r="AK465" s="129"/>
      <c r="AL465" s="129"/>
      <c r="AM465" s="129"/>
      <c r="AN465" s="129"/>
      <c r="AO465" s="129"/>
      <c r="AP465" s="129"/>
      <c r="AQ465" s="129"/>
    </row>
    <row r="466" spans="1:43" ht="12.75" customHeight="1">
      <c r="A466" s="129"/>
      <c r="B466" s="129"/>
      <c r="C466" s="129"/>
      <c r="D466" s="129"/>
      <c r="E466" s="129"/>
      <c r="F466" s="129"/>
      <c r="G466" s="129"/>
      <c r="H466" s="129"/>
      <c r="I466" s="129"/>
      <c r="J466" s="129"/>
      <c r="K466" s="129"/>
      <c r="L466" s="129"/>
      <c r="M466" s="129"/>
      <c r="N466" s="129"/>
      <c r="O466" s="129"/>
      <c r="P466" s="129"/>
      <c r="Q466" s="129"/>
      <c r="R466" s="129"/>
      <c r="S466" s="129"/>
      <c r="T466" s="129"/>
      <c r="U466" s="129"/>
      <c r="V466" s="129"/>
      <c r="W466" s="129"/>
      <c r="X466" s="129"/>
      <c r="Y466" s="129"/>
      <c r="Z466" s="129"/>
      <c r="AA466" s="129"/>
      <c r="AB466" s="129"/>
      <c r="AC466" s="129"/>
      <c r="AD466" s="129"/>
      <c r="AE466" s="129"/>
      <c r="AF466" s="129"/>
      <c r="AG466" s="129"/>
      <c r="AH466" s="129"/>
      <c r="AI466" s="129"/>
      <c r="AJ466" s="129"/>
      <c r="AK466" s="129"/>
      <c r="AL466" s="129"/>
      <c r="AM466" s="129"/>
      <c r="AN466" s="129"/>
      <c r="AO466" s="129"/>
      <c r="AP466" s="129"/>
      <c r="AQ466" s="129"/>
    </row>
    <row r="467" spans="1:43" ht="12.75" customHeight="1">
      <c r="A467" s="129"/>
      <c r="B467" s="129"/>
      <c r="C467" s="129"/>
      <c r="D467" s="129"/>
      <c r="E467" s="129"/>
      <c r="F467" s="129"/>
      <c r="G467" s="129"/>
      <c r="H467" s="129"/>
      <c r="I467" s="129"/>
      <c r="J467" s="129"/>
      <c r="K467" s="129"/>
      <c r="L467" s="129"/>
      <c r="M467" s="129"/>
      <c r="N467" s="129"/>
      <c r="O467" s="129"/>
      <c r="P467" s="129"/>
      <c r="Q467" s="129"/>
      <c r="R467" s="129"/>
      <c r="S467" s="129"/>
      <c r="T467" s="129"/>
      <c r="U467" s="129"/>
      <c r="V467" s="129"/>
      <c r="W467" s="129"/>
      <c r="X467" s="129"/>
      <c r="Y467" s="129"/>
      <c r="Z467" s="129"/>
      <c r="AA467" s="129"/>
      <c r="AB467" s="129"/>
      <c r="AC467" s="129"/>
      <c r="AD467" s="129"/>
      <c r="AE467" s="129"/>
      <c r="AF467" s="129"/>
      <c r="AG467" s="129"/>
      <c r="AH467" s="129"/>
      <c r="AI467" s="129"/>
      <c r="AJ467" s="129"/>
      <c r="AK467" s="129"/>
      <c r="AL467" s="129"/>
      <c r="AM467" s="129"/>
      <c r="AN467" s="129"/>
      <c r="AO467" s="129"/>
      <c r="AP467" s="129"/>
      <c r="AQ467" s="129"/>
    </row>
    <row r="468" spans="1:43" ht="12.75" customHeight="1">
      <c r="A468" s="129"/>
      <c r="B468" s="129"/>
      <c r="C468" s="129"/>
      <c r="D468" s="129"/>
      <c r="E468" s="129"/>
      <c r="F468" s="129"/>
      <c r="G468" s="129"/>
      <c r="H468" s="129"/>
      <c r="I468" s="129"/>
      <c r="J468" s="129"/>
      <c r="K468" s="129"/>
      <c r="L468" s="129"/>
      <c r="M468" s="129"/>
      <c r="N468" s="129"/>
      <c r="O468" s="129"/>
      <c r="P468" s="129"/>
      <c r="Q468" s="129"/>
      <c r="R468" s="129"/>
      <c r="S468" s="129"/>
      <c r="T468" s="129"/>
      <c r="U468" s="129"/>
      <c r="V468" s="129"/>
      <c r="W468" s="129"/>
      <c r="X468" s="129"/>
      <c r="Y468" s="129"/>
      <c r="Z468" s="129"/>
      <c r="AA468" s="129"/>
      <c r="AB468" s="129"/>
      <c r="AC468" s="129"/>
      <c r="AD468" s="129"/>
      <c r="AE468" s="129"/>
      <c r="AF468" s="129"/>
      <c r="AG468" s="129"/>
      <c r="AH468" s="129"/>
      <c r="AI468" s="129"/>
      <c r="AJ468" s="129"/>
      <c r="AK468" s="129"/>
      <c r="AL468" s="129"/>
      <c r="AM468" s="129"/>
      <c r="AN468" s="129"/>
      <c r="AO468" s="129"/>
      <c r="AP468" s="129"/>
      <c r="AQ468" s="129"/>
    </row>
    <row r="469" spans="1:43" ht="12.75" customHeight="1">
      <c r="A469" s="129"/>
      <c r="B469" s="129"/>
      <c r="C469" s="129"/>
      <c r="D469" s="129"/>
      <c r="E469" s="129"/>
      <c r="F469" s="129"/>
      <c r="G469" s="129"/>
      <c r="H469" s="129"/>
      <c r="I469" s="129"/>
      <c r="J469" s="129"/>
      <c r="K469" s="129"/>
      <c r="L469" s="129"/>
      <c r="M469" s="129"/>
      <c r="N469" s="129"/>
      <c r="O469" s="129"/>
      <c r="P469" s="129"/>
      <c r="Q469" s="129"/>
      <c r="R469" s="129"/>
      <c r="S469" s="129"/>
      <c r="T469" s="129"/>
      <c r="U469" s="129"/>
      <c r="V469" s="129"/>
      <c r="W469" s="129"/>
      <c r="X469" s="129"/>
      <c r="Y469" s="129"/>
      <c r="Z469" s="129"/>
      <c r="AA469" s="129"/>
      <c r="AB469" s="129"/>
      <c r="AC469" s="129"/>
      <c r="AD469" s="129"/>
      <c r="AE469" s="129"/>
      <c r="AF469" s="129"/>
      <c r="AG469" s="129"/>
      <c r="AH469" s="129"/>
      <c r="AI469" s="129"/>
      <c r="AJ469" s="129"/>
      <c r="AK469" s="129"/>
      <c r="AL469" s="129"/>
      <c r="AM469" s="129"/>
      <c r="AN469" s="129"/>
      <c r="AO469" s="129"/>
      <c r="AP469" s="129"/>
      <c r="AQ469" s="129"/>
    </row>
    <row r="470" spans="1:43" ht="12.75" customHeight="1">
      <c r="A470" s="129"/>
      <c r="B470" s="129"/>
      <c r="C470" s="129"/>
      <c r="D470" s="129"/>
      <c r="E470" s="129"/>
      <c r="F470" s="129"/>
      <c r="G470" s="129"/>
      <c r="H470" s="129"/>
      <c r="I470" s="129"/>
      <c r="J470" s="129"/>
      <c r="K470" s="129"/>
      <c r="L470" s="129"/>
      <c r="M470" s="129"/>
      <c r="N470" s="129"/>
      <c r="O470" s="129"/>
      <c r="P470" s="129"/>
      <c r="Q470" s="129"/>
      <c r="R470" s="129"/>
      <c r="S470" s="129"/>
      <c r="T470" s="129"/>
      <c r="U470" s="129"/>
      <c r="V470" s="129"/>
      <c r="W470" s="129"/>
      <c r="X470" s="129"/>
      <c r="Y470" s="129"/>
      <c r="Z470" s="129"/>
      <c r="AA470" s="129"/>
      <c r="AB470" s="129"/>
      <c r="AC470" s="129"/>
      <c r="AD470" s="129"/>
      <c r="AE470" s="129"/>
      <c r="AF470" s="129"/>
      <c r="AG470" s="129"/>
      <c r="AH470" s="129"/>
      <c r="AI470" s="129"/>
      <c r="AJ470" s="129"/>
      <c r="AK470" s="129"/>
      <c r="AL470" s="129"/>
      <c r="AM470" s="129"/>
      <c r="AN470" s="129"/>
      <c r="AO470" s="129"/>
      <c r="AP470" s="129"/>
      <c r="AQ470" s="129"/>
    </row>
    <row r="471" spans="1:43" ht="12.75" customHeight="1">
      <c r="A471" s="129"/>
      <c r="B471" s="129"/>
      <c r="C471" s="129"/>
      <c r="D471" s="129"/>
      <c r="E471" s="129"/>
      <c r="F471" s="129"/>
      <c r="G471" s="129"/>
      <c r="H471" s="129"/>
      <c r="I471" s="129"/>
      <c r="J471" s="129"/>
      <c r="K471" s="129"/>
      <c r="L471" s="129"/>
      <c r="M471" s="129"/>
      <c r="N471" s="129"/>
      <c r="O471" s="129"/>
      <c r="P471" s="129"/>
      <c r="Q471" s="129"/>
      <c r="R471" s="129"/>
      <c r="S471" s="129"/>
      <c r="T471" s="129"/>
      <c r="U471" s="129"/>
      <c r="V471" s="129"/>
      <c r="W471" s="129"/>
      <c r="X471" s="129"/>
      <c r="Y471" s="129"/>
      <c r="Z471" s="129"/>
      <c r="AA471" s="129"/>
      <c r="AB471" s="129"/>
      <c r="AC471" s="129"/>
      <c r="AD471" s="129"/>
      <c r="AE471" s="129"/>
      <c r="AF471" s="129"/>
      <c r="AG471" s="129"/>
      <c r="AH471" s="129"/>
      <c r="AI471" s="129"/>
      <c r="AJ471" s="129"/>
      <c r="AK471" s="129"/>
      <c r="AL471" s="129"/>
      <c r="AM471" s="129"/>
      <c r="AN471" s="129"/>
      <c r="AO471" s="129"/>
      <c r="AP471" s="129"/>
      <c r="AQ471" s="129"/>
    </row>
    <row r="472" spans="1:43" ht="12.75" customHeight="1">
      <c r="A472" s="129"/>
      <c r="B472" s="129"/>
      <c r="C472" s="129"/>
      <c r="D472" s="129"/>
      <c r="E472" s="129"/>
      <c r="F472" s="129"/>
      <c r="G472" s="129"/>
      <c r="H472" s="129"/>
      <c r="I472" s="129"/>
      <c r="J472" s="129"/>
      <c r="K472" s="129"/>
      <c r="L472" s="129"/>
      <c r="M472" s="129"/>
      <c r="N472" s="129"/>
      <c r="O472" s="129"/>
      <c r="P472" s="129"/>
      <c r="Q472" s="129"/>
      <c r="R472" s="129"/>
      <c r="S472" s="129"/>
      <c r="T472" s="129"/>
      <c r="U472" s="129"/>
      <c r="V472" s="129"/>
      <c r="W472" s="129"/>
      <c r="X472" s="129"/>
      <c r="Y472" s="129"/>
      <c r="Z472" s="129"/>
      <c r="AA472" s="129"/>
      <c r="AB472" s="129"/>
      <c r="AC472" s="129"/>
      <c r="AD472" s="129"/>
      <c r="AE472" s="129"/>
      <c r="AF472" s="129"/>
      <c r="AG472" s="129"/>
      <c r="AH472" s="129"/>
      <c r="AI472" s="129"/>
      <c r="AJ472" s="129"/>
      <c r="AK472" s="129"/>
      <c r="AL472" s="129"/>
      <c r="AM472" s="129"/>
      <c r="AN472" s="129"/>
      <c r="AO472" s="129"/>
      <c r="AP472" s="129"/>
      <c r="AQ472" s="129"/>
    </row>
    <row r="473" spans="1:43" ht="12.75" customHeight="1">
      <c r="A473" s="129"/>
      <c r="B473" s="129"/>
      <c r="C473" s="129"/>
      <c r="D473" s="129"/>
      <c r="E473" s="129"/>
      <c r="F473" s="129"/>
      <c r="G473" s="129"/>
      <c r="H473" s="129"/>
      <c r="I473" s="129"/>
      <c r="J473" s="129"/>
      <c r="K473" s="129"/>
      <c r="L473" s="129"/>
      <c r="M473" s="129"/>
      <c r="N473" s="129"/>
      <c r="O473" s="129"/>
      <c r="P473" s="129"/>
      <c r="Q473" s="129"/>
      <c r="R473" s="129"/>
      <c r="S473" s="129"/>
      <c r="T473" s="129"/>
      <c r="U473" s="129"/>
      <c r="V473" s="129"/>
      <c r="W473" s="129"/>
      <c r="X473" s="129"/>
      <c r="Y473" s="129"/>
      <c r="Z473" s="129"/>
      <c r="AA473" s="129"/>
      <c r="AB473" s="129"/>
      <c r="AC473" s="129"/>
      <c r="AD473" s="129"/>
      <c r="AE473" s="129"/>
      <c r="AF473" s="129"/>
      <c r="AG473" s="129"/>
      <c r="AH473" s="129"/>
      <c r="AI473" s="129"/>
      <c r="AJ473" s="129"/>
      <c r="AK473" s="129"/>
      <c r="AL473" s="129"/>
      <c r="AM473" s="129"/>
      <c r="AN473" s="129"/>
      <c r="AO473" s="129"/>
      <c r="AP473" s="129"/>
      <c r="AQ473" s="129"/>
    </row>
    <row r="474" spans="1:43" ht="12.75" customHeight="1">
      <c r="A474" s="129"/>
      <c r="B474" s="129"/>
      <c r="C474" s="129"/>
      <c r="D474" s="129"/>
      <c r="E474" s="129"/>
      <c r="F474" s="129"/>
      <c r="G474" s="129"/>
      <c r="H474" s="129"/>
      <c r="I474" s="129"/>
      <c r="J474" s="129"/>
      <c r="K474" s="129"/>
      <c r="L474" s="129"/>
      <c r="M474" s="129"/>
      <c r="N474" s="129"/>
      <c r="O474" s="129"/>
      <c r="P474" s="129"/>
      <c r="Q474" s="129"/>
      <c r="R474" s="129"/>
      <c r="S474" s="129"/>
      <c r="T474" s="129"/>
      <c r="U474" s="129"/>
      <c r="V474" s="129"/>
      <c r="W474" s="129"/>
      <c r="X474" s="129"/>
      <c r="Y474" s="129"/>
      <c r="Z474" s="129"/>
      <c r="AA474" s="129"/>
      <c r="AB474" s="129"/>
      <c r="AC474" s="129"/>
      <c r="AD474" s="129"/>
      <c r="AE474" s="129"/>
      <c r="AF474" s="129"/>
      <c r="AG474" s="129"/>
      <c r="AH474" s="129"/>
      <c r="AI474" s="129"/>
      <c r="AJ474" s="129"/>
      <c r="AK474" s="129"/>
      <c r="AL474" s="129"/>
      <c r="AM474" s="129"/>
      <c r="AN474" s="129"/>
      <c r="AO474" s="129"/>
      <c r="AP474" s="129"/>
      <c r="AQ474" s="129"/>
    </row>
    <row r="475" spans="1:43" ht="12.75" customHeight="1">
      <c r="A475" s="129"/>
      <c r="B475" s="129"/>
      <c r="C475" s="129"/>
      <c r="D475" s="129"/>
      <c r="E475" s="129"/>
      <c r="F475" s="129"/>
      <c r="G475" s="129"/>
      <c r="H475" s="129"/>
      <c r="I475" s="129"/>
      <c r="J475" s="129"/>
      <c r="K475" s="129"/>
      <c r="L475" s="129"/>
      <c r="M475" s="129"/>
      <c r="N475" s="129"/>
      <c r="O475" s="129"/>
      <c r="P475" s="129"/>
      <c r="Q475" s="129"/>
      <c r="R475" s="129"/>
      <c r="S475" s="129"/>
      <c r="T475" s="129"/>
      <c r="U475" s="129"/>
      <c r="V475" s="129"/>
      <c r="W475" s="129"/>
      <c r="X475" s="129"/>
      <c r="Y475" s="129"/>
      <c r="Z475" s="129"/>
      <c r="AA475" s="129"/>
      <c r="AB475" s="129"/>
      <c r="AC475" s="129"/>
      <c r="AD475" s="129"/>
      <c r="AE475" s="129"/>
      <c r="AF475" s="129"/>
      <c r="AG475" s="129"/>
      <c r="AH475" s="129"/>
      <c r="AI475" s="129"/>
      <c r="AJ475" s="129"/>
      <c r="AK475" s="129"/>
      <c r="AL475" s="129"/>
      <c r="AM475" s="129"/>
      <c r="AN475" s="129"/>
      <c r="AO475" s="129"/>
      <c r="AP475" s="129"/>
      <c r="AQ475" s="129"/>
    </row>
    <row r="476" spans="1:43" ht="12.75" customHeight="1">
      <c r="A476" s="129"/>
      <c r="B476" s="129"/>
      <c r="C476" s="129"/>
      <c r="D476" s="129"/>
      <c r="E476" s="129"/>
      <c r="F476" s="129"/>
      <c r="G476" s="129"/>
      <c r="H476" s="129"/>
      <c r="I476" s="129"/>
      <c r="J476" s="129"/>
      <c r="K476" s="129"/>
      <c r="L476" s="129"/>
      <c r="M476" s="129"/>
      <c r="N476" s="129"/>
      <c r="O476" s="129"/>
      <c r="P476" s="129"/>
      <c r="Q476" s="129"/>
      <c r="R476" s="129"/>
      <c r="S476" s="129"/>
      <c r="T476" s="129"/>
      <c r="U476" s="129"/>
      <c r="V476" s="129"/>
      <c r="W476" s="129"/>
      <c r="X476" s="129"/>
      <c r="Y476" s="129"/>
      <c r="Z476" s="129"/>
      <c r="AA476" s="129"/>
      <c r="AB476" s="129"/>
      <c r="AC476" s="129"/>
      <c r="AD476" s="129"/>
      <c r="AE476" s="129"/>
      <c r="AF476" s="129"/>
      <c r="AG476" s="129"/>
      <c r="AH476" s="129"/>
      <c r="AI476" s="129"/>
      <c r="AJ476" s="129"/>
      <c r="AK476" s="129"/>
      <c r="AL476" s="129"/>
      <c r="AM476" s="129"/>
      <c r="AN476" s="129"/>
      <c r="AO476" s="129"/>
      <c r="AP476" s="129"/>
      <c r="AQ476" s="129"/>
    </row>
    <row r="477" spans="1:43" ht="12.75" customHeight="1">
      <c r="A477" s="129"/>
      <c r="B477" s="129"/>
      <c r="C477" s="129"/>
      <c r="D477" s="129"/>
      <c r="E477" s="129"/>
      <c r="F477" s="129"/>
      <c r="G477" s="129"/>
      <c r="H477" s="129"/>
      <c r="I477" s="129"/>
      <c r="J477" s="129"/>
      <c r="K477" s="129"/>
      <c r="L477" s="129"/>
      <c r="M477" s="129"/>
      <c r="N477" s="129"/>
      <c r="O477" s="129"/>
      <c r="P477" s="129"/>
      <c r="Q477" s="129"/>
      <c r="R477" s="129"/>
      <c r="S477" s="129"/>
      <c r="T477" s="129"/>
      <c r="U477" s="129"/>
      <c r="V477" s="129"/>
      <c r="W477" s="129"/>
      <c r="X477" s="129"/>
      <c r="Y477" s="129"/>
      <c r="Z477" s="129"/>
      <c r="AA477" s="129"/>
      <c r="AB477" s="129"/>
      <c r="AC477" s="129"/>
      <c r="AD477" s="129"/>
      <c r="AE477" s="129"/>
      <c r="AF477" s="129"/>
      <c r="AG477" s="129"/>
      <c r="AH477" s="129"/>
      <c r="AI477" s="129"/>
      <c r="AJ477" s="129"/>
      <c r="AK477" s="129"/>
      <c r="AL477" s="129"/>
      <c r="AM477" s="129"/>
      <c r="AN477" s="129"/>
      <c r="AO477" s="129"/>
      <c r="AP477" s="129"/>
      <c r="AQ477" s="129"/>
    </row>
    <row r="478" spans="1:43" ht="12.75" customHeight="1">
      <c r="A478" s="129"/>
      <c r="B478" s="129"/>
      <c r="C478" s="129"/>
      <c r="D478" s="129"/>
      <c r="E478" s="129"/>
      <c r="F478" s="129"/>
      <c r="G478" s="129"/>
      <c r="H478" s="129"/>
      <c r="I478" s="129"/>
      <c r="J478" s="129"/>
      <c r="K478" s="129"/>
      <c r="L478" s="129"/>
      <c r="M478" s="129"/>
      <c r="N478" s="129"/>
      <c r="O478" s="129"/>
      <c r="P478" s="129"/>
      <c r="Q478" s="129"/>
      <c r="R478" s="129"/>
      <c r="S478" s="129"/>
      <c r="T478" s="129"/>
      <c r="U478" s="129"/>
      <c r="V478" s="129"/>
      <c r="W478" s="129"/>
      <c r="X478" s="129"/>
      <c r="Y478" s="129"/>
      <c r="Z478" s="129"/>
      <c r="AA478" s="129"/>
      <c r="AB478" s="129"/>
      <c r="AC478" s="129"/>
      <c r="AD478" s="129"/>
      <c r="AE478" s="129"/>
      <c r="AF478" s="129"/>
      <c r="AG478" s="129"/>
      <c r="AH478" s="129"/>
      <c r="AI478" s="129"/>
      <c r="AJ478" s="129"/>
      <c r="AK478" s="129"/>
      <c r="AL478" s="129"/>
      <c r="AM478" s="129"/>
      <c r="AN478" s="129"/>
      <c r="AO478" s="129"/>
      <c r="AP478" s="129"/>
      <c r="AQ478" s="129"/>
    </row>
    <row r="479" spans="1:43" ht="12.75" customHeight="1">
      <c r="A479" s="129"/>
      <c r="B479" s="129"/>
      <c r="C479" s="129"/>
      <c r="D479" s="129"/>
      <c r="E479" s="129"/>
      <c r="F479" s="129"/>
      <c r="G479" s="129"/>
      <c r="H479" s="129"/>
      <c r="I479" s="129"/>
      <c r="J479" s="129"/>
      <c r="K479" s="129"/>
      <c r="L479" s="129"/>
      <c r="M479" s="129"/>
      <c r="N479" s="129"/>
      <c r="O479" s="129"/>
      <c r="P479" s="129"/>
      <c r="Q479" s="129"/>
      <c r="R479" s="129"/>
      <c r="S479" s="129"/>
      <c r="T479" s="129"/>
      <c r="U479" s="129"/>
      <c r="V479" s="129"/>
      <c r="W479" s="129"/>
      <c r="X479" s="129"/>
      <c r="Y479" s="129"/>
      <c r="Z479" s="129"/>
      <c r="AA479" s="129"/>
      <c r="AB479" s="129"/>
      <c r="AC479" s="129"/>
      <c r="AD479" s="129"/>
      <c r="AE479" s="129"/>
      <c r="AF479" s="129"/>
      <c r="AG479" s="129"/>
      <c r="AH479" s="129"/>
      <c r="AI479" s="129"/>
      <c r="AJ479" s="129"/>
      <c r="AK479" s="129"/>
      <c r="AL479" s="129"/>
      <c r="AM479" s="129"/>
      <c r="AN479" s="129"/>
      <c r="AO479" s="129"/>
      <c r="AP479" s="129"/>
      <c r="AQ479" s="129"/>
    </row>
    <row r="480" spans="1:43" ht="12.75" customHeight="1">
      <c r="A480" s="129"/>
      <c r="B480" s="129"/>
      <c r="C480" s="129"/>
      <c r="D480" s="129"/>
      <c r="E480" s="129"/>
      <c r="F480" s="129"/>
      <c r="G480" s="129"/>
      <c r="H480" s="129"/>
      <c r="I480" s="129"/>
      <c r="J480" s="129"/>
      <c r="K480" s="129"/>
      <c r="L480" s="129"/>
      <c r="M480" s="129"/>
      <c r="N480" s="129"/>
      <c r="O480" s="129"/>
      <c r="P480" s="129"/>
      <c r="Q480" s="129"/>
      <c r="R480" s="129"/>
      <c r="S480" s="129"/>
      <c r="T480" s="129"/>
      <c r="U480" s="129"/>
      <c r="V480" s="129"/>
      <c r="W480" s="129"/>
      <c r="X480" s="129"/>
      <c r="Y480" s="129"/>
      <c r="Z480" s="129"/>
      <c r="AA480" s="129"/>
      <c r="AB480" s="129"/>
      <c r="AC480" s="129"/>
      <c r="AD480" s="129"/>
      <c r="AE480" s="129"/>
      <c r="AF480" s="129"/>
      <c r="AG480" s="129"/>
      <c r="AH480" s="129"/>
      <c r="AI480" s="129"/>
      <c r="AJ480" s="129"/>
      <c r="AK480" s="129"/>
      <c r="AL480" s="129"/>
      <c r="AM480" s="129"/>
      <c r="AN480" s="129"/>
      <c r="AO480" s="129"/>
      <c r="AP480" s="129"/>
      <c r="AQ480" s="129"/>
    </row>
    <row r="481" spans="1:43" ht="12.75" customHeight="1">
      <c r="A481" s="129"/>
      <c r="B481" s="129"/>
      <c r="C481" s="129"/>
      <c r="D481" s="129"/>
      <c r="E481" s="129"/>
      <c r="F481" s="129"/>
      <c r="G481" s="129"/>
      <c r="H481" s="129"/>
      <c r="I481" s="129"/>
      <c r="J481" s="129"/>
      <c r="K481" s="129"/>
      <c r="L481" s="129"/>
      <c r="M481" s="129"/>
      <c r="N481" s="129"/>
      <c r="O481" s="129"/>
      <c r="P481" s="129"/>
      <c r="Q481" s="129"/>
      <c r="R481" s="129"/>
      <c r="S481" s="129"/>
      <c r="T481" s="129"/>
      <c r="U481" s="129"/>
      <c r="V481" s="129"/>
      <c r="W481" s="129"/>
      <c r="X481" s="129"/>
      <c r="Y481" s="129"/>
      <c r="Z481" s="129"/>
      <c r="AA481" s="129"/>
      <c r="AB481" s="129"/>
      <c r="AC481" s="129"/>
      <c r="AD481" s="129"/>
      <c r="AE481" s="129"/>
      <c r="AF481" s="129"/>
      <c r="AG481" s="129"/>
      <c r="AH481" s="129"/>
      <c r="AI481" s="129"/>
      <c r="AJ481" s="129"/>
      <c r="AK481" s="129"/>
      <c r="AL481" s="129"/>
      <c r="AM481" s="129"/>
      <c r="AN481" s="129"/>
      <c r="AO481" s="129"/>
      <c r="AP481" s="129"/>
      <c r="AQ481" s="129"/>
    </row>
    <row r="482" spans="1:43" ht="12.75" customHeight="1">
      <c r="A482" s="129"/>
      <c r="B482" s="129"/>
      <c r="C482" s="129"/>
      <c r="D482" s="129"/>
      <c r="E482" s="129"/>
      <c r="F482" s="129"/>
      <c r="G482" s="129"/>
      <c r="H482" s="129"/>
      <c r="I482" s="129"/>
      <c r="J482" s="129"/>
      <c r="K482" s="129"/>
      <c r="L482" s="129"/>
      <c r="M482" s="129"/>
      <c r="N482" s="129"/>
      <c r="O482" s="129"/>
      <c r="P482" s="129"/>
      <c r="Q482" s="129"/>
      <c r="R482" s="129"/>
      <c r="S482" s="129"/>
      <c r="T482" s="129"/>
      <c r="U482" s="129"/>
      <c r="V482" s="129"/>
      <c r="W482" s="129"/>
      <c r="X482" s="129"/>
      <c r="Y482" s="129"/>
      <c r="Z482" s="129"/>
      <c r="AA482" s="129"/>
      <c r="AB482" s="129"/>
      <c r="AC482" s="129"/>
      <c r="AD482" s="129"/>
      <c r="AE482" s="129"/>
      <c r="AF482" s="129"/>
      <c r="AG482" s="129"/>
      <c r="AH482" s="129"/>
      <c r="AI482" s="129"/>
      <c r="AJ482" s="129"/>
      <c r="AK482" s="129"/>
      <c r="AL482" s="129"/>
      <c r="AM482" s="129"/>
      <c r="AN482" s="129"/>
      <c r="AO482" s="129"/>
      <c r="AP482" s="129"/>
      <c r="AQ482" s="129"/>
    </row>
    <row r="483" spans="1:43" ht="12.75" customHeight="1">
      <c r="A483" s="129"/>
      <c r="B483" s="129"/>
      <c r="C483" s="129"/>
      <c r="D483" s="129"/>
      <c r="E483" s="129"/>
      <c r="F483" s="129"/>
      <c r="G483" s="129"/>
      <c r="H483" s="129"/>
      <c r="I483" s="129"/>
      <c r="J483" s="129"/>
      <c r="K483" s="129"/>
      <c r="L483" s="129"/>
      <c r="M483" s="129"/>
      <c r="N483" s="129"/>
      <c r="O483" s="129"/>
      <c r="P483" s="129"/>
      <c r="Q483" s="129"/>
      <c r="R483" s="129"/>
      <c r="S483" s="129"/>
      <c r="T483" s="129"/>
      <c r="U483" s="129"/>
      <c r="V483" s="129"/>
      <c r="W483" s="129"/>
      <c r="X483" s="129"/>
      <c r="Y483" s="129"/>
      <c r="Z483" s="129"/>
      <c r="AA483" s="129"/>
      <c r="AB483" s="129"/>
      <c r="AC483" s="129"/>
      <c r="AD483" s="129"/>
      <c r="AE483" s="129"/>
      <c r="AF483" s="129"/>
      <c r="AG483" s="129"/>
      <c r="AH483" s="129"/>
      <c r="AI483" s="129"/>
      <c r="AJ483" s="129"/>
      <c r="AK483" s="129"/>
      <c r="AL483" s="129"/>
      <c r="AM483" s="129"/>
      <c r="AN483" s="129"/>
      <c r="AO483" s="129"/>
      <c r="AP483" s="129"/>
      <c r="AQ483" s="129"/>
    </row>
    <row r="484" spans="1:43" ht="12.75" customHeight="1">
      <c r="A484" s="129"/>
      <c r="B484" s="129"/>
      <c r="C484" s="129"/>
      <c r="D484" s="129"/>
      <c r="E484" s="129"/>
      <c r="F484" s="129"/>
      <c r="G484" s="129"/>
      <c r="H484" s="129"/>
      <c r="I484" s="129"/>
      <c r="J484" s="129"/>
      <c r="K484" s="129"/>
      <c r="L484" s="129"/>
      <c r="M484" s="129"/>
      <c r="N484" s="129"/>
      <c r="O484" s="129"/>
      <c r="P484" s="129"/>
      <c r="Q484" s="129"/>
      <c r="R484" s="129"/>
      <c r="S484" s="129"/>
      <c r="T484" s="129"/>
      <c r="U484" s="129"/>
      <c r="V484" s="129"/>
      <c r="W484" s="129"/>
      <c r="X484" s="129"/>
      <c r="Y484" s="129"/>
      <c r="Z484" s="129"/>
      <c r="AA484" s="129"/>
      <c r="AB484" s="129"/>
      <c r="AC484" s="129"/>
      <c r="AD484" s="129"/>
      <c r="AE484" s="129"/>
      <c r="AF484" s="129"/>
      <c r="AG484" s="129"/>
      <c r="AH484" s="129"/>
      <c r="AI484" s="129"/>
      <c r="AJ484" s="129"/>
      <c r="AK484" s="129"/>
      <c r="AL484" s="129"/>
      <c r="AM484" s="129"/>
      <c r="AN484" s="129"/>
      <c r="AO484" s="129"/>
      <c r="AP484" s="129"/>
      <c r="AQ484" s="129"/>
    </row>
    <row r="485" spans="1:43" ht="12.75" customHeight="1">
      <c r="A485" s="129"/>
      <c r="B485" s="129"/>
      <c r="C485" s="129"/>
      <c r="D485" s="129"/>
      <c r="E485" s="129"/>
      <c r="F485" s="129"/>
      <c r="G485" s="129"/>
      <c r="H485" s="129"/>
      <c r="I485" s="129"/>
      <c r="J485" s="129"/>
      <c r="K485" s="129"/>
      <c r="L485" s="129"/>
      <c r="M485" s="129"/>
      <c r="N485" s="129"/>
      <c r="O485" s="129"/>
      <c r="P485" s="129"/>
      <c r="Q485" s="129"/>
      <c r="R485" s="129"/>
      <c r="S485" s="129"/>
      <c r="T485" s="129"/>
      <c r="U485" s="129"/>
      <c r="V485" s="129"/>
      <c r="W485" s="129"/>
      <c r="X485" s="129"/>
      <c r="Y485" s="129"/>
      <c r="Z485" s="129"/>
      <c r="AA485" s="129"/>
      <c r="AB485" s="129"/>
      <c r="AC485" s="129"/>
      <c r="AD485" s="129"/>
      <c r="AE485" s="129"/>
      <c r="AF485" s="129"/>
      <c r="AG485" s="129"/>
      <c r="AH485" s="129"/>
      <c r="AI485" s="129"/>
      <c r="AJ485" s="129"/>
      <c r="AK485" s="129"/>
      <c r="AL485" s="129"/>
      <c r="AM485" s="129"/>
      <c r="AN485" s="129"/>
      <c r="AO485" s="129"/>
      <c r="AP485" s="129"/>
      <c r="AQ485" s="129"/>
    </row>
    <row r="486" spans="1:43" ht="12.75" customHeight="1">
      <c r="A486" s="129"/>
      <c r="B486" s="129"/>
      <c r="C486" s="129"/>
      <c r="D486" s="129"/>
      <c r="E486" s="129"/>
      <c r="F486" s="129"/>
      <c r="G486" s="129"/>
      <c r="H486" s="129"/>
      <c r="I486" s="129"/>
      <c r="J486" s="129"/>
      <c r="K486" s="129"/>
      <c r="L486" s="129"/>
      <c r="M486" s="129"/>
      <c r="N486" s="129"/>
      <c r="O486" s="129"/>
      <c r="P486" s="129"/>
      <c r="Q486" s="129"/>
      <c r="R486" s="129"/>
      <c r="S486" s="129"/>
      <c r="T486" s="129"/>
      <c r="U486" s="129"/>
      <c r="V486" s="129"/>
      <c r="W486" s="129"/>
      <c r="X486" s="129"/>
      <c r="Y486" s="129"/>
      <c r="Z486" s="129"/>
      <c r="AA486" s="129"/>
      <c r="AB486" s="129"/>
      <c r="AC486" s="129"/>
      <c r="AD486" s="129"/>
      <c r="AE486" s="129"/>
      <c r="AF486" s="129"/>
      <c r="AG486" s="129"/>
      <c r="AH486" s="129"/>
      <c r="AI486" s="129"/>
      <c r="AJ486" s="129"/>
      <c r="AK486" s="129"/>
      <c r="AL486" s="129"/>
      <c r="AM486" s="129"/>
      <c r="AN486" s="129"/>
      <c r="AO486" s="129"/>
      <c r="AP486" s="129"/>
      <c r="AQ486" s="129"/>
    </row>
    <row r="487" spans="1:43" ht="12.75" customHeight="1">
      <c r="A487" s="129"/>
      <c r="B487" s="129"/>
      <c r="C487" s="129"/>
      <c r="D487" s="129"/>
      <c r="E487" s="129"/>
      <c r="F487" s="129"/>
      <c r="G487" s="129"/>
      <c r="H487" s="129"/>
      <c r="I487" s="129"/>
      <c r="J487" s="129"/>
      <c r="K487" s="129"/>
      <c r="L487" s="129"/>
      <c r="M487" s="129"/>
      <c r="N487" s="129"/>
      <c r="O487" s="129"/>
      <c r="P487" s="129"/>
      <c r="Q487" s="129"/>
      <c r="R487" s="129"/>
      <c r="S487" s="129"/>
      <c r="T487" s="129"/>
      <c r="U487" s="129"/>
      <c r="V487" s="129"/>
      <c r="W487" s="129"/>
      <c r="X487" s="129"/>
      <c r="Y487" s="129"/>
      <c r="Z487" s="129"/>
      <c r="AA487" s="129"/>
      <c r="AB487" s="129"/>
      <c r="AC487" s="129"/>
      <c r="AD487" s="129"/>
      <c r="AE487" s="129"/>
      <c r="AF487" s="129"/>
      <c r="AG487" s="129"/>
      <c r="AH487" s="129"/>
      <c r="AI487" s="129"/>
      <c r="AJ487" s="129"/>
      <c r="AK487" s="129"/>
      <c r="AL487" s="129"/>
      <c r="AM487" s="129"/>
      <c r="AN487" s="129"/>
      <c r="AO487" s="129"/>
      <c r="AP487" s="129"/>
      <c r="AQ487" s="129"/>
    </row>
    <row r="488" spans="1:43" ht="12.75" customHeight="1">
      <c r="A488" s="129"/>
      <c r="B488" s="129"/>
      <c r="C488" s="129"/>
      <c r="D488" s="129"/>
      <c r="E488" s="129"/>
      <c r="F488" s="129"/>
      <c r="G488" s="129"/>
      <c r="H488" s="129"/>
      <c r="I488" s="129"/>
      <c r="J488" s="129"/>
      <c r="K488" s="129"/>
      <c r="L488" s="129"/>
      <c r="M488" s="129"/>
      <c r="N488" s="129"/>
      <c r="O488" s="129"/>
      <c r="P488" s="129"/>
      <c r="Q488" s="129"/>
      <c r="R488" s="129"/>
      <c r="S488" s="129"/>
      <c r="T488" s="129"/>
      <c r="U488" s="129"/>
      <c r="V488" s="129"/>
      <c r="W488" s="129"/>
      <c r="X488" s="129"/>
      <c r="Y488" s="129"/>
      <c r="Z488" s="129"/>
      <c r="AA488" s="129"/>
      <c r="AB488" s="129"/>
      <c r="AC488" s="129"/>
      <c r="AD488" s="129"/>
      <c r="AE488" s="129"/>
      <c r="AF488" s="129"/>
      <c r="AG488" s="129"/>
      <c r="AH488" s="129"/>
      <c r="AI488" s="129"/>
      <c r="AJ488" s="129"/>
      <c r="AK488" s="129"/>
      <c r="AL488" s="129"/>
      <c r="AM488" s="129"/>
      <c r="AN488" s="129"/>
      <c r="AO488" s="129"/>
      <c r="AP488" s="129"/>
      <c r="AQ488" s="129"/>
    </row>
    <row r="489" spans="1:43" ht="12.75" customHeight="1">
      <c r="A489" s="129"/>
      <c r="B489" s="129"/>
      <c r="C489" s="129"/>
      <c r="D489" s="129"/>
      <c r="E489" s="129"/>
      <c r="F489" s="129"/>
      <c r="G489" s="129"/>
      <c r="H489" s="129"/>
      <c r="I489" s="129"/>
      <c r="J489" s="129"/>
      <c r="K489" s="129"/>
      <c r="L489" s="129"/>
      <c r="M489" s="129"/>
      <c r="N489" s="129"/>
      <c r="O489" s="129"/>
      <c r="P489" s="129"/>
      <c r="Q489" s="129"/>
      <c r="R489" s="129"/>
      <c r="S489" s="129"/>
      <c r="T489" s="129"/>
      <c r="U489" s="129"/>
      <c r="V489" s="129"/>
      <c r="W489" s="129"/>
      <c r="X489" s="129"/>
      <c r="Y489" s="129"/>
      <c r="Z489" s="129"/>
      <c r="AA489" s="129"/>
      <c r="AB489" s="129"/>
      <c r="AC489" s="129"/>
      <c r="AD489" s="129"/>
      <c r="AE489" s="129"/>
      <c r="AF489" s="129"/>
      <c r="AG489" s="129"/>
      <c r="AH489" s="129"/>
      <c r="AI489" s="129"/>
      <c r="AJ489" s="129"/>
      <c r="AK489" s="129"/>
      <c r="AL489" s="129"/>
      <c r="AM489" s="129"/>
      <c r="AN489" s="129"/>
      <c r="AO489" s="129"/>
      <c r="AP489" s="129"/>
      <c r="AQ489" s="129"/>
    </row>
    <row r="490" spans="1:43" ht="12.75" customHeight="1">
      <c r="A490" s="129"/>
      <c r="B490" s="129"/>
      <c r="C490" s="129"/>
      <c r="D490" s="129"/>
      <c r="E490" s="129"/>
      <c r="F490" s="129"/>
      <c r="G490" s="129"/>
      <c r="H490" s="129"/>
      <c r="I490" s="129"/>
      <c r="J490" s="129"/>
      <c r="K490" s="129"/>
      <c r="L490" s="129"/>
      <c r="M490" s="129"/>
      <c r="N490" s="129"/>
      <c r="O490" s="129"/>
      <c r="P490" s="129"/>
      <c r="Q490" s="129"/>
      <c r="R490" s="129"/>
      <c r="S490" s="129"/>
      <c r="T490" s="129"/>
      <c r="U490" s="129"/>
      <c r="V490" s="129"/>
      <c r="W490" s="129"/>
      <c r="X490" s="129"/>
      <c r="Y490" s="129"/>
      <c r="Z490" s="129"/>
      <c r="AA490" s="129"/>
      <c r="AB490" s="129"/>
      <c r="AC490" s="129"/>
      <c r="AD490" s="129"/>
      <c r="AE490" s="129"/>
      <c r="AF490" s="129"/>
      <c r="AG490" s="129"/>
      <c r="AH490" s="129"/>
      <c r="AI490" s="129"/>
      <c r="AJ490" s="129"/>
      <c r="AK490" s="129"/>
      <c r="AL490" s="129"/>
      <c r="AM490" s="129"/>
      <c r="AN490" s="129"/>
      <c r="AO490" s="129"/>
      <c r="AP490" s="129"/>
      <c r="AQ490" s="129"/>
    </row>
    <row r="491" spans="1:43" ht="12.75" customHeight="1">
      <c r="A491" s="129"/>
      <c r="B491" s="129"/>
      <c r="C491" s="129"/>
      <c r="D491" s="129"/>
      <c r="E491" s="129"/>
      <c r="F491" s="129"/>
      <c r="G491" s="129"/>
      <c r="H491" s="129"/>
      <c r="I491" s="129"/>
      <c r="J491" s="129"/>
      <c r="K491" s="129"/>
      <c r="L491" s="129"/>
      <c r="M491" s="129"/>
      <c r="N491" s="129"/>
      <c r="O491" s="129"/>
      <c r="P491" s="129"/>
      <c r="Q491" s="129"/>
      <c r="R491" s="129"/>
      <c r="S491" s="129"/>
      <c r="T491" s="129"/>
      <c r="U491" s="129"/>
      <c r="V491" s="129"/>
      <c r="W491" s="129"/>
      <c r="X491" s="129"/>
      <c r="Y491" s="129"/>
      <c r="Z491" s="129"/>
      <c r="AA491" s="129"/>
      <c r="AB491" s="129"/>
      <c r="AC491" s="129"/>
      <c r="AD491" s="129"/>
      <c r="AE491" s="129"/>
      <c r="AF491" s="129"/>
      <c r="AG491" s="129"/>
      <c r="AH491" s="129"/>
      <c r="AI491" s="129"/>
      <c r="AJ491" s="129"/>
      <c r="AK491" s="129"/>
      <c r="AL491" s="129"/>
      <c r="AM491" s="129"/>
      <c r="AN491" s="129"/>
      <c r="AO491" s="129"/>
      <c r="AP491" s="129"/>
      <c r="AQ491" s="129"/>
    </row>
    <row r="492" spans="1:43" ht="12.75" customHeight="1">
      <c r="A492" s="129"/>
      <c r="B492" s="129"/>
      <c r="C492" s="129"/>
      <c r="D492" s="129"/>
      <c r="E492" s="129"/>
      <c r="F492" s="129"/>
      <c r="G492" s="129"/>
      <c r="H492" s="129"/>
      <c r="I492" s="129"/>
      <c r="J492" s="129"/>
      <c r="K492" s="129"/>
      <c r="L492" s="129"/>
      <c r="M492" s="129"/>
      <c r="N492" s="129"/>
      <c r="O492" s="129"/>
      <c r="P492" s="129"/>
      <c r="Q492" s="129"/>
      <c r="R492" s="129"/>
      <c r="S492" s="129"/>
      <c r="T492" s="129"/>
      <c r="U492" s="129"/>
      <c r="V492" s="129"/>
      <c r="W492" s="129"/>
      <c r="X492" s="129"/>
      <c r="Y492" s="129"/>
      <c r="Z492" s="129"/>
      <c r="AA492" s="129"/>
      <c r="AB492" s="129"/>
      <c r="AC492" s="129"/>
      <c r="AD492" s="129"/>
      <c r="AE492" s="129"/>
      <c r="AF492" s="129"/>
      <c r="AG492" s="129"/>
      <c r="AH492" s="129"/>
      <c r="AI492" s="129"/>
      <c r="AJ492" s="129"/>
      <c r="AK492" s="129"/>
      <c r="AL492" s="129"/>
      <c r="AM492" s="129"/>
      <c r="AN492" s="129"/>
      <c r="AO492" s="129"/>
      <c r="AP492" s="129"/>
      <c r="AQ492" s="129"/>
    </row>
    <row r="493" spans="1:43" ht="12.75" customHeight="1">
      <c r="A493" s="129"/>
      <c r="B493" s="129"/>
      <c r="C493" s="129"/>
      <c r="D493" s="129"/>
      <c r="E493" s="129"/>
      <c r="F493" s="129"/>
      <c r="G493" s="129"/>
      <c r="H493" s="129"/>
      <c r="I493" s="129"/>
      <c r="J493" s="129"/>
      <c r="K493" s="129"/>
      <c r="L493" s="129"/>
      <c r="M493" s="129"/>
      <c r="N493" s="129"/>
      <c r="O493" s="129"/>
      <c r="P493" s="129"/>
      <c r="Q493" s="129"/>
      <c r="R493" s="129"/>
      <c r="S493" s="129"/>
      <c r="T493" s="129"/>
      <c r="U493" s="129"/>
      <c r="V493" s="129"/>
      <c r="W493" s="129"/>
      <c r="X493" s="129"/>
      <c r="Y493" s="129"/>
      <c r="Z493" s="129"/>
      <c r="AA493" s="129"/>
      <c r="AB493" s="129"/>
      <c r="AC493" s="129"/>
      <c r="AD493" s="129"/>
      <c r="AE493" s="129"/>
      <c r="AF493" s="129"/>
      <c r="AG493" s="129"/>
      <c r="AH493" s="129"/>
      <c r="AI493" s="129"/>
      <c r="AJ493" s="129"/>
      <c r="AK493" s="129"/>
      <c r="AL493" s="129"/>
      <c r="AM493" s="129"/>
      <c r="AN493" s="129"/>
      <c r="AO493" s="129"/>
      <c r="AP493" s="129"/>
      <c r="AQ493" s="129"/>
    </row>
    <row r="494" spans="1:43" ht="12.75" customHeight="1">
      <c r="A494" s="129"/>
      <c r="B494" s="129"/>
      <c r="C494" s="129"/>
      <c r="D494" s="129"/>
      <c r="E494" s="129"/>
      <c r="F494" s="129"/>
      <c r="G494" s="129"/>
      <c r="H494" s="129"/>
      <c r="I494" s="129"/>
      <c r="J494" s="129"/>
      <c r="K494" s="129"/>
      <c r="L494" s="129"/>
      <c r="M494" s="129"/>
      <c r="N494" s="129"/>
      <c r="O494" s="129"/>
      <c r="P494" s="129"/>
      <c r="Q494" s="129"/>
      <c r="R494" s="129"/>
      <c r="S494" s="129"/>
      <c r="T494" s="129"/>
      <c r="U494" s="129"/>
      <c r="V494" s="129"/>
      <c r="W494" s="129"/>
      <c r="X494" s="129"/>
      <c r="Y494" s="129"/>
      <c r="Z494" s="129"/>
      <c r="AA494" s="129"/>
      <c r="AB494" s="129"/>
      <c r="AC494" s="129"/>
      <c r="AD494" s="129"/>
      <c r="AE494" s="129"/>
      <c r="AF494" s="129"/>
      <c r="AG494" s="129"/>
      <c r="AH494" s="129"/>
      <c r="AI494" s="129"/>
      <c r="AJ494" s="129"/>
      <c r="AK494" s="129"/>
      <c r="AL494" s="129"/>
      <c r="AM494" s="129"/>
      <c r="AN494" s="129"/>
      <c r="AO494" s="129"/>
      <c r="AP494" s="129"/>
      <c r="AQ494" s="129"/>
    </row>
    <row r="495" spans="1:43" ht="12.75" customHeight="1">
      <c r="A495" s="129"/>
      <c r="B495" s="129"/>
      <c r="C495" s="129"/>
      <c r="D495" s="129"/>
      <c r="E495" s="129"/>
      <c r="F495" s="129"/>
      <c r="G495" s="129"/>
      <c r="H495" s="129"/>
      <c r="I495" s="129"/>
      <c r="J495" s="129"/>
      <c r="K495" s="129"/>
      <c r="L495" s="129"/>
      <c r="M495" s="129"/>
      <c r="N495" s="129"/>
      <c r="O495" s="129"/>
      <c r="P495" s="129"/>
      <c r="Q495" s="129"/>
      <c r="R495" s="129"/>
      <c r="S495" s="129"/>
      <c r="T495" s="129"/>
      <c r="U495" s="129"/>
      <c r="V495" s="129"/>
      <c r="W495" s="129"/>
      <c r="X495" s="129"/>
      <c r="Y495" s="129"/>
      <c r="Z495" s="129"/>
      <c r="AA495" s="129"/>
      <c r="AB495" s="129"/>
      <c r="AC495" s="129"/>
      <c r="AD495" s="129"/>
      <c r="AE495" s="129"/>
      <c r="AF495" s="129"/>
      <c r="AG495" s="129"/>
      <c r="AH495" s="129"/>
      <c r="AI495" s="129"/>
      <c r="AJ495" s="129"/>
      <c r="AK495" s="129"/>
      <c r="AL495" s="129"/>
      <c r="AM495" s="129"/>
      <c r="AN495" s="129"/>
      <c r="AO495" s="129"/>
      <c r="AP495" s="129"/>
      <c r="AQ495" s="129"/>
    </row>
    <row r="496" spans="1:43" ht="12.75" customHeight="1">
      <c r="A496" s="129"/>
      <c r="B496" s="129"/>
      <c r="C496" s="129"/>
      <c r="D496" s="129"/>
      <c r="E496" s="129"/>
      <c r="F496" s="129"/>
      <c r="G496" s="129"/>
      <c r="H496" s="129"/>
      <c r="I496" s="129"/>
      <c r="J496" s="129"/>
      <c r="K496" s="129"/>
      <c r="L496" s="129"/>
      <c r="M496" s="129"/>
      <c r="N496" s="129"/>
      <c r="O496" s="129"/>
      <c r="P496" s="129"/>
      <c r="Q496" s="129"/>
      <c r="R496" s="129"/>
      <c r="S496" s="129"/>
      <c r="T496" s="129"/>
      <c r="U496" s="129"/>
      <c r="V496" s="129"/>
      <c r="W496" s="129"/>
      <c r="X496" s="129"/>
      <c r="Y496" s="129"/>
      <c r="Z496" s="129"/>
      <c r="AA496" s="129"/>
      <c r="AB496" s="129"/>
      <c r="AC496" s="129"/>
      <c r="AD496" s="129"/>
      <c r="AE496" s="129"/>
      <c r="AF496" s="129"/>
      <c r="AG496" s="129"/>
      <c r="AH496" s="129"/>
      <c r="AI496" s="129"/>
      <c r="AJ496" s="129"/>
      <c r="AK496" s="129"/>
      <c r="AL496" s="129"/>
      <c r="AM496" s="129"/>
      <c r="AN496" s="129"/>
      <c r="AO496" s="129"/>
      <c r="AP496" s="129"/>
      <c r="AQ496" s="129"/>
    </row>
    <row r="497" spans="1:43" ht="12.75" customHeight="1">
      <c r="A497" s="129"/>
      <c r="B497" s="129"/>
      <c r="C497" s="129"/>
      <c r="D497" s="129"/>
      <c r="E497" s="129"/>
      <c r="F497" s="129"/>
      <c r="G497" s="129"/>
      <c r="H497" s="129"/>
      <c r="I497" s="129"/>
      <c r="J497" s="129"/>
      <c r="K497" s="129"/>
      <c r="L497" s="129"/>
      <c r="M497" s="129"/>
      <c r="N497" s="129"/>
      <c r="O497" s="129"/>
      <c r="P497" s="129"/>
      <c r="Q497" s="129"/>
      <c r="R497" s="129"/>
      <c r="S497" s="129"/>
      <c r="T497" s="129"/>
      <c r="U497" s="129"/>
      <c r="V497" s="129"/>
      <c r="W497" s="129"/>
      <c r="X497" s="129"/>
      <c r="Y497" s="129"/>
      <c r="Z497" s="129"/>
      <c r="AA497" s="129"/>
      <c r="AB497" s="129"/>
      <c r="AC497" s="129"/>
      <c r="AD497" s="129"/>
      <c r="AE497" s="129"/>
      <c r="AF497" s="129"/>
      <c r="AG497" s="129"/>
      <c r="AH497" s="129"/>
      <c r="AI497" s="129"/>
      <c r="AJ497" s="129"/>
      <c r="AK497" s="129"/>
      <c r="AL497" s="129"/>
      <c r="AM497" s="129"/>
      <c r="AN497" s="129"/>
      <c r="AO497" s="129"/>
      <c r="AP497" s="129"/>
      <c r="AQ497" s="129"/>
    </row>
    <row r="498" spans="1:43" ht="12.75" customHeight="1">
      <c r="A498" s="129"/>
      <c r="B498" s="129"/>
      <c r="C498" s="129"/>
      <c r="D498" s="129"/>
      <c r="E498" s="129"/>
      <c r="F498" s="129"/>
      <c r="G498" s="129"/>
      <c r="H498" s="129"/>
      <c r="I498" s="129"/>
      <c r="J498" s="129"/>
      <c r="K498" s="129"/>
      <c r="L498" s="129"/>
      <c r="M498" s="129"/>
      <c r="N498" s="129"/>
      <c r="O498" s="129"/>
      <c r="P498" s="129"/>
      <c r="Q498" s="129"/>
      <c r="R498" s="129"/>
      <c r="S498" s="129"/>
      <c r="T498" s="129"/>
      <c r="U498" s="129"/>
      <c r="V498" s="129"/>
      <c r="W498" s="129"/>
      <c r="X498" s="129"/>
      <c r="Y498" s="129"/>
      <c r="Z498" s="129"/>
      <c r="AA498" s="129"/>
      <c r="AB498" s="129"/>
      <c r="AC498" s="129"/>
      <c r="AD498" s="129"/>
      <c r="AE498" s="129"/>
      <c r="AF498" s="129"/>
      <c r="AG498" s="129"/>
      <c r="AH498" s="129"/>
      <c r="AI498" s="129"/>
      <c r="AJ498" s="129"/>
      <c r="AK498" s="129"/>
      <c r="AL498" s="129"/>
      <c r="AM498" s="129"/>
      <c r="AN498" s="129"/>
      <c r="AO498" s="129"/>
      <c r="AP498" s="129"/>
      <c r="AQ498" s="129"/>
    </row>
    <row r="499" spans="1:43" ht="12.75" customHeight="1">
      <c r="A499" s="129"/>
      <c r="B499" s="129"/>
      <c r="C499" s="129"/>
      <c r="D499" s="129"/>
      <c r="E499" s="129"/>
      <c r="F499" s="129"/>
      <c r="G499" s="129"/>
      <c r="H499" s="129"/>
      <c r="I499" s="129"/>
      <c r="J499" s="129"/>
      <c r="K499" s="129"/>
      <c r="L499" s="129"/>
      <c r="M499" s="129"/>
      <c r="N499" s="129"/>
      <c r="O499" s="129"/>
      <c r="P499" s="129"/>
      <c r="Q499" s="129"/>
      <c r="R499" s="129"/>
      <c r="S499" s="129"/>
      <c r="T499" s="129"/>
      <c r="U499" s="129"/>
      <c r="V499" s="129"/>
      <c r="W499" s="129"/>
      <c r="X499" s="129"/>
      <c r="Y499" s="129"/>
      <c r="Z499" s="129"/>
      <c r="AA499" s="129"/>
      <c r="AB499" s="129"/>
      <c r="AC499" s="129"/>
      <c r="AD499" s="129"/>
      <c r="AE499" s="129"/>
      <c r="AF499" s="129"/>
      <c r="AG499" s="129"/>
      <c r="AH499" s="129"/>
      <c r="AI499" s="129"/>
      <c r="AJ499" s="129"/>
      <c r="AK499" s="129"/>
      <c r="AL499" s="129"/>
      <c r="AM499" s="129"/>
      <c r="AN499" s="129"/>
      <c r="AO499" s="129"/>
      <c r="AP499" s="129"/>
      <c r="AQ499" s="129"/>
    </row>
    <row r="500" spans="1:43" ht="12.75" customHeight="1">
      <c r="A500" s="129"/>
      <c r="B500" s="129"/>
      <c r="C500" s="129"/>
      <c r="D500" s="129"/>
      <c r="E500" s="129"/>
      <c r="F500" s="129"/>
      <c r="G500" s="129"/>
      <c r="H500" s="129"/>
      <c r="I500" s="129"/>
      <c r="J500" s="129"/>
      <c r="K500" s="129"/>
      <c r="L500" s="129"/>
      <c r="M500" s="129"/>
      <c r="N500" s="129"/>
      <c r="O500" s="129"/>
      <c r="P500" s="129"/>
      <c r="Q500" s="129"/>
      <c r="R500" s="129"/>
      <c r="S500" s="129"/>
      <c r="T500" s="129"/>
      <c r="U500" s="129"/>
      <c r="V500" s="129"/>
      <c r="W500" s="129"/>
      <c r="X500" s="129"/>
      <c r="Y500" s="129"/>
      <c r="Z500" s="129"/>
      <c r="AA500" s="129"/>
      <c r="AB500" s="129"/>
      <c r="AC500" s="129"/>
      <c r="AD500" s="129"/>
      <c r="AE500" s="129"/>
      <c r="AF500" s="129"/>
      <c r="AG500" s="129"/>
      <c r="AH500" s="129"/>
      <c r="AI500" s="129"/>
      <c r="AJ500" s="129"/>
      <c r="AK500" s="129"/>
      <c r="AL500" s="129"/>
      <c r="AM500" s="129"/>
      <c r="AN500" s="129"/>
      <c r="AO500" s="129"/>
      <c r="AP500" s="129"/>
      <c r="AQ500" s="129"/>
    </row>
    <row r="501" spans="1:43" ht="12.75" customHeight="1">
      <c r="A501" s="129"/>
      <c r="B501" s="129"/>
      <c r="C501" s="129"/>
      <c r="D501" s="129"/>
      <c r="E501" s="129"/>
      <c r="F501" s="129"/>
      <c r="G501" s="129"/>
      <c r="H501" s="129"/>
      <c r="I501" s="129"/>
      <c r="J501" s="129"/>
      <c r="K501" s="129"/>
      <c r="L501" s="129"/>
      <c r="M501" s="129"/>
      <c r="N501" s="129"/>
      <c r="O501" s="129"/>
      <c r="P501" s="129"/>
      <c r="Q501" s="129"/>
      <c r="R501" s="129"/>
      <c r="S501" s="129"/>
      <c r="T501" s="129"/>
      <c r="U501" s="129"/>
      <c r="V501" s="129"/>
      <c r="W501" s="129"/>
      <c r="X501" s="129"/>
      <c r="Y501" s="129"/>
      <c r="Z501" s="129"/>
      <c r="AA501" s="129"/>
      <c r="AB501" s="129"/>
      <c r="AC501" s="129"/>
      <c r="AD501" s="129"/>
      <c r="AE501" s="129"/>
      <c r="AF501" s="129"/>
      <c r="AG501" s="129"/>
      <c r="AH501" s="129"/>
      <c r="AI501" s="129"/>
      <c r="AJ501" s="129"/>
      <c r="AK501" s="129"/>
      <c r="AL501" s="129"/>
      <c r="AM501" s="129"/>
      <c r="AN501" s="129"/>
      <c r="AO501" s="129"/>
      <c r="AP501" s="129"/>
      <c r="AQ501" s="129"/>
    </row>
    <row r="502" spans="1:43" ht="12.75" customHeight="1">
      <c r="A502" s="129"/>
      <c r="B502" s="129"/>
      <c r="C502" s="129"/>
      <c r="D502" s="129"/>
      <c r="E502" s="129"/>
      <c r="F502" s="129"/>
      <c r="G502" s="129"/>
      <c r="H502" s="129"/>
      <c r="I502" s="129"/>
      <c r="J502" s="129"/>
      <c r="K502" s="129"/>
      <c r="L502" s="129"/>
      <c r="M502" s="129"/>
      <c r="N502" s="129"/>
      <c r="O502" s="129"/>
      <c r="P502" s="129"/>
      <c r="Q502" s="129"/>
      <c r="R502" s="129"/>
      <c r="S502" s="129"/>
      <c r="T502" s="129"/>
      <c r="U502" s="129"/>
      <c r="V502" s="129"/>
      <c r="W502" s="129"/>
      <c r="X502" s="129"/>
      <c r="Y502" s="129"/>
      <c r="Z502" s="129"/>
      <c r="AA502" s="129"/>
      <c r="AB502" s="129"/>
      <c r="AC502" s="129"/>
      <c r="AD502" s="129"/>
      <c r="AE502" s="129"/>
      <c r="AF502" s="129"/>
      <c r="AG502" s="129"/>
      <c r="AH502" s="129"/>
      <c r="AI502" s="129"/>
      <c r="AJ502" s="129"/>
      <c r="AK502" s="129"/>
      <c r="AL502" s="129"/>
      <c r="AM502" s="129"/>
      <c r="AN502" s="129"/>
      <c r="AO502" s="129"/>
      <c r="AP502" s="129"/>
      <c r="AQ502" s="129"/>
    </row>
    <row r="503" spans="1:43" ht="12.75" customHeight="1">
      <c r="A503" s="129"/>
      <c r="B503" s="129"/>
      <c r="C503" s="129"/>
      <c r="D503" s="129"/>
      <c r="E503" s="129"/>
      <c r="F503" s="129"/>
      <c r="G503" s="129"/>
      <c r="H503" s="129"/>
      <c r="I503" s="129"/>
      <c r="J503" s="129"/>
      <c r="K503" s="129"/>
      <c r="L503" s="129"/>
      <c r="M503" s="129"/>
      <c r="N503" s="129"/>
      <c r="O503" s="129"/>
      <c r="P503" s="129"/>
      <c r="Q503" s="129"/>
      <c r="R503" s="129"/>
      <c r="S503" s="129"/>
      <c r="T503" s="129"/>
      <c r="U503" s="129"/>
      <c r="V503" s="129"/>
      <c r="W503" s="129"/>
      <c r="X503" s="129"/>
      <c r="Y503" s="129"/>
      <c r="Z503" s="129"/>
      <c r="AA503" s="129"/>
      <c r="AB503" s="129"/>
      <c r="AC503" s="129"/>
      <c r="AD503" s="129"/>
      <c r="AE503" s="129"/>
      <c r="AF503" s="129"/>
      <c r="AG503" s="129"/>
      <c r="AH503" s="129"/>
      <c r="AI503" s="129"/>
      <c r="AJ503" s="129"/>
      <c r="AK503" s="129"/>
      <c r="AL503" s="129"/>
      <c r="AM503" s="129"/>
      <c r="AN503" s="129"/>
      <c r="AO503" s="129"/>
      <c r="AP503" s="129"/>
      <c r="AQ503" s="129"/>
    </row>
    <row r="504" spans="1:43" ht="12.75" customHeight="1">
      <c r="A504" s="129"/>
      <c r="B504" s="129"/>
      <c r="C504" s="129"/>
      <c r="D504" s="129"/>
      <c r="E504" s="129"/>
      <c r="F504" s="129"/>
      <c r="G504" s="129"/>
      <c r="H504" s="129"/>
      <c r="I504" s="129"/>
      <c r="J504" s="129"/>
      <c r="K504" s="129"/>
      <c r="L504" s="129"/>
      <c r="M504" s="129"/>
      <c r="N504" s="129"/>
      <c r="O504" s="129"/>
      <c r="P504" s="129"/>
      <c r="Q504" s="129"/>
      <c r="R504" s="129"/>
      <c r="S504" s="129"/>
      <c r="T504" s="129"/>
      <c r="U504" s="129"/>
      <c r="V504" s="129"/>
      <c r="W504" s="129"/>
      <c r="X504" s="129"/>
      <c r="Y504" s="129"/>
      <c r="Z504" s="129"/>
      <c r="AA504" s="129"/>
      <c r="AB504" s="129"/>
      <c r="AC504" s="129"/>
      <c r="AD504" s="129"/>
      <c r="AE504" s="129"/>
      <c r="AF504" s="129"/>
      <c r="AG504" s="129"/>
      <c r="AH504" s="129"/>
      <c r="AI504" s="129"/>
      <c r="AJ504" s="129"/>
      <c r="AK504" s="129"/>
      <c r="AL504" s="129"/>
      <c r="AM504" s="129"/>
      <c r="AN504" s="129"/>
      <c r="AO504" s="129"/>
      <c r="AP504" s="129"/>
      <c r="AQ504" s="129"/>
    </row>
    <row r="505" spans="1:43" ht="12.75" customHeight="1">
      <c r="A505" s="129"/>
      <c r="B505" s="129"/>
      <c r="C505" s="129"/>
      <c r="D505" s="129"/>
      <c r="E505" s="129"/>
      <c r="F505" s="129"/>
      <c r="G505" s="129"/>
      <c r="H505" s="129"/>
      <c r="I505" s="129"/>
      <c r="J505" s="129"/>
      <c r="K505" s="129"/>
      <c r="L505" s="129"/>
      <c r="M505" s="129"/>
      <c r="N505" s="129"/>
      <c r="O505" s="129"/>
      <c r="P505" s="129"/>
      <c r="Q505" s="129"/>
      <c r="R505" s="129"/>
      <c r="S505" s="129"/>
      <c r="T505" s="129"/>
      <c r="U505" s="129"/>
      <c r="V505" s="129"/>
      <c r="W505" s="129"/>
      <c r="X505" s="129"/>
      <c r="Y505" s="129"/>
      <c r="Z505" s="129"/>
      <c r="AA505" s="129"/>
      <c r="AB505" s="129"/>
      <c r="AC505" s="129"/>
      <c r="AD505" s="129"/>
      <c r="AE505" s="129"/>
      <c r="AF505" s="129"/>
      <c r="AG505" s="129"/>
      <c r="AH505" s="129"/>
      <c r="AI505" s="129"/>
      <c r="AJ505" s="129"/>
      <c r="AK505" s="129"/>
      <c r="AL505" s="129"/>
      <c r="AM505" s="129"/>
      <c r="AN505" s="129"/>
      <c r="AO505" s="129"/>
      <c r="AP505" s="129"/>
      <c r="AQ505" s="129"/>
    </row>
    <row r="506" spans="1:43" ht="12.75" customHeight="1">
      <c r="A506" s="129"/>
      <c r="B506" s="129"/>
      <c r="C506" s="129"/>
      <c r="D506" s="129"/>
      <c r="E506" s="129"/>
      <c r="F506" s="129"/>
      <c r="G506" s="129"/>
      <c r="H506" s="129"/>
      <c r="I506" s="129"/>
      <c r="J506" s="129"/>
      <c r="K506" s="129"/>
      <c r="L506" s="129"/>
      <c r="M506" s="129"/>
      <c r="N506" s="129"/>
      <c r="O506" s="129"/>
      <c r="P506" s="129"/>
      <c r="Q506" s="129"/>
      <c r="R506" s="129"/>
      <c r="S506" s="129"/>
      <c r="T506" s="129"/>
      <c r="U506" s="129"/>
      <c r="V506" s="129"/>
      <c r="W506" s="129"/>
      <c r="X506" s="129"/>
      <c r="Y506" s="129"/>
      <c r="Z506" s="129"/>
      <c r="AA506" s="129"/>
      <c r="AB506" s="129"/>
      <c r="AC506" s="129"/>
      <c r="AD506" s="129"/>
      <c r="AE506" s="129"/>
      <c r="AF506" s="129"/>
      <c r="AG506" s="129"/>
      <c r="AH506" s="129"/>
      <c r="AI506" s="129"/>
      <c r="AJ506" s="129"/>
      <c r="AK506" s="129"/>
      <c r="AL506" s="129"/>
      <c r="AM506" s="129"/>
      <c r="AN506" s="129"/>
      <c r="AO506" s="129"/>
      <c r="AP506" s="129"/>
      <c r="AQ506" s="129"/>
    </row>
    <row r="507" spans="1:43" ht="12.75" customHeight="1">
      <c r="A507" s="129"/>
      <c r="B507" s="129"/>
      <c r="C507" s="129"/>
      <c r="D507" s="129"/>
      <c r="E507" s="129"/>
      <c r="F507" s="129"/>
      <c r="G507" s="129"/>
      <c r="H507" s="129"/>
      <c r="I507" s="129"/>
      <c r="J507" s="129"/>
      <c r="K507" s="129"/>
      <c r="L507" s="129"/>
      <c r="M507" s="129"/>
      <c r="N507" s="129"/>
      <c r="O507" s="129"/>
      <c r="P507" s="129"/>
      <c r="Q507" s="129"/>
      <c r="R507" s="129"/>
      <c r="S507" s="129"/>
      <c r="T507" s="129"/>
      <c r="U507" s="129"/>
      <c r="V507" s="129"/>
      <c r="W507" s="129"/>
      <c r="X507" s="129"/>
      <c r="Y507" s="129"/>
      <c r="Z507" s="129"/>
      <c r="AA507" s="129"/>
      <c r="AB507" s="129"/>
      <c r="AC507" s="129"/>
      <c r="AD507" s="129"/>
      <c r="AE507" s="129"/>
      <c r="AF507" s="129"/>
      <c r="AG507" s="129"/>
      <c r="AH507" s="129"/>
      <c r="AI507" s="129"/>
      <c r="AJ507" s="129"/>
      <c r="AK507" s="129"/>
      <c r="AL507" s="129"/>
      <c r="AM507" s="129"/>
      <c r="AN507" s="129"/>
      <c r="AO507" s="129"/>
      <c r="AP507" s="129"/>
      <c r="AQ507" s="129"/>
    </row>
    <row r="508" spans="1:43" ht="12.75" customHeight="1">
      <c r="A508" s="129"/>
      <c r="B508" s="129"/>
      <c r="C508" s="129"/>
      <c r="D508" s="129"/>
      <c r="E508" s="129"/>
      <c r="F508" s="129"/>
      <c r="G508" s="129"/>
      <c r="H508" s="129"/>
      <c r="I508" s="129"/>
      <c r="J508" s="129"/>
      <c r="K508" s="129"/>
      <c r="L508" s="129"/>
      <c r="M508" s="129"/>
      <c r="N508" s="129"/>
      <c r="O508" s="129"/>
      <c r="P508" s="129"/>
      <c r="Q508" s="129"/>
      <c r="R508" s="129"/>
      <c r="S508" s="129"/>
      <c r="T508" s="129"/>
      <c r="U508" s="129"/>
      <c r="V508" s="129"/>
      <c r="W508" s="129"/>
      <c r="X508" s="129"/>
      <c r="Y508" s="129"/>
      <c r="Z508" s="129"/>
      <c r="AA508" s="129"/>
      <c r="AB508" s="129"/>
      <c r="AC508" s="129"/>
      <c r="AD508" s="129"/>
      <c r="AE508" s="129"/>
      <c r="AF508" s="129"/>
      <c r="AG508" s="129"/>
      <c r="AH508" s="129"/>
      <c r="AI508" s="129"/>
      <c r="AJ508" s="129"/>
      <c r="AK508" s="129"/>
      <c r="AL508" s="129"/>
      <c r="AM508" s="129"/>
      <c r="AN508" s="129"/>
      <c r="AO508" s="129"/>
      <c r="AP508" s="129"/>
      <c r="AQ508" s="129"/>
    </row>
    <row r="509" spans="1:43" ht="12.75" customHeight="1">
      <c r="A509" s="129"/>
      <c r="B509" s="129"/>
      <c r="C509" s="129"/>
      <c r="D509" s="129"/>
      <c r="E509" s="129"/>
      <c r="F509" s="129"/>
      <c r="G509" s="129"/>
      <c r="H509" s="129"/>
      <c r="I509" s="129"/>
      <c r="J509" s="129"/>
      <c r="K509" s="129"/>
      <c r="L509" s="129"/>
      <c r="M509" s="129"/>
      <c r="N509" s="129"/>
      <c r="O509" s="129"/>
      <c r="P509" s="129"/>
      <c r="Q509" s="129"/>
      <c r="R509" s="129"/>
      <c r="S509" s="129"/>
      <c r="T509" s="129"/>
      <c r="U509" s="129"/>
      <c r="V509" s="129"/>
      <c r="W509" s="129"/>
      <c r="X509" s="129"/>
      <c r="Y509" s="129"/>
      <c r="Z509" s="129"/>
      <c r="AA509" s="129"/>
      <c r="AB509" s="129"/>
      <c r="AC509" s="129"/>
      <c r="AD509" s="129"/>
      <c r="AE509" s="129"/>
      <c r="AF509" s="129"/>
      <c r="AG509" s="129"/>
      <c r="AH509" s="129"/>
      <c r="AI509" s="129"/>
      <c r="AJ509" s="129"/>
      <c r="AK509" s="129"/>
      <c r="AL509" s="129"/>
      <c r="AM509" s="129"/>
      <c r="AN509" s="129"/>
      <c r="AO509" s="129"/>
      <c r="AP509" s="129"/>
      <c r="AQ509" s="129"/>
    </row>
    <row r="510" spans="1:43" ht="12.75" customHeight="1">
      <c r="A510" s="129"/>
      <c r="B510" s="129"/>
      <c r="C510" s="129"/>
      <c r="D510" s="129"/>
      <c r="E510" s="129"/>
      <c r="F510" s="129"/>
      <c r="G510" s="129"/>
      <c r="H510" s="129"/>
      <c r="I510" s="129"/>
      <c r="J510" s="129"/>
      <c r="K510" s="129"/>
      <c r="L510" s="129"/>
      <c r="M510" s="129"/>
      <c r="N510" s="129"/>
      <c r="O510" s="129"/>
      <c r="P510" s="129"/>
      <c r="Q510" s="129"/>
      <c r="R510" s="129"/>
      <c r="S510" s="129"/>
      <c r="T510" s="129"/>
      <c r="U510" s="129"/>
      <c r="V510" s="129"/>
      <c r="W510" s="129"/>
      <c r="X510" s="129"/>
      <c r="Y510" s="129"/>
      <c r="Z510" s="129"/>
      <c r="AA510" s="129"/>
      <c r="AB510" s="129"/>
      <c r="AC510" s="129"/>
      <c r="AD510" s="129"/>
      <c r="AE510" s="129"/>
      <c r="AF510" s="129"/>
      <c r="AG510" s="129"/>
      <c r="AH510" s="129"/>
      <c r="AI510" s="129"/>
      <c r="AJ510" s="129"/>
      <c r="AK510" s="129"/>
      <c r="AL510" s="129"/>
      <c r="AM510" s="129"/>
      <c r="AN510" s="129"/>
      <c r="AO510" s="129"/>
      <c r="AP510" s="129"/>
      <c r="AQ510" s="129"/>
    </row>
    <row r="511" spans="1:43" ht="12.75" customHeight="1">
      <c r="A511" s="129"/>
      <c r="B511" s="129"/>
      <c r="C511" s="129"/>
      <c r="D511" s="129"/>
      <c r="E511" s="129"/>
      <c r="F511" s="129"/>
      <c r="G511" s="129"/>
      <c r="H511" s="129"/>
      <c r="I511" s="129"/>
      <c r="J511" s="129"/>
      <c r="K511" s="129"/>
      <c r="L511" s="129"/>
      <c r="M511" s="129"/>
      <c r="N511" s="129"/>
      <c r="O511" s="129"/>
      <c r="P511" s="129"/>
      <c r="Q511" s="129"/>
      <c r="R511" s="129"/>
      <c r="S511" s="129"/>
      <c r="T511" s="129"/>
      <c r="U511" s="129"/>
      <c r="V511" s="129"/>
      <c r="W511" s="129"/>
      <c r="X511" s="129"/>
      <c r="Y511" s="129"/>
      <c r="Z511" s="129"/>
      <c r="AA511" s="129"/>
      <c r="AB511" s="129"/>
      <c r="AC511" s="129"/>
      <c r="AD511" s="129"/>
      <c r="AE511" s="129"/>
      <c r="AF511" s="129"/>
      <c r="AG511" s="129"/>
      <c r="AH511" s="129"/>
      <c r="AI511" s="129"/>
      <c r="AJ511" s="129"/>
      <c r="AK511" s="129"/>
      <c r="AL511" s="129"/>
      <c r="AM511" s="129"/>
      <c r="AN511" s="129"/>
      <c r="AO511" s="129"/>
      <c r="AP511" s="129"/>
      <c r="AQ511" s="129"/>
    </row>
    <row r="512" spans="1:43" ht="12.75" customHeight="1">
      <c r="A512" s="129"/>
      <c r="B512" s="129"/>
      <c r="C512" s="129"/>
      <c r="D512" s="129"/>
      <c r="E512" s="129"/>
      <c r="F512" s="129"/>
      <c r="G512" s="129"/>
      <c r="H512" s="129"/>
      <c r="I512" s="129"/>
      <c r="J512" s="129"/>
      <c r="K512" s="129"/>
      <c r="L512" s="129"/>
      <c r="M512" s="129"/>
      <c r="N512" s="129"/>
      <c r="O512" s="129"/>
      <c r="P512" s="129"/>
      <c r="Q512" s="129"/>
      <c r="R512" s="129"/>
      <c r="S512" s="129"/>
      <c r="T512" s="129"/>
      <c r="U512" s="129"/>
      <c r="V512" s="129"/>
      <c r="W512" s="129"/>
      <c r="X512" s="129"/>
      <c r="Y512" s="129"/>
      <c r="Z512" s="129"/>
      <c r="AA512" s="129"/>
      <c r="AB512" s="129"/>
      <c r="AC512" s="129"/>
      <c r="AD512" s="129"/>
      <c r="AE512" s="129"/>
      <c r="AF512" s="129"/>
      <c r="AG512" s="129"/>
      <c r="AH512" s="129"/>
      <c r="AI512" s="129"/>
      <c r="AJ512" s="129"/>
      <c r="AK512" s="129"/>
      <c r="AL512" s="129"/>
      <c r="AM512" s="129"/>
      <c r="AN512" s="129"/>
      <c r="AO512" s="129"/>
      <c r="AP512" s="129"/>
      <c r="AQ512" s="129"/>
    </row>
    <row r="513" spans="1:43" ht="12.75" customHeight="1">
      <c r="A513" s="129"/>
      <c r="B513" s="129"/>
      <c r="C513" s="129"/>
      <c r="D513" s="129"/>
      <c r="E513" s="129"/>
      <c r="F513" s="129"/>
      <c r="G513" s="129"/>
      <c r="H513" s="129"/>
      <c r="I513" s="129"/>
      <c r="J513" s="129"/>
      <c r="K513" s="129"/>
      <c r="L513" s="129"/>
      <c r="M513" s="129"/>
      <c r="N513" s="129"/>
      <c r="O513" s="129"/>
      <c r="P513" s="129"/>
      <c r="Q513" s="129"/>
      <c r="R513" s="129"/>
      <c r="S513" s="129"/>
      <c r="T513" s="129"/>
      <c r="U513" s="129"/>
      <c r="V513" s="129"/>
      <c r="W513" s="129"/>
      <c r="X513" s="129"/>
      <c r="Y513" s="129"/>
      <c r="Z513" s="129"/>
      <c r="AA513" s="129"/>
      <c r="AB513" s="129"/>
      <c r="AC513" s="129"/>
      <c r="AD513" s="129"/>
      <c r="AE513" s="129"/>
      <c r="AF513" s="129"/>
      <c r="AG513" s="129"/>
      <c r="AH513" s="129"/>
      <c r="AI513" s="129"/>
      <c r="AJ513" s="129"/>
      <c r="AK513" s="129"/>
      <c r="AL513" s="129"/>
      <c r="AM513" s="129"/>
      <c r="AN513" s="129"/>
      <c r="AO513" s="129"/>
      <c r="AP513" s="129"/>
      <c r="AQ513" s="129"/>
    </row>
    <row r="514" spans="1:43" ht="12.75" customHeight="1">
      <c r="A514" s="129"/>
      <c r="B514" s="129"/>
      <c r="C514" s="129"/>
      <c r="D514" s="129"/>
      <c r="E514" s="129"/>
      <c r="F514" s="129"/>
      <c r="G514" s="129"/>
      <c r="H514" s="129"/>
      <c r="I514" s="129"/>
      <c r="J514" s="129"/>
      <c r="K514" s="129"/>
      <c r="L514" s="129"/>
      <c r="M514" s="129"/>
      <c r="N514" s="129"/>
      <c r="O514" s="129"/>
      <c r="P514" s="129"/>
      <c r="Q514" s="129"/>
      <c r="R514" s="129"/>
      <c r="S514" s="129"/>
      <c r="T514" s="129"/>
      <c r="U514" s="129"/>
      <c r="V514" s="129"/>
      <c r="W514" s="129"/>
      <c r="X514" s="129"/>
      <c r="Y514" s="129"/>
      <c r="Z514" s="129"/>
      <c r="AA514" s="129"/>
      <c r="AB514" s="129"/>
      <c r="AC514" s="129"/>
      <c r="AD514" s="129"/>
      <c r="AE514" s="129"/>
      <c r="AF514" s="129"/>
      <c r="AG514" s="129"/>
      <c r="AH514" s="129"/>
      <c r="AI514" s="129"/>
      <c r="AJ514" s="129"/>
      <c r="AK514" s="129"/>
      <c r="AL514" s="129"/>
      <c r="AM514" s="129"/>
      <c r="AN514" s="129"/>
      <c r="AO514" s="129"/>
      <c r="AP514" s="129"/>
      <c r="AQ514" s="129"/>
    </row>
    <row r="515" spans="1:43" ht="12.75" customHeight="1">
      <c r="A515" s="129"/>
      <c r="B515" s="129"/>
      <c r="C515" s="129"/>
      <c r="D515" s="129"/>
      <c r="E515" s="129"/>
      <c r="F515" s="129"/>
      <c r="G515" s="129"/>
      <c r="H515" s="129"/>
      <c r="I515" s="129"/>
      <c r="J515" s="129"/>
      <c r="K515" s="129"/>
      <c r="L515" s="129"/>
      <c r="M515" s="129"/>
      <c r="N515" s="129"/>
      <c r="O515" s="129"/>
      <c r="P515" s="129"/>
      <c r="Q515" s="129"/>
      <c r="R515" s="129"/>
      <c r="S515" s="129"/>
      <c r="T515" s="129"/>
      <c r="U515" s="129"/>
      <c r="V515" s="129"/>
      <c r="W515" s="129"/>
      <c r="X515" s="129"/>
      <c r="Y515" s="129"/>
      <c r="Z515" s="129"/>
      <c r="AA515" s="129"/>
      <c r="AB515" s="129"/>
      <c r="AC515" s="129"/>
      <c r="AD515" s="129"/>
      <c r="AE515" s="129"/>
      <c r="AF515" s="129"/>
      <c r="AG515" s="129"/>
      <c r="AH515" s="129"/>
      <c r="AI515" s="129"/>
      <c r="AJ515" s="129"/>
      <c r="AK515" s="129"/>
      <c r="AL515" s="129"/>
      <c r="AM515" s="129"/>
      <c r="AN515" s="129"/>
      <c r="AO515" s="129"/>
      <c r="AP515" s="129"/>
      <c r="AQ515" s="129"/>
    </row>
    <row r="516" spans="1:43" ht="12.75" customHeight="1">
      <c r="A516" s="129"/>
      <c r="B516" s="129"/>
      <c r="C516" s="129"/>
      <c r="D516" s="129"/>
      <c r="E516" s="129"/>
      <c r="F516" s="129"/>
      <c r="G516" s="129"/>
      <c r="H516" s="129"/>
      <c r="I516" s="129"/>
      <c r="J516" s="129"/>
      <c r="K516" s="129"/>
      <c r="L516" s="129"/>
      <c r="M516" s="129"/>
      <c r="N516" s="129"/>
      <c r="O516" s="129"/>
      <c r="P516" s="129"/>
      <c r="Q516" s="129"/>
      <c r="R516" s="129"/>
      <c r="S516" s="129"/>
      <c r="T516" s="129"/>
      <c r="U516" s="129"/>
      <c r="V516" s="129"/>
      <c r="W516" s="129"/>
      <c r="X516" s="129"/>
      <c r="Y516" s="129"/>
      <c r="Z516" s="129"/>
      <c r="AA516" s="129"/>
      <c r="AB516" s="129"/>
      <c r="AC516" s="129"/>
      <c r="AD516" s="129"/>
      <c r="AE516" s="129"/>
      <c r="AF516" s="129"/>
      <c r="AG516" s="129"/>
      <c r="AH516" s="129"/>
      <c r="AI516" s="129"/>
      <c r="AJ516" s="129"/>
      <c r="AK516" s="129"/>
      <c r="AL516" s="129"/>
      <c r="AM516" s="129"/>
      <c r="AN516" s="129"/>
      <c r="AO516" s="129"/>
      <c r="AP516" s="129"/>
      <c r="AQ516" s="129"/>
    </row>
    <row r="517" spans="1:43" ht="12.75" customHeight="1">
      <c r="A517" s="129"/>
      <c r="B517" s="129"/>
      <c r="C517" s="129"/>
      <c r="D517" s="129"/>
      <c r="E517" s="129"/>
      <c r="F517" s="129"/>
      <c r="G517" s="129"/>
      <c r="H517" s="129"/>
      <c r="I517" s="129"/>
      <c r="J517" s="129"/>
      <c r="K517" s="129"/>
      <c r="L517" s="129"/>
      <c r="M517" s="129"/>
      <c r="N517" s="129"/>
      <c r="O517" s="129"/>
      <c r="P517" s="129"/>
      <c r="Q517" s="129"/>
      <c r="R517" s="129"/>
      <c r="S517" s="129"/>
      <c r="T517" s="129"/>
      <c r="U517" s="129"/>
      <c r="V517" s="129"/>
      <c r="W517" s="129"/>
      <c r="X517" s="129"/>
      <c r="Y517" s="129"/>
      <c r="Z517" s="129"/>
      <c r="AA517" s="129"/>
      <c r="AB517" s="129"/>
      <c r="AC517" s="129"/>
      <c r="AD517" s="129"/>
      <c r="AE517" s="129"/>
      <c r="AF517" s="129"/>
      <c r="AG517" s="129"/>
      <c r="AH517" s="129"/>
      <c r="AI517" s="129"/>
      <c r="AJ517" s="129"/>
      <c r="AK517" s="129"/>
      <c r="AL517" s="129"/>
      <c r="AM517" s="129"/>
      <c r="AN517" s="129"/>
      <c r="AO517" s="129"/>
      <c r="AP517" s="129"/>
      <c r="AQ517" s="129"/>
    </row>
    <row r="518" spans="1:43" ht="12.75" customHeight="1">
      <c r="A518" s="129"/>
      <c r="B518" s="129"/>
      <c r="C518" s="129"/>
      <c r="D518" s="129"/>
      <c r="E518" s="129"/>
      <c r="F518" s="129"/>
      <c r="G518" s="129"/>
      <c r="H518" s="129"/>
      <c r="I518" s="129"/>
      <c r="J518" s="129"/>
      <c r="K518" s="129"/>
      <c r="L518" s="129"/>
      <c r="M518" s="129"/>
      <c r="N518" s="129"/>
      <c r="O518" s="129"/>
      <c r="P518" s="129"/>
      <c r="Q518" s="129"/>
      <c r="R518" s="129"/>
      <c r="S518" s="129"/>
      <c r="T518" s="129"/>
      <c r="U518" s="129"/>
      <c r="V518" s="129"/>
      <c r="W518" s="129"/>
      <c r="X518" s="129"/>
      <c r="Y518" s="129"/>
      <c r="Z518" s="129"/>
      <c r="AA518" s="129"/>
      <c r="AB518" s="129"/>
      <c r="AC518" s="129"/>
      <c r="AD518" s="129"/>
      <c r="AE518" s="129"/>
      <c r="AF518" s="129"/>
      <c r="AG518" s="129"/>
      <c r="AH518" s="129"/>
      <c r="AI518" s="129"/>
      <c r="AJ518" s="129"/>
      <c r="AK518" s="129"/>
      <c r="AL518" s="129"/>
      <c r="AM518" s="129"/>
      <c r="AN518" s="129"/>
      <c r="AO518" s="129"/>
      <c r="AP518" s="129"/>
      <c r="AQ518" s="129"/>
    </row>
    <row r="519" spans="1:43" ht="12.75" customHeight="1">
      <c r="A519" s="129"/>
      <c r="B519" s="129"/>
      <c r="C519" s="129"/>
      <c r="D519" s="129"/>
      <c r="E519" s="129"/>
      <c r="F519" s="129"/>
      <c r="G519" s="129"/>
      <c r="H519" s="129"/>
      <c r="I519" s="129"/>
      <c r="J519" s="129"/>
      <c r="K519" s="129"/>
      <c r="L519" s="129"/>
      <c r="M519" s="129"/>
      <c r="N519" s="129"/>
      <c r="O519" s="129"/>
      <c r="P519" s="129"/>
      <c r="Q519" s="129"/>
      <c r="R519" s="129"/>
      <c r="S519" s="129"/>
      <c r="T519" s="129"/>
      <c r="U519" s="129"/>
      <c r="V519" s="129"/>
      <c r="W519" s="129"/>
      <c r="X519" s="129"/>
      <c r="Y519" s="129"/>
      <c r="Z519" s="129"/>
      <c r="AA519" s="129"/>
      <c r="AB519" s="129"/>
      <c r="AC519" s="129"/>
      <c r="AD519" s="129"/>
      <c r="AE519" s="129"/>
      <c r="AF519" s="129"/>
      <c r="AG519" s="129"/>
      <c r="AH519" s="129"/>
      <c r="AI519" s="129"/>
      <c r="AJ519" s="129"/>
      <c r="AK519" s="129"/>
      <c r="AL519" s="129"/>
      <c r="AM519" s="129"/>
      <c r="AN519" s="129"/>
      <c r="AO519" s="129"/>
      <c r="AP519" s="129"/>
      <c r="AQ519" s="129"/>
    </row>
    <row r="520" spans="1:43" ht="12.75" customHeight="1">
      <c r="A520" s="129"/>
      <c r="B520" s="129"/>
      <c r="C520" s="129"/>
      <c r="D520" s="129"/>
      <c r="E520" s="129"/>
      <c r="F520" s="129"/>
      <c r="G520" s="129"/>
      <c r="H520" s="129"/>
      <c r="I520" s="129"/>
      <c r="J520" s="129"/>
      <c r="K520" s="129"/>
      <c r="L520" s="129"/>
      <c r="M520" s="129"/>
      <c r="N520" s="129"/>
      <c r="O520" s="129"/>
      <c r="P520" s="129"/>
      <c r="Q520" s="129"/>
      <c r="R520" s="129"/>
      <c r="S520" s="129"/>
      <c r="T520" s="129"/>
      <c r="U520" s="129"/>
      <c r="V520" s="129"/>
      <c r="W520" s="129"/>
      <c r="X520" s="129"/>
      <c r="Y520" s="129"/>
      <c r="Z520" s="129"/>
      <c r="AA520" s="129"/>
      <c r="AB520" s="129"/>
      <c r="AC520" s="129"/>
      <c r="AD520" s="129"/>
      <c r="AE520" s="129"/>
      <c r="AF520" s="129"/>
      <c r="AG520" s="129"/>
      <c r="AH520" s="129"/>
      <c r="AI520" s="129"/>
      <c r="AJ520" s="129"/>
      <c r="AK520" s="129"/>
      <c r="AL520" s="129"/>
      <c r="AM520" s="129"/>
      <c r="AN520" s="129"/>
      <c r="AO520" s="129"/>
      <c r="AP520" s="129"/>
      <c r="AQ520" s="129"/>
    </row>
    <row r="521" spans="1:43" ht="12.75" customHeight="1">
      <c r="A521" s="129"/>
      <c r="B521" s="129"/>
      <c r="C521" s="129"/>
      <c r="D521" s="129"/>
      <c r="E521" s="129"/>
      <c r="F521" s="129"/>
      <c r="G521" s="129"/>
      <c r="H521" s="129"/>
      <c r="I521" s="129"/>
      <c r="J521" s="129"/>
      <c r="K521" s="129"/>
      <c r="L521" s="129"/>
      <c r="M521" s="129"/>
      <c r="N521" s="129"/>
      <c r="O521" s="129"/>
      <c r="P521" s="129"/>
      <c r="Q521" s="129"/>
      <c r="R521" s="129"/>
      <c r="S521" s="129"/>
      <c r="T521" s="129"/>
      <c r="U521" s="129"/>
      <c r="V521" s="129"/>
      <c r="W521" s="129"/>
      <c r="X521" s="129"/>
      <c r="Y521" s="129"/>
      <c r="Z521" s="129"/>
      <c r="AA521" s="129"/>
      <c r="AB521" s="129"/>
      <c r="AC521" s="129"/>
      <c r="AD521" s="129"/>
      <c r="AE521" s="129"/>
      <c r="AF521" s="129"/>
      <c r="AG521" s="129"/>
      <c r="AH521" s="129"/>
      <c r="AI521" s="129"/>
      <c r="AJ521" s="129"/>
      <c r="AK521" s="129"/>
      <c r="AL521" s="129"/>
      <c r="AM521" s="129"/>
      <c r="AN521" s="129"/>
      <c r="AO521" s="129"/>
      <c r="AP521" s="129"/>
      <c r="AQ521" s="129"/>
    </row>
    <row r="522" spans="1:43" ht="12.75" customHeight="1">
      <c r="A522" s="129"/>
      <c r="B522" s="129"/>
      <c r="C522" s="129"/>
      <c r="D522" s="129"/>
      <c r="E522" s="129"/>
      <c r="F522" s="129"/>
      <c r="G522" s="129"/>
      <c r="H522" s="129"/>
      <c r="I522" s="129"/>
      <c r="J522" s="129"/>
      <c r="K522" s="129"/>
      <c r="L522" s="129"/>
      <c r="M522" s="129"/>
      <c r="N522" s="129"/>
      <c r="O522" s="129"/>
      <c r="P522" s="129"/>
      <c r="Q522" s="129"/>
      <c r="R522" s="129"/>
      <c r="S522" s="129"/>
      <c r="T522" s="129"/>
      <c r="U522" s="129"/>
      <c r="V522" s="129"/>
      <c r="W522" s="129"/>
      <c r="X522" s="129"/>
      <c r="Y522" s="129"/>
      <c r="Z522" s="129"/>
      <c r="AA522" s="129"/>
      <c r="AB522" s="129"/>
      <c r="AC522" s="129"/>
      <c r="AD522" s="129"/>
      <c r="AE522" s="129"/>
      <c r="AF522" s="129"/>
      <c r="AG522" s="129"/>
      <c r="AH522" s="129"/>
      <c r="AI522" s="129"/>
      <c r="AJ522" s="129"/>
      <c r="AK522" s="129"/>
      <c r="AL522" s="129"/>
      <c r="AM522" s="129"/>
      <c r="AN522" s="129"/>
      <c r="AO522" s="129"/>
      <c r="AP522" s="129"/>
      <c r="AQ522" s="129"/>
    </row>
    <row r="523" spans="1:43" ht="12.75" customHeight="1">
      <c r="A523" s="129"/>
      <c r="B523" s="129"/>
      <c r="C523" s="129"/>
      <c r="D523" s="129"/>
      <c r="E523" s="129"/>
      <c r="F523" s="129"/>
      <c r="G523" s="129"/>
      <c r="H523" s="129"/>
      <c r="I523" s="129"/>
      <c r="J523" s="129"/>
      <c r="K523" s="129"/>
      <c r="L523" s="129"/>
      <c r="M523" s="129"/>
      <c r="N523" s="129"/>
      <c r="O523" s="129"/>
      <c r="P523" s="129"/>
      <c r="Q523" s="129"/>
      <c r="R523" s="129"/>
      <c r="S523" s="129"/>
      <c r="T523" s="129"/>
      <c r="U523" s="129"/>
      <c r="V523" s="129"/>
      <c r="W523" s="129"/>
      <c r="X523" s="129"/>
      <c r="Y523" s="129"/>
      <c r="Z523" s="129"/>
      <c r="AA523" s="129"/>
      <c r="AB523" s="129"/>
      <c r="AC523" s="129"/>
      <c r="AD523" s="129"/>
      <c r="AE523" s="129"/>
      <c r="AF523" s="129"/>
      <c r="AG523" s="129"/>
      <c r="AH523" s="129"/>
      <c r="AI523" s="129"/>
      <c r="AJ523" s="129"/>
      <c r="AK523" s="129"/>
      <c r="AL523" s="129"/>
      <c r="AM523" s="129"/>
      <c r="AN523" s="129"/>
      <c r="AO523" s="129"/>
      <c r="AP523" s="129"/>
      <c r="AQ523" s="129"/>
    </row>
    <row r="524" spans="1:43" ht="12.75" customHeight="1">
      <c r="A524" s="129"/>
      <c r="B524" s="129"/>
      <c r="C524" s="129"/>
      <c r="D524" s="129"/>
      <c r="E524" s="129"/>
      <c r="F524" s="129"/>
      <c r="G524" s="129"/>
      <c r="H524" s="129"/>
      <c r="I524" s="129"/>
      <c r="J524" s="129"/>
      <c r="K524" s="129"/>
      <c r="L524" s="129"/>
      <c r="M524" s="129"/>
      <c r="N524" s="129"/>
      <c r="O524" s="129"/>
      <c r="P524" s="129"/>
      <c r="Q524" s="129"/>
      <c r="R524" s="129"/>
      <c r="S524" s="129"/>
      <c r="T524" s="129"/>
      <c r="U524" s="129"/>
      <c r="V524" s="129"/>
      <c r="W524" s="129"/>
      <c r="X524" s="129"/>
      <c r="Y524" s="129"/>
      <c r="Z524" s="129"/>
      <c r="AA524" s="129"/>
      <c r="AB524" s="129"/>
      <c r="AC524" s="129"/>
      <c r="AD524" s="129"/>
      <c r="AE524" s="129"/>
      <c r="AF524" s="129"/>
      <c r="AG524" s="129"/>
      <c r="AH524" s="129"/>
      <c r="AI524" s="129"/>
      <c r="AJ524" s="129"/>
      <c r="AK524" s="129"/>
      <c r="AL524" s="129"/>
      <c r="AM524" s="129"/>
      <c r="AN524" s="129"/>
      <c r="AO524" s="129"/>
      <c r="AP524" s="129"/>
      <c r="AQ524" s="129"/>
    </row>
    <row r="525" spans="1:43" ht="12.75" customHeight="1">
      <c r="A525" s="129"/>
      <c r="B525" s="129"/>
      <c r="C525" s="129"/>
      <c r="D525" s="129"/>
      <c r="E525" s="129"/>
      <c r="F525" s="129"/>
      <c r="G525" s="129"/>
      <c r="H525" s="129"/>
      <c r="I525" s="129"/>
      <c r="J525" s="129"/>
      <c r="K525" s="129"/>
      <c r="L525" s="129"/>
      <c r="M525" s="129"/>
      <c r="N525" s="129"/>
      <c r="O525" s="129"/>
      <c r="P525" s="129"/>
      <c r="Q525" s="129"/>
      <c r="R525" s="129"/>
      <c r="S525" s="129"/>
      <c r="T525" s="129"/>
      <c r="U525" s="129"/>
      <c r="V525" s="129"/>
      <c r="W525" s="129"/>
      <c r="X525" s="129"/>
      <c r="Y525" s="129"/>
      <c r="Z525" s="129"/>
      <c r="AA525" s="129"/>
      <c r="AB525" s="129"/>
      <c r="AC525" s="129"/>
      <c r="AD525" s="129"/>
      <c r="AE525" s="129"/>
      <c r="AF525" s="129"/>
      <c r="AG525" s="129"/>
      <c r="AH525" s="129"/>
      <c r="AI525" s="129"/>
      <c r="AJ525" s="129"/>
      <c r="AK525" s="129"/>
      <c r="AL525" s="129"/>
      <c r="AM525" s="129"/>
      <c r="AN525" s="129"/>
      <c r="AO525" s="129"/>
      <c r="AP525" s="129"/>
      <c r="AQ525" s="129"/>
    </row>
    <row r="526" spans="1:43" ht="12.75" customHeight="1">
      <c r="A526" s="129"/>
      <c r="B526" s="129"/>
      <c r="C526" s="129"/>
      <c r="D526" s="129"/>
      <c r="E526" s="129"/>
      <c r="F526" s="129"/>
      <c r="G526" s="129"/>
      <c r="H526" s="129"/>
      <c r="I526" s="129"/>
      <c r="J526" s="129"/>
      <c r="K526" s="129"/>
      <c r="L526" s="129"/>
      <c r="M526" s="129"/>
      <c r="N526" s="129"/>
      <c r="O526" s="129"/>
      <c r="P526" s="129"/>
      <c r="Q526" s="129"/>
      <c r="R526" s="129"/>
      <c r="S526" s="129"/>
      <c r="T526" s="129"/>
      <c r="U526" s="129"/>
      <c r="V526" s="129"/>
      <c r="W526" s="129"/>
      <c r="X526" s="129"/>
      <c r="Y526" s="129"/>
      <c r="Z526" s="129"/>
      <c r="AA526" s="129"/>
      <c r="AB526" s="129"/>
      <c r="AC526" s="129"/>
      <c r="AD526" s="129"/>
      <c r="AE526" s="129"/>
      <c r="AF526" s="129"/>
      <c r="AG526" s="129"/>
      <c r="AH526" s="129"/>
      <c r="AI526" s="129"/>
      <c r="AJ526" s="129"/>
      <c r="AK526" s="129"/>
      <c r="AL526" s="129"/>
      <c r="AM526" s="129"/>
      <c r="AN526" s="129"/>
      <c r="AO526" s="129"/>
      <c r="AP526" s="129"/>
      <c r="AQ526" s="129"/>
    </row>
    <row r="527" spans="1:43" ht="12.75" customHeight="1">
      <c r="A527" s="129"/>
      <c r="B527" s="129"/>
      <c r="C527" s="129"/>
      <c r="D527" s="129"/>
      <c r="E527" s="129"/>
      <c r="F527" s="129"/>
      <c r="G527" s="129"/>
      <c r="H527" s="129"/>
      <c r="I527" s="129"/>
      <c r="J527" s="129"/>
      <c r="K527" s="129"/>
      <c r="L527" s="129"/>
      <c r="M527" s="129"/>
      <c r="N527" s="129"/>
      <c r="O527" s="129"/>
      <c r="P527" s="129"/>
      <c r="Q527" s="129"/>
      <c r="R527" s="129"/>
      <c r="S527" s="129"/>
      <c r="T527" s="129"/>
      <c r="U527" s="129"/>
      <c r="V527" s="129"/>
      <c r="W527" s="129"/>
      <c r="X527" s="129"/>
      <c r="Y527" s="129"/>
      <c r="Z527" s="129"/>
      <c r="AA527" s="129"/>
      <c r="AB527" s="129"/>
      <c r="AC527" s="129"/>
      <c r="AD527" s="129"/>
      <c r="AE527" s="129"/>
      <c r="AF527" s="129"/>
      <c r="AG527" s="129"/>
      <c r="AH527" s="129"/>
      <c r="AI527" s="129"/>
      <c r="AJ527" s="129"/>
      <c r="AK527" s="129"/>
      <c r="AL527" s="129"/>
      <c r="AM527" s="129"/>
      <c r="AN527" s="129"/>
      <c r="AO527" s="129"/>
      <c r="AP527" s="129"/>
      <c r="AQ527" s="129"/>
    </row>
    <row r="528" spans="1:43" ht="12.75" customHeight="1">
      <c r="A528" s="129"/>
      <c r="B528" s="129"/>
      <c r="C528" s="129"/>
      <c r="D528" s="129"/>
      <c r="E528" s="129"/>
      <c r="F528" s="129"/>
      <c r="G528" s="129"/>
      <c r="H528" s="129"/>
      <c r="I528" s="129"/>
      <c r="J528" s="129"/>
      <c r="K528" s="129"/>
      <c r="L528" s="129"/>
      <c r="M528" s="129"/>
      <c r="N528" s="129"/>
      <c r="O528" s="129"/>
      <c r="P528" s="129"/>
      <c r="Q528" s="129"/>
      <c r="R528" s="129"/>
      <c r="S528" s="129"/>
      <c r="T528" s="129"/>
      <c r="U528" s="129"/>
      <c r="V528" s="129"/>
      <c r="W528" s="129"/>
      <c r="X528" s="129"/>
      <c r="Y528" s="129"/>
      <c r="Z528" s="129"/>
      <c r="AA528" s="129"/>
      <c r="AB528" s="129"/>
      <c r="AC528" s="129"/>
      <c r="AD528" s="129"/>
      <c r="AE528" s="129"/>
      <c r="AF528" s="129"/>
      <c r="AG528" s="129"/>
      <c r="AH528" s="129"/>
      <c r="AI528" s="129"/>
      <c r="AJ528" s="129"/>
      <c r="AK528" s="129"/>
      <c r="AL528" s="129"/>
      <c r="AM528" s="129"/>
      <c r="AN528" s="129"/>
      <c r="AO528" s="129"/>
      <c r="AP528" s="129"/>
      <c r="AQ528" s="129"/>
    </row>
    <row r="529" spans="1:43" ht="12.75" customHeight="1">
      <c r="A529" s="129"/>
      <c r="B529" s="129"/>
      <c r="C529" s="129"/>
      <c r="D529" s="129"/>
      <c r="E529" s="129"/>
      <c r="F529" s="129"/>
      <c r="G529" s="129"/>
      <c r="H529" s="129"/>
      <c r="I529" s="129"/>
      <c r="J529" s="129"/>
      <c r="K529" s="129"/>
      <c r="L529" s="129"/>
      <c r="M529" s="129"/>
      <c r="N529" s="129"/>
      <c r="O529" s="129"/>
      <c r="P529" s="129"/>
      <c r="Q529" s="129"/>
      <c r="R529" s="129"/>
      <c r="S529" s="129"/>
      <c r="T529" s="129"/>
      <c r="U529" s="129"/>
      <c r="V529" s="129"/>
      <c r="W529" s="129"/>
      <c r="X529" s="129"/>
      <c r="Y529" s="129"/>
      <c r="Z529" s="129"/>
      <c r="AA529" s="129"/>
      <c r="AB529" s="129"/>
      <c r="AC529" s="129"/>
      <c r="AD529" s="129"/>
      <c r="AE529" s="129"/>
      <c r="AF529" s="129"/>
      <c r="AG529" s="129"/>
      <c r="AH529" s="129"/>
      <c r="AI529" s="129"/>
      <c r="AJ529" s="129"/>
      <c r="AK529" s="129"/>
      <c r="AL529" s="129"/>
      <c r="AM529" s="129"/>
      <c r="AN529" s="129"/>
      <c r="AO529" s="129"/>
      <c r="AP529" s="129"/>
      <c r="AQ529" s="129"/>
    </row>
    <row r="530" spans="1:43" ht="12.75" customHeight="1">
      <c r="A530" s="129"/>
      <c r="B530" s="129"/>
      <c r="C530" s="129"/>
      <c r="D530" s="129"/>
      <c r="E530" s="129"/>
      <c r="F530" s="129"/>
      <c r="G530" s="129"/>
      <c r="H530" s="129"/>
      <c r="I530" s="129"/>
      <c r="J530" s="129"/>
      <c r="K530" s="129"/>
      <c r="L530" s="129"/>
      <c r="M530" s="129"/>
      <c r="N530" s="129"/>
      <c r="O530" s="129"/>
      <c r="P530" s="129"/>
      <c r="Q530" s="129"/>
      <c r="R530" s="129"/>
      <c r="S530" s="129"/>
      <c r="T530" s="129"/>
      <c r="U530" s="129"/>
      <c r="V530" s="129"/>
      <c r="W530" s="129"/>
      <c r="X530" s="129"/>
      <c r="Y530" s="129"/>
      <c r="Z530" s="129"/>
      <c r="AA530" s="129"/>
      <c r="AB530" s="129"/>
      <c r="AC530" s="129"/>
      <c r="AD530" s="129"/>
      <c r="AE530" s="129"/>
      <c r="AF530" s="129"/>
      <c r="AG530" s="129"/>
      <c r="AH530" s="129"/>
      <c r="AI530" s="129"/>
      <c r="AJ530" s="129"/>
      <c r="AK530" s="129"/>
      <c r="AL530" s="129"/>
      <c r="AM530" s="129"/>
      <c r="AN530" s="129"/>
      <c r="AO530" s="129"/>
      <c r="AP530" s="129"/>
      <c r="AQ530" s="129"/>
    </row>
    <row r="531" spans="1:43" ht="12.75" customHeight="1">
      <c r="A531" s="129"/>
      <c r="B531" s="129"/>
      <c r="C531" s="129"/>
      <c r="D531" s="129"/>
      <c r="E531" s="129"/>
      <c r="F531" s="129"/>
      <c r="G531" s="129"/>
      <c r="H531" s="129"/>
      <c r="I531" s="129"/>
      <c r="J531" s="129"/>
      <c r="K531" s="129"/>
      <c r="L531" s="129"/>
      <c r="M531" s="129"/>
      <c r="N531" s="129"/>
      <c r="O531" s="129"/>
      <c r="P531" s="129"/>
      <c r="Q531" s="129"/>
      <c r="R531" s="129"/>
      <c r="S531" s="129"/>
      <c r="T531" s="129"/>
      <c r="U531" s="129"/>
      <c r="V531" s="129"/>
      <c r="W531" s="129"/>
      <c r="X531" s="129"/>
      <c r="Y531" s="129"/>
      <c r="Z531" s="129"/>
      <c r="AA531" s="129"/>
      <c r="AB531" s="129"/>
      <c r="AC531" s="129"/>
      <c r="AD531" s="129"/>
      <c r="AE531" s="129"/>
      <c r="AF531" s="129"/>
      <c r="AG531" s="129"/>
      <c r="AH531" s="129"/>
      <c r="AI531" s="129"/>
      <c r="AJ531" s="129"/>
      <c r="AK531" s="129"/>
      <c r="AL531" s="129"/>
      <c r="AM531" s="129"/>
      <c r="AN531" s="129"/>
      <c r="AO531" s="129"/>
      <c r="AP531" s="129"/>
      <c r="AQ531" s="129"/>
    </row>
    <row r="532" spans="1:43" ht="12.75" customHeight="1">
      <c r="A532" s="129"/>
      <c r="B532" s="129"/>
      <c r="C532" s="129"/>
      <c r="D532" s="129"/>
      <c r="E532" s="129"/>
      <c r="F532" s="129"/>
      <c r="G532" s="129"/>
      <c r="H532" s="129"/>
      <c r="I532" s="129"/>
      <c r="J532" s="129"/>
      <c r="K532" s="129"/>
      <c r="L532" s="129"/>
      <c r="M532" s="129"/>
      <c r="N532" s="129"/>
      <c r="O532" s="129"/>
      <c r="P532" s="129"/>
      <c r="Q532" s="129"/>
      <c r="R532" s="129"/>
      <c r="S532" s="129"/>
      <c r="T532" s="129"/>
      <c r="U532" s="129"/>
      <c r="V532" s="129"/>
      <c r="W532" s="129"/>
      <c r="X532" s="129"/>
      <c r="Y532" s="129"/>
      <c r="Z532" s="129"/>
      <c r="AA532" s="129"/>
      <c r="AB532" s="129"/>
      <c r="AC532" s="129"/>
      <c r="AD532" s="129"/>
      <c r="AE532" s="129"/>
      <c r="AF532" s="129"/>
      <c r="AG532" s="129"/>
      <c r="AH532" s="129"/>
      <c r="AI532" s="129"/>
      <c r="AJ532" s="129"/>
      <c r="AK532" s="129"/>
      <c r="AL532" s="129"/>
      <c r="AM532" s="129"/>
      <c r="AN532" s="129"/>
      <c r="AO532" s="129"/>
      <c r="AP532" s="129"/>
      <c r="AQ532" s="129"/>
    </row>
    <row r="533" spans="1:43" ht="12.75" customHeight="1">
      <c r="A533" s="129"/>
      <c r="B533" s="129"/>
      <c r="C533" s="129"/>
      <c r="D533" s="129"/>
      <c r="E533" s="129"/>
      <c r="F533" s="129"/>
      <c r="G533" s="129"/>
      <c r="H533" s="129"/>
      <c r="I533" s="129"/>
      <c r="J533" s="129"/>
      <c r="K533" s="129"/>
      <c r="L533" s="129"/>
      <c r="M533" s="129"/>
      <c r="N533" s="129"/>
      <c r="O533" s="129"/>
      <c r="P533" s="129"/>
      <c r="Q533" s="129"/>
      <c r="R533" s="129"/>
      <c r="S533" s="129"/>
      <c r="T533" s="129"/>
      <c r="U533" s="129"/>
      <c r="V533" s="129"/>
      <c r="W533" s="129"/>
      <c r="X533" s="129"/>
      <c r="Y533" s="129"/>
      <c r="Z533" s="129"/>
      <c r="AA533" s="129"/>
      <c r="AB533" s="129"/>
      <c r="AC533" s="129"/>
      <c r="AD533" s="129"/>
      <c r="AE533" s="129"/>
      <c r="AF533" s="129"/>
      <c r="AG533" s="129"/>
      <c r="AH533" s="129"/>
      <c r="AI533" s="129"/>
      <c r="AJ533" s="129"/>
      <c r="AK533" s="129"/>
      <c r="AL533" s="129"/>
      <c r="AM533" s="129"/>
      <c r="AN533" s="129"/>
      <c r="AO533" s="129"/>
      <c r="AP533" s="129"/>
      <c r="AQ533" s="129"/>
    </row>
    <row r="534" spans="1:43" ht="12.75" customHeight="1">
      <c r="A534" s="129"/>
      <c r="B534" s="129"/>
      <c r="C534" s="129"/>
      <c r="D534" s="129"/>
      <c r="E534" s="129"/>
      <c r="F534" s="129"/>
      <c r="G534" s="129"/>
      <c r="H534" s="129"/>
      <c r="I534" s="129"/>
      <c r="J534" s="129"/>
      <c r="K534" s="129"/>
      <c r="L534" s="129"/>
      <c r="M534" s="129"/>
      <c r="N534" s="129"/>
      <c r="O534" s="129"/>
      <c r="P534" s="129"/>
      <c r="Q534" s="129"/>
      <c r="R534" s="129"/>
      <c r="S534" s="129"/>
      <c r="T534" s="129"/>
      <c r="U534" s="129"/>
      <c r="V534" s="129"/>
      <c r="W534" s="129"/>
      <c r="X534" s="129"/>
      <c r="Y534" s="129"/>
      <c r="Z534" s="129"/>
      <c r="AA534" s="129"/>
      <c r="AB534" s="129"/>
      <c r="AC534" s="129"/>
      <c r="AD534" s="129"/>
      <c r="AE534" s="129"/>
      <c r="AF534" s="129"/>
      <c r="AG534" s="129"/>
      <c r="AH534" s="129"/>
      <c r="AI534" s="129"/>
      <c r="AJ534" s="129"/>
      <c r="AK534" s="129"/>
      <c r="AL534" s="129"/>
      <c r="AM534" s="129"/>
      <c r="AN534" s="129"/>
      <c r="AO534" s="129"/>
      <c r="AP534" s="129"/>
      <c r="AQ534" s="129"/>
    </row>
    <row r="535" spans="1:43" ht="12.75" customHeight="1">
      <c r="A535" s="129"/>
      <c r="B535" s="129"/>
      <c r="C535" s="129"/>
      <c r="D535" s="129"/>
      <c r="E535" s="129"/>
      <c r="F535" s="129"/>
      <c r="G535" s="129"/>
      <c r="H535" s="129"/>
      <c r="I535" s="129"/>
      <c r="J535" s="129"/>
      <c r="K535" s="129"/>
      <c r="L535" s="129"/>
      <c r="M535" s="129"/>
      <c r="N535" s="129"/>
      <c r="O535" s="129"/>
      <c r="P535" s="129"/>
      <c r="Q535" s="129"/>
      <c r="R535" s="129"/>
      <c r="S535" s="129"/>
      <c r="T535" s="129"/>
      <c r="U535" s="129"/>
      <c r="V535" s="129"/>
      <c r="W535" s="129"/>
      <c r="X535" s="129"/>
      <c r="Y535" s="129"/>
      <c r="Z535" s="129"/>
      <c r="AA535" s="129"/>
      <c r="AB535" s="129"/>
      <c r="AC535" s="129"/>
      <c r="AD535" s="129"/>
      <c r="AE535" s="129"/>
      <c r="AF535" s="129"/>
      <c r="AG535" s="129"/>
      <c r="AH535" s="129"/>
      <c r="AI535" s="129"/>
      <c r="AJ535" s="129"/>
      <c r="AK535" s="129"/>
      <c r="AL535" s="129"/>
      <c r="AM535" s="129"/>
      <c r="AN535" s="129"/>
      <c r="AO535" s="129"/>
      <c r="AP535" s="129"/>
      <c r="AQ535" s="129"/>
    </row>
    <row r="536" spans="1:43" ht="12.75" customHeight="1">
      <c r="A536" s="129"/>
      <c r="B536" s="129"/>
      <c r="C536" s="129"/>
      <c r="D536" s="129"/>
      <c r="E536" s="129"/>
      <c r="F536" s="129"/>
      <c r="G536" s="129"/>
      <c r="H536" s="129"/>
      <c r="I536" s="129"/>
      <c r="J536" s="129"/>
      <c r="K536" s="129"/>
      <c r="L536" s="129"/>
      <c r="M536" s="129"/>
      <c r="N536" s="129"/>
      <c r="O536" s="129"/>
      <c r="P536" s="129"/>
      <c r="Q536" s="129"/>
      <c r="R536" s="129"/>
      <c r="S536" s="129"/>
      <c r="T536" s="129"/>
      <c r="U536" s="129"/>
      <c r="V536" s="129"/>
      <c r="W536" s="129"/>
      <c r="X536" s="129"/>
      <c r="Y536" s="129"/>
      <c r="Z536" s="129"/>
      <c r="AA536" s="129"/>
      <c r="AB536" s="129"/>
      <c r="AC536" s="129"/>
      <c r="AD536" s="129"/>
      <c r="AE536" s="129"/>
      <c r="AF536" s="129"/>
      <c r="AG536" s="129"/>
      <c r="AH536" s="129"/>
      <c r="AI536" s="129"/>
      <c r="AJ536" s="129"/>
      <c r="AK536" s="129"/>
      <c r="AL536" s="129"/>
      <c r="AM536" s="129"/>
      <c r="AN536" s="129"/>
      <c r="AO536" s="129"/>
      <c r="AP536" s="129"/>
      <c r="AQ536" s="129"/>
    </row>
    <row r="537" spans="1:43" ht="12.75" customHeight="1">
      <c r="A537" s="129"/>
      <c r="B537" s="129"/>
      <c r="C537" s="129"/>
      <c r="D537" s="129"/>
      <c r="E537" s="129"/>
      <c r="F537" s="129"/>
      <c r="G537" s="129"/>
      <c r="H537" s="129"/>
      <c r="I537" s="129"/>
      <c r="J537" s="129"/>
      <c r="K537" s="129"/>
      <c r="L537" s="129"/>
      <c r="M537" s="129"/>
      <c r="N537" s="129"/>
      <c r="O537" s="129"/>
      <c r="P537" s="129"/>
      <c r="Q537" s="129"/>
      <c r="R537" s="129"/>
      <c r="S537" s="129"/>
      <c r="T537" s="129"/>
      <c r="U537" s="129"/>
      <c r="V537" s="129"/>
      <c r="W537" s="129"/>
      <c r="X537" s="129"/>
      <c r="Y537" s="129"/>
      <c r="Z537" s="129"/>
      <c r="AA537" s="129"/>
      <c r="AB537" s="129"/>
      <c r="AC537" s="129"/>
      <c r="AD537" s="129"/>
      <c r="AE537" s="129"/>
      <c r="AF537" s="129"/>
      <c r="AG537" s="129"/>
      <c r="AH537" s="129"/>
      <c r="AI537" s="129"/>
      <c r="AJ537" s="129"/>
      <c r="AK537" s="129"/>
      <c r="AL537" s="129"/>
      <c r="AM537" s="129"/>
      <c r="AN537" s="129"/>
      <c r="AO537" s="129"/>
      <c r="AP537" s="129"/>
      <c r="AQ537" s="129"/>
    </row>
    <row r="538" spans="1:43" ht="12.75" customHeight="1">
      <c r="A538" s="129"/>
      <c r="B538" s="129"/>
      <c r="C538" s="129"/>
      <c r="D538" s="129"/>
      <c r="E538" s="129"/>
      <c r="F538" s="129"/>
      <c r="G538" s="129"/>
      <c r="H538" s="129"/>
      <c r="I538" s="129"/>
      <c r="J538" s="129"/>
      <c r="K538" s="129"/>
      <c r="L538" s="129"/>
      <c r="M538" s="129"/>
      <c r="N538" s="129"/>
      <c r="O538" s="129"/>
      <c r="P538" s="129"/>
      <c r="Q538" s="129"/>
      <c r="R538" s="129"/>
      <c r="S538" s="129"/>
      <c r="T538" s="129"/>
      <c r="U538" s="129"/>
      <c r="V538" s="129"/>
      <c r="W538" s="129"/>
      <c r="X538" s="129"/>
      <c r="Y538" s="129"/>
      <c r="Z538" s="129"/>
      <c r="AA538" s="129"/>
      <c r="AB538" s="129"/>
      <c r="AC538" s="129"/>
      <c r="AD538" s="129"/>
      <c r="AE538" s="129"/>
      <c r="AF538" s="129"/>
      <c r="AG538" s="129"/>
      <c r="AH538" s="129"/>
      <c r="AI538" s="129"/>
      <c r="AJ538" s="129"/>
      <c r="AK538" s="129"/>
      <c r="AL538" s="129"/>
      <c r="AM538" s="129"/>
      <c r="AN538" s="129"/>
      <c r="AO538" s="129"/>
      <c r="AP538" s="129"/>
      <c r="AQ538" s="129"/>
    </row>
    <row r="539" spans="1:43" ht="12.75" customHeight="1">
      <c r="A539" s="129"/>
      <c r="B539" s="129"/>
      <c r="C539" s="129"/>
      <c r="D539" s="129"/>
      <c r="E539" s="129"/>
      <c r="F539" s="129"/>
      <c r="G539" s="129"/>
      <c r="H539" s="129"/>
      <c r="I539" s="129"/>
      <c r="J539" s="129"/>
      <c r="K539" s="129"/>
      <c r="L539" s="129"/>
      <c r="M539" s="129"/>
      <c r="N539" s="129"/>
      <c r="O539" s="129"/>
      <c r="P539" s="129"/>
      <c r="Q539" s="129"/>
      <c r="R539" s="129"/>
      <c r="S539" s="129"/>
      <c r="T539" s="129"/>
      <c r="U539" s="129"/>
      <c r="V539" s="129"/>
      <c r="W539" s="129"/>
      <c r="X539" s="129"/>
      <c r="Y539" s="129"/>
      <c r="Z539" s="129"/>
      <c r="AA539" s="129"/>
      <c r="AB539" s="129"/>
      <c r="AC539" s="129"/>
      <c r="AD539" s="129"/>
      <c r="AE539" s="129"/>
      <c r="AF539" s="129"/>
      <c r="AG539" s="129"/>
      <c r="AH539" s="129"/>
      <c r="AI539" s="129"/>
      <c r="AJ539" s="129"/>
      <c r="AK539" s="129"/>
      <c r="AL539" s="129"/>
      <c r="AM539" s="129"/>
      <c r="AN539" s="129"/>
      <c r="AO539" s="129"/>
      <c r="AP539" s="129"/>
      <c r="AQ539" s="129"/>
    </row>
    <row r="540" spans="1:43" ht="12.75" customHeight="1">
      <c r="A540" s="129"/>
      <c r="B540" s="129"/>
      <c r="C540" s="129"/>
      <c r="D540" s="129"/>
      <c r="E540" s="129"/>
      <c r="F540" s="129"/>
      <c r="G540" s="129"/>
      <c r="H540" s="129"/>
      <c r="I540" s="129"/>
      <c r="J540" s="129"/>
      <c r="K540" s="129"/>
      <c r="L540" s="129"/>
      <c r="M540" s="129"/>
      <c r="N540" s="129"/>
      <c r="O540" s="129"/>
      <c r="P540" s="129"/>
      <c r="Q540" s="129"/>
      <c r="R540" s="129"/>
      <c r="S540" s="129"/>
      <c r="T540" s="129"/>
      <c r="U540" s="129"/>
      <c r="V540" s="129"/>
      <c r="W540" s="129"/>
      <c r="X540" s="129"/>
      <c r="Y540" s="129"/>
      <c r="Z540" s="129"/>
      <c r="AA540" s="129"/>
      <c r="AB540" s="129"/>
      <c r="AC540" s="129"/>
      <c r="AD540" s="129"/>
      <c r="AE540" s="129"/>
      <c r="AF540" s="129"/>
      <c r="AG540" s="129"/>
      <c r="AH540" s="129"/>
      <c r="AI540" s="129"/>
      <c r="AJ540" s="129"/>
      <c r="AK540" s="129"/>
      <c r="AL540" s="129"/>
      <c r="AM540" s="129"/>
      <c r="AN540" s="129"/>
      <c r="AO540" s="129"/>
      <c r="AP540" s="129"/>
      <c r="AQ540" s="129"/>
    </row>
    <row r="541" spans="1:43" ht="12.75" customHeight="1">
      <c r="A541" s="129"/>
      <c r="B541" s="129"/>
      <c r="C541" s="129"/>
      <c r="D541" s="129"/>
      <c r="E541" s="129"/>
      <c r="F541" s="129"/>
      <c r="G541" s="129"/>
      <c r="H541" s="129"/>
      <c r="I541" s="129"/>
      <c r="J541" s="129"/>
      <c r="K541" s="129"/>
      <c r="L541" s="129"/>
      <c r="M541" s="129"/>
      <c r="N541" s="129"/>
      <c r="O541" s="129"/>
      <c r="P541" s="129"/>
      <c r="Q541" s="129"/>
      <c r="R541" s="129"/>
      <c r="S541" s="129"/>
      <c r="T541" s="129"/>
      <c r="U541" s="129"/>
      <c r="V541" s="129"/>
      <c r="W541" s="129"/>
      <c r="X541" s="129"/>
      <c r="Y541" s="129"/>
      <c r="Z541" s="129"/>
      <c r="AA541" s="129"/>
      <c r="AB541" s="129"/>
      <c r="AC541" s="129"/>
      <c r="AD541" s="129"/>
      <c r="AE541" s="129"/>
      <c r="AF541" s="129"/>
      <c r="AG541" s="129"/>
      <c r="AH541" s="129"/>
      <c r="AI541" s="129"/>
      <c r="AJ541" s="129"/>
      <c r="AK541" s="129"/>
      <c r="AL541" s="129"/>
      <c r="AM541" s="129"/>
      <c r="AN541" s="129"/>
      <c r="AO541" s="129"/>
      <c r="AP541" s="129"/>
      <c r="AQ541" s="129"/>
    </row>
    <row r="542" spans="1:43" ht="12.75" customHeight="1">
      <c r="A542" s="129"/>
      <c r="B542" s="129"/>
      <c r="C542" s="129"/>
      <c r="D542" s="129"/>
      <c r="E542" s="129"/>
      <c r="F542" s="129"/>
      <c r="G542" s="129"/>
      <c r="H542" s="129"/>
      <c r="I542" s="129"/>
      <c r="J542" s="129"/>
      <c r="K542" s="129"/>
      <c r="L542" s="129"/>
      <c r="M542" s="129"/>
      <c r="N542" s="129"/>
      <c r="O542" s="129"/>
      <c r="P542" s="129"/>
      <c r="Q542" s="129"/>
      <c r="R542" s="129"/>
      <c r="S542" s="129"/>
      <c r="T542" s="129"/>
      <c r="U542" s="129"/>
      <c r="V542" s="129"/>
      <c r="W542" s="129"/>
      <c r="X542" s="129"/>
      <c r="Y542" s="129"/>
      <c r="Z542" s="129"/>
      <c r="AA542" s="129"/>
      <c r="AB542" s="129"/>
      <c r="AC542" s="129"/>
      <c r="AD542" s="129"/>
      <c r="AE542" s="129"/>
      <c r="AF542" s="129"/>
      <c r="AG542" s="129"/>
      <c r="AH542" s="129"/>
      <c r="AI542" s="129"/>
      <c r="AJ542" s="129"/>
      <c r="AK542" s="129"/>
      <c r="AL542" s="129"/>
      <c r="AM542" s="129"/>
      <c r="AN542" s="129"/>
      <c r="AO542" s="129"/>
      <c r="AP542" s="129"/>
      <c r="AQ542" s="129"/>
    </row>
    <row r="543" spans="1:43" ht="12.75" customHeight="1">
      <c r="A543" s="129"/>
      <c r="B543" s="129"/>
      <c r="C543" s="129"/>
      <c r="D543" s="129"/>
      <c r="E543" s="129"/>
      <c r="F543" s="129"/>
      <c r="G543" s="129"/>
      <c r="H543" s="129"/>
      <c r="I543" s="129"/>
      <c r="J543" s="129"/>
      <c r="K543" s="129"/>
      <c r="L543" s="129"/>
      <c r="M543" s="129"/>
      <c r="N543" s="129"/>
      <c r="O543" s="129"/>
      <c r="P543" s="129"/>
      <c r="Q543" s="129"/>
      <c r="R543" s="129"/>
      <c r="S543" s="129"/>
      <c r="T543" s="129"/>
      <c r="U543" s="129"/>
      <c r="V543" s="129"/>
      <c r="W543" s="129"/>
      <c r="X543" s="129"/>
      <c r="Y543" s="129"/>
      <c r="Z543" s="129"/>
      <c r="AA543" s="129"/>
      <c r="AB543" s="129"/>
      <c r="AC543" s="129"/>
      <c r="AD543" s="129"/>
      <c r="AE543" s="129"/>
      <c r="AF543" s="129"/>
      <c r="AG543" s="129"/>
      <c r="AH543" s="129"/>
      <c r="AI543" s="129"/>
      <c r="AJ543" s="129"/>
      <c r="AK543" s="129"/>
      <c r="AL543" s="129"/>
      <c r="AM543" s="129"/>
      <c r="AN543" s="129"/>
      <c r="AO543" s="129"/>
      <c r="AP543" s="129"/>
      <c r="AQ543" s="129"/>
    </row>
    <row r="544" spans="1:43" ht="12.75" customHeight="1">
      <c r="A544" s="129"/>
      <c r="B544" s="129"/>
      <c r="C544" s="129"/>
      <c r="D544" s="129"/>
      <c r="E544" s="129"/>
      <c r="F544" s="129"/>
      <c r="G544" s="129"/>
      <c r="H544" s="129"/>
      <c r="I544" s="129"/>
      <c r="J544" s="129"/>
      <c r="K544" s="129"/>
      <c r="L544" s="129"/>
      <c r="M544" s="129"/>
      <c r="N544" s="129"/>
      <c r="O544" s="129"/>
      <c r="P544" s="129"/>
      <c r="Q544" s="129"/>
      <c r="R544" s="129"/>
      <c r="S544" s="129"/>
      <c r="T544" s="129"/>
      <c r="U544" s="129"/>
      <c r="V544" s="129"/>
      <c r="W544" s="129"/>
      <c r="X544" s="129"/>
      <c r="Y544" s="129"/>
      <c r="Z544" s="129"/>
      <c r="AA544" s="129"/>
      <c r="AB544" s="129"/>
      <c r="AC544" s="129"/>
      <c r="AD544" s="129"/>
      <c r="AE544" s="129"/>
      <c r="AF544" s="129"/>
      <c r="AG544" s="129"/>
      <c r="AH544" s="129"/>
      <c r="AI544" s="129"/>
      <c r="AJ544" s="129"/>
      <c r="AK544" s="129"/>
      <c r="AL544" s="129"/>
      <c r="AM544" s="129"/>
      <c r="AN544" s="129"/>
      <c r="AO544" s="129"/>
      <c r="AP544" s="129"/>
      <c r="AQ544" s="129"/>
    </row>
    <row r="545" spans="1:43" ht="12.75" customHeight="1">
      <c r="A545" s="129"/>
      <c r="B545" s="129"/>
      <c r="C545" s="129"/>
      <c r="D545" s="129"/>
      <c r="E545" s="129"/>
      <c r="F545" s="129"/>
      <c r="G545" s="129"/>
      <c r="H545" s="129"/>
      <c r="I545" s="129"/>
      <c r="J545" s="129"/>
      <c r="K545" s="129"/>
      <c r="L545" s="129"/>
      <c r="M545" s="129"/>
      <c r="N545" s="129"/>
      <c r="O545" s="129"/>
      <c r="P545" s="129"/>
      <c r="Q545" s="129"/>
      <c r="R545" s="129"/>
      <c r="S545" s="129"/>
      <c r="T545" s="129"/>
      <c r="U545" s="129"/>
      <c r="V545" s="129"/>
      <c r="W545" s="129"/>
      <c r="X545" s="129"/>
      <c r="Y545" s="129"/>
      <c r="Z545" s="129"/>
      <c r="AA545" s="129"/>
      <c r="AB545" s="129"/>
      <c r="AC545" s="129"/>
      <c r="AD545" s="129"/>
      <c r="AE545" s="129"/>
      <c r="AF545" s="129"/>
      <c r="AG545" s="129"/>
      <c r="AH545" s="129"/>
      <c r="AI545" s="129"/>
      <c r="AJ545" s="129"/>
      <c r="AK545" s="129"/>
      <c r="AL545" s="129"/>
      <c r="AM545" s="129"/>
      <c r="AN545" s="129"/>
      <c r="AO545" s="129"/>
      <c r="AP545" s="129"/>
      <c r="AQ545" s="129"/>
    </row>
    <row r="546" spans="1:43" ht="12.75" customHeight="1">
      <c r="A546" s="129"/>
      <c r="B546" s="129"/>
      <c r="C546" s="129"/>
      <c r="D546" s="129"/>
      <c r="E546" s="129"/>
      <c r="F546" s="129"/>
      <c r="G546" s="129"/>
      <c r="H546" s="129"/>
      <c r="I546" s="129"/>
      <c r="J546" s="129"/>
      <c r="K546" s="129"/>
      <c r="L546" s="129"/>
      <c r="M546" s="129"/>
      <c r="N546" s="129"/>
      <c r="O546" s="129"/>
      <c r="P546" s="129"/>
      <c r="Q546" s="129"/>
      <c r="R546" s="129"/>
      <c r="S546" s="129"/>
      <c r="T546" s="129"/>
      <c r="U546" s="129"/>
      <c r="V546" s="129"/>
      <c r="W546" s="129"/>
      <c r="X546" s="129"/>
      <c r="Y546" s="129"/>
      <c r="Z546" s="129"/>
      <c r="AA546" s="129"/>
      <c r="AB546" s="129"/>
      <c r="AC546" s="129"/>
      <c r="AD546" s="129"/>
      <c r="AE546" s="129"/>
      <c r="AF546" s="129"/>
      <c r="AG546" s="129"/>
      <c r="AH546" s="129"/>
      <c r="AI546" s="129"/>
      <c r="AJ546" s="129"/>
      <c r="AK546" s="129"/>
      <c r="AL546" s="129"/>
      <c r="AM546" s="129"/>
      <c r="AN546" s="129"/>
      <c r="AO546" s="129"/>
      <c r="AP546" s="129"/>
      <c r="AQ546" s="129"/>
    </row>
    <row r="547" spans="1:43" ht="12.75" customHeight="1">
      <c r="A547" s="129"/>
      <c r="B547" s="129"/>
      <c r="C547" s="129"/>
      <c r="D547" s="129"/>
      <c r="E547" s="129"/>
      <c r="F547" s="129"/>
      <c r="G547" s="129"/>
      <c r="H547" s="129"/>
      <c r="I547" s="129"/>
      <c r="J547" s="129"/>
      <c r="K547" s="129"/>
      <c r="L547" s="129"/>
      <c r="M547" s="129"/>
      <c r="N547" s="129"/>
      <c r="O547" s="129"/>
      <c r="P547" s="129"/>
      <c r="Q547" s="129"/>
      <c r="R547" s="129"/>
      <c r="S547" s="129"/>
      <c r="T547" s="129"/>
      <c r="U547" s="129"/>
      <c r="V547" s="129"/>
      <c r="W547" s="129"/>
      <c r="X547" s="129"/>
      <c r="Y547" s="129"/>
      <c r="Z547" s="129"/>
      <c r="AA547" s="129"/>
      <c r="AB547" s="129"/>
      <c r="AC547" s="129"/>
      <c r="AD547" s="129"/>
      <c r="AE547" s="129"/>
      <c r="AF547" s="129"/>
      <c r="AG547" s="129"/>
      <c r="AH547" s="129"/>
      <c r="AI547" s="129"/>
      <c r="AJ547" s="129"/>
      <c r="AK547" s="129"/>
      <c r="AL547" s="129"/>
      <c r="AM547" s="129"/>
      <c r="AN547" s="129"/>
      <c r="AO547" s="129"/>
      <c r="AP547" s="129"/>
      <c r="AQ547" s="129"/>
    </row>
    <row r="548" spans="1:43" ht="12.75" customHeight="1">
      <c r="A548" s="129"/>
      <c r="B548" s="129"/>
      <c r="C548" s="129"/>
      <c r="D548" s="129"/>
      <c r="E548" s="129"/>
      <c r="F548" s="129"/>
      <c r="G548" s="129"/>
      <c r="H548" s="129"/>
      <c r="I548" s="129"/>
      <c r="J548" s="129"/>
      <c r="K548" s="129"/>
      <c r="L548" s="129"/>
      <c r="M548" s="129"/>
      <c r="N548" s="129"/>
      <c r="O548" s="129"/>
      <c r="P548" s="129"/>
      <c r="Q548" s="129"/>
      <c r="R548" s="129"/>
      <c r="S548" s="129"/>
      <c r="T548" s="129"/>
      <c r="U548" s="129"/>
      <c r="V548" s="129"/>
      <c r="W548" s="129"/>
      <c r="X548" s="129"/>
      <c r="Y548" s="129"/>
      <c r="Z548" s="129"/>
      <c r="AA548" s="129"/>
      <c r="AB548" s="129"/>
      <c r="AC548" s="129"/>
      <c r="AD548" s="129"/>
      <c r="AE548" s="129"/>
      <c r="AF548" s="129"/>
      <c r="AG548" s="129"/>
      <c r="AH548" s="129"/>
      <c r="AI548" s="129"/>
      <c r="AJ548" s="129"/>
      <c r="AK548" s="129"/>
      <c r="AL548" s="129"/>
      <c r="AM548" s="129"/>
      <c r="AN548" s="129"/>
      <c r="AO548" s="129"/>
      <c r="AP548" s="129"/>
      <c r="AQ548" s="129"/>
    </row>
    <row r="549" spans="1:43" ht="12.75" customHeight="1">
      <c r="A549" s="129"/>
      <c r="B549" s="129"/>
      <c r="C549" s="129"/>
      <c r="D549" s="129"/>
      <c r="E549" s="129"/>
      <c r="F549" s="129"/>
      <c r="G549" s="129"/>
      <c r="H549" s="129"/>
      <c r="I549" s="129"/>
      <c r="J549" s="129"/>
      <c r="K549" s="129"/>
      <c r="L549" s="129"/>
      <c r="M549" s="129"/>
      <c r="N549" s="129"/>
      <c r="O549" s="129"/>
      <c r="P549" s="129"/>
      <c r="Q549" s="129"/>
      <c r="R549" s="129"/>
      <c r="S549" s="129"/>
      <c r="T549" s="129"/>
      <c r="U549" s="129"/>
      <c r="V549" s="129"/>
      <c r="W549" s="129"/>
      <c r="X549" s="129"/>
      <c r="Y549" s="129"/>
      <c r="Z549" s="129"/>
      <c r="AA549" s="129"/>
      <c r="AB549" s="129"/>
      <c r="AC549" s="129"/>
      <c r="AD549" s="129"/>
      <c r="AE549" s="129"/>
      <c r="AF549" s="129"/>
      <c r="AG549" s="129"/>
      <c r="AH549" s="129"/>
      <c r="AI549" s="129"/>
      <c r="AJ549" s="129"/>
      <c r="AK549" s="129"/>
      <c r="AL549" s="129"/>
      <c r="AM549" s="129"/>
      <c r="AN549" s="129"/>
      <c r="AO549" s="129"/>
      <c r="AP549" s="129"/>
      <c r="AQ549" s="129"/>
    </row>
    <row r="550" spans="1:43" ht="12.75" customHeight="1">
      <c r="A550" s="129"/>
      <c r="B550" s="129"/>
      <c r="C550" s="129"/>
      <c r="D550" s="129"/>
      <c r="E550" s="129"/>
      <c r="F550" s="129"/>
      <c r="G550" s="129"/>
      <c r="H550" s="129"/>
      <c r="I550" s="129"/>
      <c r="J550" s="129"/>
      <c r="K550" s="129"/>
      <c r="L550" s="129"/>
      <c r="M550" s="129"/>
      <c r="N550" s="129"/>
      <c r="O550" s="129"/>
      <c r="P550" s="129"/>
      <c r="Q550" s="129"/>
      <c r="R550" s="129"/>
      <c r="S550" s="129"/>
      <c r="T550" s="129"/>
      <c r="U550" s="129"/>
      <c r="V550" s="129"/>
      <c r="W550" s="129"/>
      <c r="X550" s="129"/>
      <c r="Y550" s="129"/>
      <c r="Z550" s="129"/>
      <c r="AA550" s="129"/>
      <c r="AB550" s="129"/>
      <c r="AC550" s="129"/>
      <c r="AD550" s="129"/>
      <c r="AE550" s="129"/>
      <c r="AF550" s="129"/>
      <c r="AG550" s="129"/>
      <c r="AH550" s="129"/>
      <c r="AI550" s="129"/>
      <c r="AJ550" s="129"/>
      <c r="AK550" s="129"/>
      <c r="AL550" s="129"/>
      <c r="AM550" s="129"/>
      <c r="AN550" s="129"/>
      <c r="AO550" s="129"/>
      <c r="AP550" s="129"/>
      <c r="AQ550" s="129"/>
    </row>
    <row r="551" spans="1:43" ht="12.75" customHeight="1">
      <c r="A551" s="129"/>
      <c r="B551" s="129"/>
      <c r="C551" s="129"/>
      <c r="D551" s="129"/>
      <c r="E551" s="129"/>
      <c r="F551" s="129"/>
      <c r="G551" s="129"/>
      <c r="H551" s="129"/>
      <c r="I551" s="129"/>
      <c r="J551" s="129"/>
      <c r="K551" s="129"/>
      <c r="L551" s="129"/>
      <c r="M551" s="129"/>
      <c r="N551" s="129"/>
      <c r="O551" s="129"/>
      <c r="P551" s="129"/>
      <c r="Q551" s="129"/>
      <c r="R551" s="129"/>
      <c r="S551" s="129"/>
      <c r="T551" s="129"/>
      <c r="U551" s="129"/>
      <c r="V551" s="129"/>
      <c r="W551" s="129"/>
      <c r="X551" s="129"/>
      <c r="Y551" s="129"/>
      <c r="Z551" s="129"/>
      <c r="AA551" s="129"/>
      <c r="AB551" s="129"/>
      <c r="AC551" s="129"/>
      <c r="AD551" s="129"/>
      <c r="AE551" s="129"/>
      <c r="AF551" s="129"/>
      <c r="AG551" s="129"/>
      <c r="AH551" s="129"/>
      <c r="AI551" s="129"/>
      <c r="AJ551" s="129"/>
      <c r="AK551" s="129"/>
      <c r="AL551" s="129"/>
      <c r="AM551" s="129"/>
      <c r="AN551" s="129"/>
      <c r="AO551" s="129"/>
      <c r="AP551" s="129"/>
      <c r="AQ551" s="129"/>
    </row>
    <row r="552" spans="1:43" ht="12.75" customHeight="1">
      <c r="A552" s="129"/>
      <c r="B552" s="129"/>
      <c r="C552" s="129"/>
      <c r="D552" s="129"/>
      <c r="E552" s="129"/>
      <c r="F552" s="129"/>
      <c r="G552" s="129"/>
      <c r="H552" s="129"/>
      <c r="I552" s="129"/>
      <c r="J552" s="129"/>
      <c r="K552" s="129"/>
      <c r="L552" s="129"/>
      <c r="M552" s="129"/>
      <c r="N552" s="129"/>
      <c r="O552" s="129"/>
      <c r="P552" s="129"/>
      <c r="Q552" s="129"/>
      <c r="R552" s="129"/>
      <c r="S552" s="129"/>
      <c r="T552" s="129"/>
      <c r="U552" s="129"/>
      <c r="V552" s="129"/>
      <c r="W552" s="129"/>
      <c r="X552" s="129"/>
      <c r="Y552" s="129"/>
      <c r="Z552" s="129"/>
      <c r="AA552" s="129"/>
      <c r="AB552" s="129"/>
      <c r="AC552" s="129"/>
      <c r="AD552" s="129"/>
      <c r="AE552" s="129"/>
      <c r="AF552" s="129"/>
      <c r="AG552" s="129"/>
      <c r="AH552" s="129"/>
      <c r="AI552" s="129"/>
      <c r="AJ552" s="129"/>
      <c r="AK552" s="129"/>
      <c r="AL552" s="129"/>
      <c r="AM552" s="129"/>
      <c r="AN552" s="129"/>
      <c r="AO552" s="129"/>
      <c r="AP552" s="129"/>
      <c r="AQ552" s="129"/>
    </row>
    <row r="553" spans="1:43" ht="12.75" customHeight="1">
      <c r="A553" s="129"/>
      <c r="B553" s="129"/>
      <c r="C553" s="129"/>
      <c r="D553" s="129"/>
      <c r="E553" s="129"/>
      <c r="F553" s="129"/>
      <c r="G553" s="129"/>
      <c r="H553" s="129"/>
      <c r="I553" s="129"/>
      <c r="J553" s="129"/>
      <c r="K553" s="129"/>
      <c r="L553" s="129"/>
      <c r="M553" s="129"/>
      <c r="N553" s="129"/>
      <c r="O553" s="129"/>
      <c r="P553" s="129"/>
      <c r="Q553" s="129"/>
      <c r="R553" s="129"/>
      <c r="S553" s="129"/>
      <c r="T553" s="129"/>
      <c r="U553" s="129"/>
      <c r="V553" s="129"/>
      <c r="W553" s="129"/>
      <c r="X553" s="129"/>
      <c r="Y553" s="129"/>
      <c r="Z553" s="129"/>
      <c r="AA553" s="129"/>
      <c r="AB553" s="129"/>
      <c r="AC553" s="129"/>
      <c r="AD553" s="129"/>
      <c r="AE553" s="129"/>
      <c r="AF553" s="129"/>
      <c r="AG553" s="129"/>
      <c r="AH553" s="129"/>
      <c r="AI553" s="129"/>
      <c r="AJ553" s="129"/>
      <c r="AK553" s="129"/>
      <c r="AL553" s="129"/>
      <c r="AM553" s="129"/>
      <c r="AN553" s="129"/>
      <c r="AO553" s="129"/>
      <c r="AP553" s="129"/>
      <c r="AQ553" s="129"/>
    </row>
    <row r="554" spans="1:43" ht="12.75" customHeight="1">
      <c r="A554" s="129"/>
      <c r="B554" s="129"/>
      <c r="C554" s="129"/>
      <c r="D554" s="129"/>
      <c r="E554" s="129"/>
      <c r="F554" s="129"/>
      <c r="G554" s="129"/>
      <c r="H554" s="129"/>
      <c r="I554" s="129"/>
      <c r="J554" s="129"/>
      <c r="K554" s="129"/>
      <c r="L554" s="129"/>
      <c r="M554" s="129"/>
      <c r="N554" s="129"/>
      <c r="O554" s="129"/>
      <c r="P554" s="129"/>
      <c r="Q554" s="129"/>
      <c r="R554" s="129"/>
      <c r="S554" s="129"/>
      <c r="T554" s="129"/>
      <c r="U554" s="129"/>
      <c r="V554" s="129"/>
      <c r="W554" s="129"/>
      <c r="X554" s="129"/>
      <c r="Y554" s="129"/>
      <c r="Z554" s="129"/>
      <c r="AA554" s="129"/>
      <c r="AB554" s="129"/>
      <c r="AC554" s="129"/>
      <c r="AD554" s="129"/>
      <c r="AE554" s="129"/>
      <c r="AF554" s="129"/>
      <c r="AG554" s="129"/>
      <c r="AH554" s="129"/>
      <c r="AI554" s="129"/>
      <c r="AJ554" s="129"/>
      <c r="AK554" s="129"/>
      <c r="AL554" s="129"/>
      <c r="AM554" s="129"/>
      <c r="AN554" s="129"/>
      <c r="AO554" s="129"/>
      <c r="AP554" s="129"/>
      <c r="AQ554" s="129"/>
    </row>
    <row r="555" spans="1:43" ht="12.75" customHeight="1">
      <c r="A555" s="129"/>
      <c r="B555" s="129"/>
      <c r="C555" s="129"/>
      <c r="D555" s="129"/>
      <c r="E555" s="129"/>
      <c r="F555" s="129"/>
      <c r="G555" s="129"/>
      <c r="H555" s="129"/>
      <c r="I555" s="129"/>
      <c r="J555" s="129"/>
      <c r="K555" s="129"/>
      <c r="L555" s="129"/>
      <c r="M555" s="129"/>
      <c r="N555" s="129"/>
      <c r="O555" s="129"/>
      <c r="P555" s="129"/>
      <c r="Q555" s="129"/>
      <c r="R555" s="129"/>
      <c r="S555" s="129"/>
      <c r="T555" s="129"/>
      <c r="U555" s="129"/>
      <c r="V555" s="129"/>
      <c r="W555" s="129"/>
      <c r="X555" s="129"/>
      <c r="Y555" s="129"/>
      <c r="Z555" s="129"/>
      <c r="AA555" s="129"/>
      <c r="AB555" s="129"/>
      <c r="AC555" s="129"/>
      <c r="AD555" s="129"/>
      <c r="AE555" s="129"/>
      <c r="AF555" s="129"/>
      <c r="AG555" s="129"/>
      <c r="AH555" s="129"/>
      <c r="AI555" s="129"/>
      <c r="AJ555" s="129"/>
      <c r="AK555" s="129"/>
      <c r="AL555" s="129"/>
      <c r="AM555" s="129"/>
      <c r="AN555" s="129"/>
      <c r="AO555" s="129"/>
      <c r="AP555" s="129"/>
      <c r="AQ555" s="129"/>
    </row>
    <row r="556" spans="1:43" ht="12.75" customHeight="1">
      <c r="A556" s="129"/>
      <c r="B556" s="129"/>
      <c r="C556" s="129"/>
      <c r="D556" s="129"/>
      <c r="E556" s="129"/>
      <c r="F556" s="129"/>
      <c r="G556" s="129"/>
      <c r="H556" s="129"/>
      <c r="I556" s="129"/>
      <c r="J556" s="129"/>
      <c r="K556" s="129"/>
      <c r="L556" s="129"/>
      <c r="M556" s="129"/>
      <c r="N556" s="129"/>
      <c r="O556" s="129"/>
      <c r="P556" s="129"/>
      <c r="Q556" s="129"/>
      <c r="R556" s="129"/>
      <c r="S556" s="129"/>
      <c r="T556" s="129"/>
      <c r="U556" s="129"/>
      <c r="V556" s="129"/>
      <c r="W556" s="129"/>
      <c r="X556" s="129"/>
      <c r="Y556" s="129"/>
      <c r="Z556" s="129"/>
      <c r="AA556" s="129"/>
      <c r="AB556" s="129"/>
      <c r="AC556" s="129"/>
      <c r="AD556" s="129"/>
      <c r="AE556" s="129"/>
      <c r="AF556" s="129"/>
      <c r="AG556" s="129"/>
      <c r="AH556" s="129"/>
      <c r="AI556" s="129"/>
      <c r="AJ556" s="129"/>
      <c r="AK556" s="129"/>
      <c r="AL556" s="129"/>
      <c r="AM556" s="129"/>
      <c r="AN556" s="129"/>
      <c r="AO556" s="129"/>
      <c r="AP556" s="129"/>
      <c r="AQ556" s="129"/>
    </row>
    <row r="557" spans="1:43" ht="12.75" customHeight="1">
      <c r="A557" s="129"/>
      <c r="B557" s="129"/>
      <c r="C557" s="129"/>
      <c r="D557" s="129"/>
      <c r="E557" s="129"/>
      <c r="F557" s="129"/>
      <c r="G557" s="129"/>
      <c r="H557" s="129"/>
      <c r="I557" s="129"/>
      <c r="J557" s="129"/>
      <c r="K557" s="129"/>
      <c r="L557" s="129"/>
      <c r="M557" s="129"/>
      <c r="N557" s="129"/>
      <c r="O557" s="129"/>
      <c r="P557" s="129"/>
      <c r="Q557" s="129"/>
      <c r="R557" s="129"/>
      <c r="S557" s="129"/>
      <c r="T557" s="129"/>
      <c r="U557" s="129"/>
      <c r="V557" s="129"/>
      <c r="W557" s="129"/>
      <c r="X557" s="129"/>
      <c r="Y557" s="129"/>
      <c r="Z557" s="129"/>
      <c r="AA557" s="129"/>
      <c r="AB557" s="129"/>
      <c r="AC557" s="129"/>
      <c r="AD557" s="129"/>
      <c r="AE557" s="129"/>
      <c r="AF557" s="129"/>
      <c r="AG557" s="129"/>
      <c r="AH557" s="129"/>
      <c r="AI557" s="129"/>
      <c r="AJ557" s="129"/>
      <c r="AK557" s="129"/>
      <c r="AL557" s="129"/>
      <c r="AM557" s="129"/>
      <c r="AN557" s="129"/>
      <c r="AO557" s="129"/>
      <c r="AP557" s="129"/>
      <c r="AQ557" s="129"/>
    </row>
    <row r="558" spans="1:43" ht="12.75" customHeight="1">
      <c r="A558" s="129"/>
      <c r="B558" s="129"/>
      <c r="C558" s="129"/>
      <c r="D558" s="129"/>
      <c r="E558" s="129"/>
      <c r="F558" s="129"/>
      <c r="G558" s="129"/>
      <c r="H558" s="129"/>
      <c r="I558" s="129"/>
      <c r="J558" s="129"/>
      <c r="K558" s="129"/>
      <c r="L558" s="129"/>
      <c r="M558" s="129"/>
      <c r="N558" s="129"/>
      <c r="O558" s="129"/>
      <c r="P558" s="129"/>
      <c r="Q558" s="129"/>
      <c r="R558" s="129"/>
      <c r="S558" s="129"/>
      <c r="T558" s="129"/>
      <c r="U558" s="129"/>
      <c r="V558" s="129"/>
      <c r="W558" s="129"/>
      <c r="X558" s="129"/>
      <c r="Y558" s="129"/>
      <c r="Z558" s="129"/>
      <c r="AA558" s="129"/>
      <c r="AB558" s="129"/>
      <c r="AC558" s="129"/>
      <c r="AD558" s="129"/>
      <c r="AE558" s="129"/>
      <c r="AF558" s="129"/>
      <c r="AG558" s="129"/>
      <c r="AH558" s="129"/>
      <c r="AI558" s="129"/>
      <c r="AJ558" s="129"/>
      <c r="AK558" s="129"/>
      <c r="AL558" s="129"/>
      <c r="AM558" s="129"/>
      <c r="AN558" s="129"/>
      <c r="AO558" s="129"/>
      <c r="AP558" s="129"/>
      <c r="AQ558" s="129"/>
    </row>
    <row r="559" spans="1:43" ht="12.75" customHeight="1">
      <c r="A559" s="129"/>
      <c r="B559" s="129"/>
      <c r="C559" s="129"/>
      <c r="D559" s="129"/>
      <c r="E559" s="129"/>
      <c r="F559" s="129"/>
      <c r="G559" s="129"/>
      <c r="H559" s="129"/>
      <c r="I559" s="129"/>
      <c r="J559" s="129"/>
      <c r="K559" s="129"/>
      <c r="L559" s="129"/>
      <c r="M559" s="129"/>
      <c r="N559" s="129"/>
      <c r="O559" s="129"/>
      <c r="P559" s="129"/>
      <c r="Q559" s="129"/>
      <c r="R559" s="129"/>
      <c r="S559" s="129"/>
      <c r="T559" s="129"/>
      <c r="U559" s="129"/>
      <c r="V559" s="129"/>
      <c r="W559" s="129"/>
      <c r="X559" s="129"/>
      <c r="Y559" s="129"/>
      <c r="Z559" s="129"/>
      <c r="AA559" s="129"/>
      <c r="AB559" s="129"/>
      <c r="AC559" s="129"/>
      <c r="AD559" s="129"/>
      <c r="AE559" s="129"/>
      <c r="AF559" s="129"/>
      <c r="AG559" s="129"/>
      <c r="AH559" s="129"/>
      <c r="AI559" s="129"/>
      <c r="AJ559" s="129"/>
      <c r="AK559" s="129"/>
      <c r="AL559" s="129"/>
      <c r="AM559" s="129"/>
      <c r="AN559" s="129"/>
      <c r="AO559" s="129"/>
      <c r="AP559" s="129"/>
      <c r="AQ559" s="129"/>
    </row>
    <row r="560" spans="1:43" ht="12.75" customHeight="1">
      <c r="A560" s="129"/>
      <c r="B560" s="129"/>
      <c r="C560" s="129"/>
      <c r="D560" s="129"/>
      <c r="E560" s="129"/>
      <c r="F560" s="129"/>
      <c r="G560" s="129"/>
      <c r="H560" s="129"/>
      <c r="I560" s="129"/>
      <c r="J560" s="129"/>
      <c r="K560" s="129"/>
      <c r="L560" s="129"/>
      <c r="M560" s="129"/>
      <c r="N560" s="129"/>
      <c r="O560" s="129"/>
      <c r="P560" s="129"/>
      <c r="Q560" s="129"/>
      <c r="R560" s="129"/>
      <c r="S560" s="129"/>
      <c r="T560" s="129"/>
      <c r="U560" s="129"/>
      <c r="V560" s="129"/>
      <c r="W560" s="129"/>
      <c r="X560" s="129"/>
      <c r="Y560" s="129"/>
      <c r="Z560" s="129"/>
      <c r="AA560" s="129"/>
      <c r="AB560" s="129"/>
      <c r="AC560" s="129"/>
      <c r="AD560" s="129"/>
      <c r="AE560" s="129"/>
      <c r="AF560" s="129"/>
      <c r="AG560" s="129"/>
      <c r="AH560" s="129"/>
      <c r="AI560" s="129"/>
      <c r="AJ560" s="129"/>
      <c r="AK560" s="129"/>
      <c r="AL560" s="129"/>
      <c r="AM560" s="129"/>
      <c r="AN560" s="129"/>
      <c r="AO560" s="129"/>
      <c r="AP560" s="129"/>
      <c r="AQ560" s="129"/>
    </row>
    <row r="561" spans="1:43" ht="12.75" customHeight="1">
      <c r="A561" s="129"/>
      <c r="B561" s="129"/>
      <c r="C561" s="129"/>
      <c r="D561" s="129"/>
      <c r="E561" s="129"/>
      <c r="F561" s="129"/>
      <c r="G561" s="129"/>
      <c r="H561" s="129"/>
      <c r="I561" s="129"/>
      <c r="J561" s="129"/>
      <c r="K561" s="129"/>
      <c r="L561" s="129"/>
      <c r="M561" s="129"/>
      <c r="N561" s="129"/>
      <c r="O561" s="129"/>
      <c r="P561" s="129"/>
      <c r="Q561" s="129"/>
      <c r="R561" s="129"/>
      <c r="S561" s="129"/>
      <c r="T561" s="129"/>
      <c r="U561" s="129"/>
      <c r="V561" s="129"/>
      <c r="W561" s="129"/>
      <c r="X561" s="129"/>
      <c r="Y561" s="129"/>
      <c r="Z561" s="129"/>
      <c r="AA561" s="129"/>
      <c r="AB561" s="129"/>
      <c r="AC561" s="129"/>
      <c r="AD561" s="129"/>
      <c r="AE561" s="129"/>
      <c r="AF561" s="129"/>
      <c r="AG561" s="129"/>
      <c r="AH561" s="129"/>
      <c r="AI561" s="129"/>
      <c r="AJ561" s="129"/>
      <c r="AK561" s="129"/>
      <c r="AL561" s="129"/>
      <c r="AM561" s="129"/>
      <c r="AN561" s="129"/>
      <c r="AO561" s="129"/>
      <c r="AP561" s="129"/>
      <c r="AQ561" s="129"/>
    </row>
    <row r="562" spans="1:43" ht="12.75" customHeight="1">
      <c r="A562" s="129"/>
      <c r="B562" s="129"/>
      <c r="C562" s="129"/>
      <c r="D562" s="129"/>
      <c r="E562" s="129"/>
      <c r="F562" s="129"/>
      <c r="G562" s="129"/>
      <c r="H562" s="129"/>
      <c r="I562" s="129"/>
      <c r="J562" s="129"/>
      <c r="K562" s="129"/>
      <c r="L562" s="129"/>
      <c r="M562" s="129"/>
      <c r="N562" s="129"/>
      <c r="O562" s="129"/>
      <c r="P562" s="129"/>
      <c r="Q562" s="129"/>
      <c r="R562" s="129"/>
      <c r="S562" s="129"/>
      <c r="T562" s="129"/>
      <c r="U562" s="129"/>
      <c r="V562" s="129"/>
      <c r="W562" s="129"/>
      <c r="X562" s="129"/>
      <c r="Y562" s="129"/>
      <c r="Z562" s="129"/>
      <c r="AA562" s="129"/>
      <c r="AB562" s="129"/>
      <c r="AC562" s="129"/>
      <c r="AD562" s="129"/>
      <c r="AE562" s="129"/>
      <c r="AF562" s="129"/>
      <c r="AG562" s="129"/>
      <c r="AH562" s="129"/>
      <c r="AI562" s="129"/>
      <c r="AJ562" s="129"/>
      <c r="AK562" s="129"/>
      <c r="AL562" s="129"/>
      <c r="AM562" s="129"/>
      <c r="AN562" s="129"/>
      <c r="AO562" s="129"/>
      <c r="AP562" s="129"/>
      <c r="AQ562" s="129"/>
    </row>
    <row r="563" spans="1:43" ht="12.75" customHeight="1">
      <c r="A563" s="129"/>
      <c r="B563" s="129"/>
      <c r="C563" s="129"/>
      <c r="D563" s="129"/>
      <c r="E563" s="129"/>
      <c r="F563" s="129"/>
      <c r="G563" s="129"/>
      <c r="H563" s="129"/>
      <c r="I563" s="129"/>
      <c r="J563" s="129"/>
      <c r="K563" s="129"/>
      <c r="L563" s="129"/>
      <c r="M563" s="129"/>
      <c r="N563" s="129"/>
      <c r="O563" s="129"/>
      <c r="P563" s="129"/>
      <c r="Q563" s="129"/>
      <c r="R563" s="129"/>
      <c r="S563" s="129"/>
      <c r="T563" s="129"/>
      <c r="U563" s="129"/>
      <c r="V563" s="129"/>
      <c r="W563" s="129"/>
      <c r="X563" s="129"/>
      <c r="Y563" s="129"/>
      <c r="Z563" s="129"/>
      <c r="AA563" s="129"/>
      <c r="AB563" s="129"/>
      <c r="AC563" s="129"/>
      <c r="AD563" s="129"/>
      <c r="AE563" s="129"/>
      <c r="AF563" s="129"/>
      <c r="AG563" s="129"/>
      <c r="AH563" s="129"/>
      <c r="AI563" s="129"/>
      <c r="AJ563" s="129"/>
      <c r="AK563" s="129"/>
      <c r="AL563" s="129"/>
      <c r="AM563" s="129"/>
      <c r="AN563" s="129"/>
      <c r="AO563" s="129"/>
      <c r="AP563" s="129"/>
      <c r="AQ563" s="129"/>
    </row>
    <row r="564" spans="1:43" ht="12.75" customHeight="1">
      <c r="A564" s="129"/>
      <c r="B564" s="129"/>
      <c r="C564" s="129"/>
      <c r="D564" s="129"/>
      <c r="E564" s="129"/>
      <c r="F564" s="129"/>
      <c r="G564" s="129"/>
      <c r="H564" s="129"/>
      <c r="I564" s="129"/>
      <c r="J564" s="129"/>
      <c r="K564" s="129"/>
      <c r="L564" s="129"/>
      <c r="M564" s="129"/>
      <c r="N564" s="129"/>
      <c r="O564" s="129"/>
      <c r="P564" s="129"/>
      <c r="Q564" s="129"/>
      <c r="R564" s="129"/>
      <c r="S564" s="129"/>
      <c r="T564" s="129"/>
      <c r="U564" s="129"/>
      <c r="V564" s="129"/>
      <c r="W564" s="129"/>
      <c r="X564" s="129"/>
      <c r="Y564" s="129"/>
      <c r="Z564" s="129"/>
      <c r="AA564" s="129"/>
      <c r="AB564" s="129"/>
      <c r="AC564" s="129"/>
      <c r="AD564" s="129"/>
      <c r="AE564" s="129"/>
      <c r="AF564" s="129"/>
      <c r="AG564" s="129"/>
      <c r="AH564" s="129"/>
      <c r="AI564" s="129"/>
      <c r="AJ564" s="129"/>
      <c r="AK564" s="129"/>
      <c r="AL564" s="129"/>
      <c r="AM564" s="129"/>
      <c r="AN564" s="129"/>
      <c r="AO564" s="129"/>
      <c r="AP564" s="129"/>
      <c r="AQ564" s="129"/>
    </row>
    <row r="565" spans="1:43" ht="12.75" customHeight="1">
      <c r="A565" s="129"/>
      <c r="B565" s="129"/>
      <c r="C565" s="129"/>
      <c r="D565" s="129"/>
      <c r="E565" s="129"/>
      <c r="F565" s="129"/>
      <c r="G565" s="129"/>
      <c r="H565" s="129"/>
      <c r="I565" s="129"/>
      <c r="J565" s="129"/>
      <c r="K565" s="129"/>
      <c r="L565" s="129"/>
      <c r="M565" s="129"/>
      <c r="N565" s="129"/>
      <c r="O565" s="129"/>
      <c r="P565" s="129"/>
      <c r="Q565" s="129"/>
      <c r="R565" s="129"/>
      <c r="S565" s="129"/>
      <c r="T565" s="129"/>
      <c r="U565" s="129"/>
      <c r="V565" s="129"/>
      <c r="W565" s="129"/>
      <c r="X565" s="129"/>
      <c r="Y565" s="129"/>
      <c r="Z565" s="129"/>
      <c r="AA565" s="129"/>
      <c r="AB565" s="129"/>
      <c r="AC565" s="129"/>
      <c r="AD565" s="129"/>
      <c r="AE565" s="129"/>
      <c r="AF565" s="129"/>
      <c r="AG565" s="129"/>
      <c r="AH565" s="129"/>
      <c r="AI565" s="129"/>
      <c r="AJ565" s="129"/>
      <c r="AK565" s="129"/>
      <c r="AL565" s="129"/>
      <c r="AM565" s="129"/>
      <c r="AN565" s="129"/>
      <c r="AO565" s="129"/>
      <c r="AP565" s="129"/>
      <c r="AQ565" s="129"/>
    </row>
    <row r="566" spans="1:43" ht="12.75" customHeight="1">
      <c r="A566" s="129"/>
      <c r="B566" s="129"/>
      <c r="C566" s="129"/>
      <c r="D566" s="129"/>
      <c r="E566" s="129"/>
      <c r="F566" s="129"/>
      <c r="G566" s="129"/>
      <c r="H566" s="129"/>
      <c r="I566" s="129"/>
      <c r="J566" s="129"/>
      <c r="K566" s="129"/>
      <c r="L566" s="129"/>
      <c r="M566" s="129"/>
      <c r="N566" s="129"/>
      <c r="O566" s="129"/>
      <c r="P566" s="129"/>
      <c r="Q566" s="129"/>
      <c r="R566" s="129"/>
      <c r="S566" s="129"/>
      <c r="T566" s="129"/>
      <c r="U566" s="129"/>
      <c r="V566" s="129"/>
      <c r="W566" s="129"/>
      <c r="X566" s="129"/>
      <c r="Y566" s="129"/>
      <c r="Z566" s="129"/>
      <c r="AA566" s="129"/>
      <c r="AB566" s="129"/>
      <c r="AC566" s="129"/>
      <c r="AD566" s="129"/>
      <c r="AE566" s="129"/>
      <c r="AF566" s="129"/>
      <c r="AG566" s="129"/>
      <c r="AH566" s="129"/>
      <c r="AI566" s="129"/>
      <c r="AJ566" s="129"/>
      <c r="AK566" s="129"/>
      <c r="AL566" s="129"/>
      <c r="AM566" s="129"/>
      <c r="AN566" s="129"/>
      <c r="AO566" s="129"/>
      <c r="AP566" s="129"/>
      <c r="AQ566" s="129"/>
    </row>
    <row r="567" spans="1:43" ht="12.75" customHeight="1">
      <c r="A567" s="129"/>
      <c r="B567" s="129"/>
      <c r="C567" s="129"/>
      <c r="D567" s="129"/>
      <c r="E567" s="129"/>
      <c r="F567" s="129"/>
      <c r="G567" s="129"/>
      <c r="H567" s="129"/>
      <c r="I567" s="129"/>
      <c r="J567" s="129"/>
      <c r="K567" s="129"/>
      <c r="L567" s="129"/>
      <c r="M567" s="129"/>
      <c r="N567" s="129"/>
      <c r="O567" s="129"/>
      <c r="P567" s="129"/>
      <c r="Q567" s="129"/>
      <c r="R567" s="129"/>
      <c r="S567" s="129"/>
      <c r="T567" s="129"/>
      <c r="U567" s="129"/>
      <c r="V567" s="129"/>
      <c r="W567" s="129"/>
      <c r="X567" s="129"/>
      <c r="Y567" s="129"/>
      <c r="Z567" s="129"/>
      <c r="AA567" s="129"/>
      <c r="AB567" s="129"/>
      <c r="AC567" s="129"/>
      <c r="AD567" s="129"/>
      <c r="AE567" s="129"/>
      <c r="AF567" s="129"/>
      <c r="AG567" s="129"/>
      <c r="AH567" s="129"/>
      <c r="AI567" s="129"/>
      <c r="AJ567" s="129"/>
      <c r="AK567" s="129"/>
      <c r="AL567" s="129"/>
      <c r="AM567" s="129"/>
      <c r="AN567" s="129"/>
      <c r="AO567" s="129"/>
      <c r="AP567" s="129"/>
      <c r="AQ567" s="129"/>
    </row>
    <row r="568" spans="1:43" ht="12.75" customHeight="1">
      <c r="A568" s="129"/>
      <c r="B568" s="129"/>
      <c r="C568" s="129"/>
      <c r="D568" s="129"/>
      <c r="E568" s="129"/>
      <c r="F568" s="129"/>
      <c r="G568" s="129"/>
      <c r="H568" s="129"/>
      <c r="I568" s="129"/>
      <c r="J568" s="129"/>
      <c r="K568" s="129"/>
      <c r="L568" s="129"/>
      <c r="M568" s="129"/>
      <c r="N568" s="129"/>
      <c r="O568" s="129"/>
      <c r="P568" s="129"/>
      <c r="Q568" s="129"/>
      <c r="R568" s="129"/>
      <c r="S568" s="129"/>
      <c r="T568" s="129"/>
      <c r="U568" s="129"/>
      <c r="V568" s="129"/>
      <c r="W568" s="129"/>
      <c r="X568" s="129"/>
      <c r="Y568" s="129"/>
      <c r="Z568" s="129"/>
      <c r="AA568" s="129"/>
      <c r="AB568" s="129"/>
      <c r="AC568" s="129"/>
      <c r="AD568" s="129"/>
      <c r="AE568" s="129"/>
      <c r="AF568" s="129"/>
      <c r="AG568" s="129"/>
      <c r="AH568" s="129"/>
      <c r="AI568" s="129"/>
      <c r="AJ568" s="129"/>
      <c r="AK568" s="129"/>
      <c r="AL568" s="129"/>
      <c r="AM568" s="129"/>
      <c r="AN568" s="129"/>
      <c r="AO568" s="129"/>
      <c r="AP568" s="129"/>
      <c r="AQ568" s="129"/>
    </row>
    <row r="569" spans="1:43" ht="12.75" customHeight="1">
      <c r="A569" s="129"/>
      <c r="B569" s="129"/>
      <c r="C569" s="129"/>
      <c r="D569" s="129"/>
      <c r="E569" s="129"/>
      <c r="F569" s="129"/>
      <c r="G569" s="129"/>
      <c r="H569" s="129"/>
      <c r="I569" s="129"/>
      <c r="J569" s="129"/>
      <c r="K569" s="129"/>
      <c r="L569" s="129"/>
      <c r="M569" s="129"/>
      <c r="N569" s="129"/>
      <c r="O569" s="129"/>
      <c r="P569" s="129"/>
      <c r="Q569" s="129"/>
      <c r="R569" s="129"/>
      <c r="S569" s="129"/>
      <c r="T569" s="129"/>
      <c r="U569" s="129"/>
      <c r="V569" s="129"/>
      <c r="W569" s="129"/>
      <c r="X569" s="129"/>
      <c r="Y569" s="129"/>
      <c r="Z569" s="129"/>
      <c r="AA569" s="129"/>
      <c r="AB569" s="129"/>
      <c r="AC569" s="129"/>
      <c r="AD569" s="129"/>
      <c r="AE569" s="129"/>
      <c r="AF569" s="129"/>
      <c r="AG569" s="129"/>
      <c r="AH569" s="129"/>
      <c r="AI569" s="129"/>
      <c r="AJ569" s="129"/>
      <c r="AK569" s="129"/>
      <c r="AL569" s="129"/>
      <c r="AM569" s="129"/>
      <c r="AN569" s="129"/>
      <c r="AO569" s="129"/>
      <c r="AP569" s="129"/>
      <c r="AQ569" s="129"/>
    </row>
    <row r="570" spans="1:43" ht="12.75" customHeight="1">
      <c r="A570" s="129"/>
      <c r="B570" s="129"/>
      <c r="C570" s="129"/>
      <c r="D570" s="129"/>
      <c r="E570" s="129"/>
      <c r="F570" s="129"/>
      <c r="G570" s="129"/>
      <c r="H570" s="129"/>
      <c r="I570" s="129"/>
      <c r="J570" s="129"/>
      <c r="K570" s="129"/>
      <c r="L570" s="129"/>
      <c r="M570" s="129"/>
      <c r="N570" s="129"/>
      <c r="O570" s="129"/>
      <c r="P570" s="129"/>
      <c r="Q570" s="129"/>
      <c r="R570" s="129"/>
      <c r="S570" s="129"/>
      <c r="T570" s="129"/>
      <c r="U570" s="129"/>
      <c r="V570" s="129"/>
      <c r="W570" s="129"/>
      <c r="X570" s="129"/>
      <c r="Y570" s="129"/>
      <c r="Z570" s="129"/>
      <c r="AA570" s="129"/>
      <c r="AB570" s="129"/>
      <c r="AC570" s="129"/>
      <c r="AD570" s="129"/>
      <c r="AE570" s="129"/>
      <c r="AF570" s="129"/>
      <c r="AG570" s="129"/>
      <c r="AH570" s="129"/>
      <c r="AI570" s="129"/>
      <c r="AJ570" s="129"/>
      <c r="AK570" s="129"/>
      <c r="AL570" s="129"/>
      <c r="AM570" s="129"/>
      <c r="AN570" s="129"/>
      <c r="AO570" s="129"/>
      <c r="AP570" s="129"/>
      <c r="AQ570" s="129"/>
    </row>
    <row r="571" spans="1:43" ht="12.75" customHeight="1">
      <c r="A571" s="129"/>
      <c r="B571" s="129"/>
      <c r="C571" s="129"/>
      <c r="D571" s="129"/>
      <c r="E571" s="129"/>
      <c r="F571" s="129"/>
      <c r="G571" s="129"/>
      <c r="H571" s="129"/>
      <c r="I571" s="129"/>
      <c r="J571" s="129"/>
      <c r="K571" s="129"/>
      <c r="L571" s="129"/>
      <c r="M571" s="129"/>
      <c r="N571" s="129"/>
      <c r="O571" s="129"/>
      <c r="P571" s="129"/>
      <c r="Q571" s="129"/>
      <c r="R571" s="129"/>
      <c r="S571" s="129"/>
      <c r="T571" s="129"/>
      <c r="U571" s="129"/>
      <c r="V571" s="129"/>
      <c r="W571" s="129"/>
      <c r="X571" s="129"/>
      <c r="Y571" s="129"/>
      <c r="Z571" s="129"/>
      <c r="AA571" s="129"/>
      <c r="AB571" s="129"/>
      <c r="AC571" s="129"/>
      <c r="AD571" s="129"/>
      <c r="AE571" s="129"/>
      <c r="AF571" s="129"/>
      <c r="AG571" s="129"/>
      <c r="AH571" s="129"/>
      <c r="AI571" s="129"/>
      <c r="AJ571" s="129"/>
      <c r="AK571" s="129"/>
      <c r="AL571" s="129"/>
      <c r="AM571" s="129"/>
      <c r="AN571" s="129"/>
      <c r="AO571" s="129"/>
      <c r="AP571" s="129"/>
      <c r="AQ571" s="129"/>
    </row>
    <row r="572" spans="1:43" ht="12.75" customHeight="1">
      <c r="A572" s="129"/>
      <c r="B572" s="129"/>
      <c r="C572" s="129"/>
      <c r="D572" s="129"/>
      <c r="E572" s="129"/>
      <c r="F572" s="129"/>
      <c r="G572" s="129"/>
      <c r="H572" s="129"/>
      <c r="I572" s="129"/>
      <c r="J572" s="129"/>
      <c r="K572" s="129"/>
      <c r="L572" s="129"/>
      <c r="M572" s="129"/>
      <c r="N572" s="129"/>
      <c r="O572" s="129"/>
      <c r="P572" s="129"/>
      <c r="Q572" s="129"/>
      <c r="R572" s="129"/>
      <c r="S572" s="129"/>
      <c r="T572" s="129"/>
      <c r="U572" s="129"/>
      <c r="V572" s="129"/>
      <c r="W572" s="129"/>
      <c r="X572" s="129"/>
      <c r="Y572" s="129"/>
      <c r="Z572" s="129"/>
      <c r="AA572" s="129"/>
      <c r="AB572" s="129"/>
      <c r="AC572" s="129"/>
      <c r="AD572" s="129"/>
      <c r="AE572" s="129"/>
      <c r="AF572" s="129"/>
      <c r="AG572" s="129"/>
      <c r="AH572" s="129"/>
      <c r="AI572" s="129"/>
      <c r="AJ572" s="129"/>
      <c r="AK572" s="129"/>
      <c r="AL572" s="129"/>
      <c r="AM572" s="129"/>
      <c r="AN572" s="129"/>
      <c r="AO572" s="129"/>
      <c r="AP572" s="129"/>
      <c r="AQ572" s="129"/>
    </row>
    <row r="573" spans="1:43" ht="12.75" customHeight="1">
      <c r="A573" s="129"/>
      <c r="B573" s="129"/>
      <c r="C573" s="129"/>
      <c r="D573" s="129"/>
      <c r="E573" s="129"/>
      <c r="F573" s="129"/>
      <c r="G573" s="129"/>
      <c r="H573" s="129"/>
      <c r="I573" s="129"/>
      <c r="J573" s="129"/>
      <c r="K573" s="129"/>
      <c r="L573" s="129"/>
      <c r="M573" s="129"/>
      <c r="N573" s="129"/>
      <c r="O573" s="129"/>
      <c r="P573" s="129"/>
      <c r="Q573" s="129"/>
      <c r="R573" s="129"/>
      <c r="S573" s="129"/>
      <c r="T573" s="129"/>
      <c r="U573" s="129"/>
      <c r="V573" s="129"/>
      <c r="W573" s="129"/>
      <c r="X573" s="129"/>
      <c r="Y573" s="129"/>
      <c r="Z573" s="129"/>
      <c r="AA573" s="129"/>
      <c r="AB573" s="129"/>
      <c r="AC573" s="129"/>
      <c r="AD573" s="129"/>
      <c r="AE573" s="129"/>
      <c r="AF573" s="129"/>
      <c r="AG573" s="129"/>
      <c r="AH573" s="129"/>
      <c r="AI573" s="129"/>
      <c r="AJ573" s="129"/>
      <c r="AK573" s="129"/>
      <c r="AL573" s="129"/>
      <c r="AM573" s="129"/>
      <c r="AN573" s="129"/>
      <c r="AO573" s="129"/>
      <c r="AP573" s="129"/>
      <c r="AQ573" s="129"/>
    </row>
    <row r="574" spans="1:43" ht="12.75" customHeight="1">
      <c r="A574" s="129"/>
      <c r="B574" s="129"/>
      <c r="C574" s="129"/>
      <c r="D574" s="129"/>
      <c r="E574" s="129"/>
      <c r="F574" s="129"/>
      <c r="G574" s="129"/>
      <c r="H574" s="129"/>
      <c r="I574" s="129"/>
      <c r="J574" s="129"/>
      <c r="K574" s="129"/>
      <c r="L574" s="129"/>
      <c r="M574" s="129"/>
      <c r="N574" s="129"/>
      <c r="O574" s="129"/>
      <c r="P574" s="129"/>
      <c r="Q574" s="129"/>
      <c r="R574" s="129"/>
      <c r="S574" s="129"/>
      <c r="T574" s="129"/>
      <c r="U574" s="129"/>
      <c r="V574" s="129"/>
      <c r="W574" s="129"/>
      <c r="X574" s="129"/>
      <c r="Y574" s="129"/>
      <c r="Z574" s="129"/>
      <c r="AA574" s="129"/>
      <c r="AB574" s="129"/>
      <c r="AC574" s="129"/>
      <c r="AD574" s="129"/>
      <c r="AE574" s="129"/>
      <c r="AF574" s="129"/>
      <c r="AG574" s="129"/>
      <c r="AH574" s="129"/>
      <c r="AI574" s="129"/>
      <c r="AJ574" s="129"/>
      <c r="AK574" s="129"/>
      <c r="AL574" s="129"/>
      <c r="AM574" s="129"/>
      <c r="AN574" s="129"/>
      <c r="AO574" s="129"/>
      <c r="AP574" s="129"/>
      <c r="AQ574" s="129"/>
    </row>
    <row r="575" spans="1:43" ht="12.75" customHeight="1">
      <c r="A575" s="129"/>
      <c r="B575" s="129"/>
      <c r="C575" s="129"/>
      <c r="D575" s="129"/>
      <c r="E575" s="129"/>
      <c r="F575" s="129"/>
      <c r="G575" s="129"/>
      <c r="H575" s="129"/>
      <c r="I575" s="129"/>
      <c r="J575" s="129"/>
      <c r="K575" s="129"/>
      <c r="L575" s="129"/>
      <c r="M575" s="129"/>
      <c r="N575" s="129"/>
      <c r="O575" s="129"/>
      <c r="P575" s="129"/>
      <c r="Q575" s="129"/>
      <c r="R575" s="129"/>
      <c r="S575" s="129"/>
      <c r="T575" s="129"/>
      <c r="U575" s="129"/>
      <c r="V575" s="129"/>
      <c r="W575" s="129"/>
      <c r="X575" s="129"/>
      <c r="Y575" s="129"/>
      <c r="Z575" s="129"/>
      <c r="AA575" s="129"/>
      <c r="AB575" s="129"/>
      <c r="AC575" s="129"/>
      <c r="AD575" s="129"/>
      <c r="AE575" s="129"/>
      <c r="AF575" s="129"/>
      <c r="AG575" s="129"/>
      <c r="AH575" s="129"/>
      <c r="AI575" s="129"/>
      <c r="AJ575" s="129"/>
      <c r="AK575" s="129"/>
      <c r="AL575" s="129"/>
      <c r="AM575" s="129"/>
      <c r="AN575" s="129"/>
      <c r="AO575" s="129"/>
      <c r="AP575" s="129"/>
      <c r="AQ575" s="129"/>
    </row>
    <row r="576" spans="1:43" ht="12.75" customHeight="1">
      <c r="A576" s="129"/>
      <c r="B576" s="129"/>
      <c r="C576" s="129"/>
      <c r="D576" s="129"/>
      <c r="E576" s="129"/>
      <c r="F576" s="129"/>
      <c r="G576" s="129"/>
      <c r="H576" s="129"/>
      <c r="I576" s="129"/>
      <c r="J576" s="129"/>
      <c r="K576" s="129"/>
      <c r="L576" s="129"/>
      <c r="M576" s="129"/>
      <c r="N576" s="129"/>
      <c r="O576" s="129"/>
      <c r="P576" s="129"/>
      <c r="Q576" s="129"/>
      <c r="R576" s="129"/>
      <c r="S576" s="129"/>
      <c r="T576" s="129"/>
      <c r="U576" s="129"/>
      <c r="V576" s="129"/>
      <c r="W576" s="129"/>
      <c r="X576" s="129"/>
      <c r="Y576" s="129"/>
      <c r="Z576" s="129"/>
      <c r="AA576" s="129"/>
      <c r="AB576" s="129"/>
      <c r="AC576" s="129"/>
      <c r="AD576" s="129"/>
      <c r="AE576" s="129"/>
      <c r="AF576" s="129"/>
      <c r="AG576" s="129"/>
      <c r="AH576" s="129"/>
      <c r="AI576" s="129"/>
      <c r="AJ576" s="129"/>
      <c r="AK576" s="129"/>
      <c r="AL576" s="129"/>
      <c r="AM576" s="129"/>
      <c r="AN576" s="129"/>
      <c r="AO576" s="129"/>
      <c r="AP576" s="129"/>
      <c r="AQ576" s="129"/>
    </row>
    <row r="577" spans="1:43" ht="12.75" customHeight="1">
      <c r="A577" s="129"/>
      <c r="B577" s="129"/>
      <c r="C577" s="129"/>
      <c r="D577" s="129"/>
      <c r="E577" s="129"/>
      <c r="F577" s="129"/>
      <c r="G577" s="129"/>
      <c r="H577" s="129"/>
      <c r="I577" s="129"/>
      <c r="J577" s="129"/>
      <c r="K577" s="129"/>
      <c r="L577" s="129"/>
      <c r="M577" s="129"/>
      <c r="N577" s="129"/>
      <c r="O577" s="129"/>
      <c r="P577" s="129"/>
      <c r="Q577" s="129"/>
      <c r="R577" s="129"/>
      <c r="S577" s="129"/>
      <c r="T577" s="129"/>
      <c r="U577" s="129"/>
      <c r="V577" s="129"/>
      <c r="W577" s="129"/>
      <c r="X577" s="129"/>
      <c r="Y577" s="129"/>
      <c r="Z577" s="129"/>
      <c r="AA577" s="129"/>
      <c r="AB577" s="129"/>
      <c r="AC577" s="129"/>
      <c r="AD577" s="129"/>
      <c r="AE577" s="129"/>
      <c r="AF577" s="129"/>
      <c r="AG577" s="129"/>
      <c r="AH577" s="129"/>
      <c r="AI577" s="129"/>
      <c r="AJ577" s="129"/>
      <c r="AK577" s="129"/>
      <c r="AL577" s="129"/>
      <c r="AM577" s="129"/>
      <c r="AN577" s="129"/>
      <c r="AO577" s="129"/>
      <c r="AP577" s="129"/>
      <c r="AQ577" s="129"/>
    </row>
    <row r="578" spans="1:43" ht="12.75" customHeight="1">
      <c r="A578" s="129"/>
      <c r="B578" s="129"/>
      <c r="C578" s="129"/>
      <c r="D578" s="129"/>
      <c r="E578" s="129"/>
      <c r="F578" s="129"/>
      <c r="G578" s="129"/>
      <c r="H578" s="129"/>
      <c r="I578" s="129"/>
      <c r="J578" s="129"/>
      <c r="K578" s="129"/>
      <c r="L578" s="129"/>
      <c r="M578" s="129"/>
      <c r="N578" s="129"/>
      <c r="O578" s="129"/>
      <c r="P578" s="129"/>
      <c r="Q578" s="129"/>
      <c r="R578" s="129"/>
      <c r="S578" s="129"/>
      <c r="T578" s="129"/>
      <c r="U578" s="129"/>
      <c r="V578" s="129"/>
      <c r="W578" s="129"/>
      <c r="X578" s="129"/>
      <c r="Y578" s="129"/>
      <c r="Z578" s="129"/>
      <c r="AA578" s="129"/>
      <c r="AB578" s="129"/>
      <c r="AC578" s="129"/>
      <c r="AD578" s="129"/>
      <c r="AE578" s="129"/>
      <c r="AF578" s="129"/>
      <c r="AG578" s="129"/>
      <c r="AH578" s="129"/>
      <c r="AI578" s="129"/>
      <c r="AJ578" s="129"/>
      <c r="AK578" s="129"/>
      <c r="AL578" s="129"/>
      <c r="AM578" s="129"/>
      <c r="AN578" s="129"/>
      <c r="AO578" s="129"/>
      <c r="AP578" s="129"/>
      <c r="AQ578" s="129"/>
    </row>
    <row r="579" spans="1:43" ht="12.75" customHeight="1">
      <c r="A579" s="129"/>
      <c r="B579" s="129"/>
      <c r="C579" s="129"/>
      <c r="D579" s="129"/>
      <c r="E579" s="129"/>
      <c r="F579" s="129"/>
      <c r="G579" s="129"/>
      <c r="H579" s="129"/>
      <c r="I579" s="129"/>
      <c r="J579" s="129"/>
      <c r="K579" s="129"/>
      <c r="L579" s="129"/>
      <c r="M579" s="129"/>
      <c r="N579" s="129"/>
      <c r="O579" s="129"/>
      <c r="P579" s="129"/>
      <c r="Q579" s="129"/>
      <c r="R579" s="129"/>
      <c r="S579" s="129"/>
      <c r="T579" s="129"/>
      <c r="U579" s="129"/>
      <c r="V579" s="129"/>
      <c r="W579" s="129"/>
      <c r="X579" s="129"/>
      <c r="Y579" s="129"/>
      <c r="Z579" s="129"/>
      <c r="AA579" s="129"/>
      <c r="AB579" s="129"/>
      <c r="AC579" s="129"/>
      <c r="AD579" s="129"/>
      <c r="AE579" s="129"/>
      <c r="AF579" s="129"/>
      <c r="AG579" s="129"/>
      <c r="AH579" s="129"/>
      <c r="AI579" s="129"/>
      <c r="AJ579" s="129"/>
      <c r="AK579" s="129"/>
      <c r="AL579" s="129"/>
      <c r="AM579" s="129"/>
      <c r="AN579" s="129"/>
      <c r="AO579" s="129"/>
      <c r="AP579" s="129"/>
      <c r="AQ579" s="129"/>
    </row>
    <row r="580" spans="1:43" ht="12.75" customHeight="1">
      <c r="A580" s="129"/>
      <c r="B580" s="129"/>
      <c r="C580" s="129"/>
      <c r="D580" s="129"/>
      <c r="E580" s="129"/>
      <c r="F580" s="129"/>
      <c r="G580" s="129"/>
      <c r="H580" s="129"/>
      <c r="I580" s="129"/>
      <c r="J580" s="129"/>
      <c r="K580" s="129"/>
      <c r="L580" s="129"/>
      <c r="M580" s="129"/>
      <c r="N580" s="129"/>
      <c r="O580" s="129"/>
      <c r="P580" s="129"/>
      <c r="Q580" s="129"/>
      <c r="R580" s="129"/>
      <c r="S580" s="129"/>
      <c r="T580" s="129"/>
      <c r="U580" s="129"/>
      <c r="V580" s="129"/>
      <c r="W580" s="129"/>
      <c r="X580" s="129"/>
      <c r="Y580" s="129"/>
      <c r="Z580" s="129"/>
      <c r="AA580" s="129"/>
      <c r="AB580" s="129"/>
      <c r="AC580" s="129"/>
      <c r="AD580" s="129"/>
      <c r="AE580" s="129"/>
      <c r="AF580" s="129"/>
      <c r="AG580" s="129"/>
      <c r="AH580" s="129"/>
      <c r="AI580" s="129"/>
      <c r="AJ580" s="129"/>
      <c r="AK580" s="129"/>
      <c r="AL580" s="129"/>
      <c r="AM580" s="129"/>
      <c r="AN580" s="129"/>
      <c r="AO580" s="129"/>
      <c r="AP580" s="129"/>
      <c r="AQ580" s="129"/>
    </row>
    <row r="581" spans="1:43" ht="12.75" customHeight="1">
      <c r="A581" s="129"/>
      <c r="B581" s="129"/>
      <c r="C581" s="129"/>
      <c r="D581" s="129"/>
      <c r="E581" s="129"/>
      <c r="F581" s="129"/>
      <c r="G581" s="129"/>
      <c r="H581" s="129"/>
      <c r="I581" s="129"/>
      <c r="J581" s="129"/>
      <c r="K581" s="129"/>
      <c r="L581" s="129"/>
      <c r="M581" s="129"/>
      <c r="N581" s="129"/>
      <c r="O581" s="129"/>
      <c r="P581" s="129"/>
      <c r="Q581" s="129"/>
      <c r="R581" s="129"/>
      <c r="S581" s="129"/>
      <c r="T581" s="129"/>
      <c r="U581" s="129"/>
      <c r="V581" s="129"/>
      <c r="W581" s="129"/>
      <c r="X581" s="129"/>
      <c r="Y581" s="129"/>
      <c r="Z581" s="129"/>
      <c r="AA581" s="129"/>
      <c r="AB581" s="129"/>
      <c r="AC581" s="129"/>
      <c r="AD581" s="129"/>
      <c r="AE581" s="129"/>
      <c r="AF581" s="129"/>
      <c r="AG581" s="129"/>
      <c r="AH581" s="129"/>
      <c r="AI581" s="129"/>
      <c r="AJ581" s="129"/>
      <c r="AK581" s="129"/>
      <c r="AL581" s="129"/>
      <c r="AM581" s="129"/>
      <c r="AN581" s="129"/>
      <c r="AO581" s="129"/>
      <c r="AP581" s="129"/>
      <c r="AQ581" s="129"/>
    </row>
    <row r="582" spans="1:43" ht="12.75" customHeight="1">
      <c r="A582" s="129"/>
      <c r="B582" s="129"/>
      <c r="C582" s="129"/>
      <c r="D582" s="129"/>
      <c r="E582" s="129"/>
      <c r="F582" s="129"/>
      <c r="G582" s="129"/>
      <c r="H582" s="129"/>
      <c r="I582" s="129"/>
      <c r="J582" s="129"/>
      <c r="K582" s="129"/>
      <c r="L582" s="129"/>
      <c r="M582" s="129"/>
      <c r="N582" s="129"/>
      <c r="O582" s="129"/>
      <c r="P582" s="129"/>
      <c r="Q582" s="129"/>
      <c r="R582" s="129"/>
      <c r="S582" s="129"/>
      <c r="T582" s="129"/>
      <c r="U582" s="129"/>
      <c r="V582" s="129"/>
      <c r="W582" s="129"/>
      <c r="X582" s="129"/>
      <c r="Y582" s="129"/>
      <c r="Z582" s="129"/>
      <c r="AA582" s="129"/>
      <c r="AB582" s="129"/>
      <c r="AC582" s="129"/>
      <c r="AD582" s="129"/>
      <c r="AE582" s="129"/>
      <c r="AF582" s="129"/>
      <c r="AG582" s="129"/>
      <c r="AH582" s="129"/>
      <c r="AI582" s="129"/>
      <c r="AJ582" s="129"/>
      <c r="AK582" s="129"/>
      <c r="AL582" s="129"/>
      <c r="AM582" s="129"/>
      <c r="AN582" s="129"/>
      <c r="AO582" s="129"/>
      <c r="AP582" s="129"/>
      <c r="AQ582" s="129"/>
    </row>
    <row r="583" spans="1:43" ht="12.75" customHeight="1">
      <c r="A583" s="129"/>
      <c r="B583" s="129"/>
      <c r="C583" s="129"/>
      <c r="D583" s="129"/>
      <c r="E583" s="129"/>
      <c r="F583" s="129"/>
      <c r="G583" s="129"/>
      <c r="H583" s="129"/>
      <c r="I583" s="129"/>
      <c r="J583" s="129"/>
      <c r="K583" s="129"/>
      <c r="L583" s="129"/>
      <c r="M583" s="129"/>
      <c r="N583" s="129"/>
      <c r="O583" s="129"/>
      <c r="P583" s="129"/>
      <c r="Q583" s="129"/>
      <c r="R583" s="129"/>
      <c r="S583" s="129"/>
      <c r="T583" s="129"/>
      <c r="U583" s="129"/>
      <c r="V583" s="129"/>
      <c r="W583" s="129"/>
      <c r="X583" s="129"/>
      <c r="Y583" s="129"/>
      <c r="Z583" s="129"/>
      <c r="AA583" s="129"/>
      <c r="AB583" s="129"/>
      <c r="AC583" s="129"/>
      <c r="AD583" s="129"/>
      <c r="AE583" s="129"/>
      <c r="AF583" s="129"/>
      <c r="AG583" s="129"/>
      <c r="AH583" s="129"/>
      <c r="AI583" s="129"/>
      <c r="AJ583" s="129"/>
      <c r="AK583" s="129"/>
      <c r="AL583" s="129"/>
      <c r="AM583" s="129"/>
      <c r="AN583" s="129"/>
      <c r="AO583" s="129"/>
      <c r="AP583" s="129"/>
      <c r="AQ583" s="129"/>
    </row>
    <row r="584" spans="1:43" ht="12.75" customHeight="1">
      <c r="A584" s="129"/>
      <c r="B584" s="129"/>
      <c r="C584" s="129"/>
      <c r="D584" s="129"/>
      <c r="E584" s="129"/>
      <c r="F584" s="129"/>
      <c r="G584" s="129"/>
      <c r="H584" s="129"/>
      <c r="I584" s="129"/>
      <c r="J584" s="129"/>
      <c r="K584" s="129"/>
      <c r="L584" s="129"/>
      <c r="M584" s="129"/>
      <c r="N584" s="129"/>
      <c r="O584" s="129"/>
      <c r="P584" s="129"/>
      <c r="Q584" s="129"/>
      <c r="R584" s="129"/>
      <c r="S584" s="129"/>
      <c r="T584" s="129"/>
      <c r="U584" s="129"/>
      <c r="V584" s="129"/>
      <c r="W584" s="129"/>
      <c r="X584" s="129"/>
      <c r="Y584" s="129"/>
      <c r="Z584" s="129"/>
      <c r="AA584" s="129"/>
      <c r="AB584" s="129"/>
      <c r="AC584" s="129"/>
      <c r="AD584" s="129"/>
      <c r="AE584" s="129"/>
      <c r="AF584" s="129"/>
      <c r="AG584" s="129"/>
      <c r="AH584" s="129"/>
      <c r="AI584" s="129"/>
      <c r="AJ584" s="129"/>
      <c r="AK584" s="129"/>
      <c r="AL584" s="129"/>
      <c r="AM584" s="129"/>
      <c r="AN584" s="129"/>
      <c r="AO584" s="129"/>
      <c r="AP584" s="129"/>
      <c r="AQ584" s="129"/>
    </row>
    <row r="585" spans="1:43" ht="12.75" customHeight="1">
      <c r="A585" s="129"/>
      <c r="B585" s="129"/>
      <c r="C585" s="129"/>
      <c r="D585" s="129"/>
      <c r="E585" s="129"/>
      <c r="F585" s="129"/>
      <c r="G585" s="129"/>
      <c r="H585" s="129"/>
      <c r="I585" s="129"/>
      <c r="J585" s="129"/>
      <c r="K585" s="129"/>
      <c r="L585" s="129"/>
      <c r="M585" s="129"/>
      <c r="N585" s="129"/>
      <c r="O585" s="129"/>
      <c r="P585" s="129"/>
      <c r="Q585" s="129"/>
      <c r="R585" s="129"/>
      <c r="S585" s="129"/>
      <c r="T585" s="129"/>
      <c r="U585" s="129"/>
      <c r="V585" s="129"/>
      <c r="W585" s="129"/>
      <c r="X585" s="129"/>
      <c r="Y585" s="129"/>
      <c r="Z585" s="129"/>
      <c r="AA585" s="129"/>
      <c r="AB585" s="129"/>
      <c r="AC585" s="129"/>
      <c r="AD585" s="129"/>
      <c r="AE585" s="129"/>
      <c r="AF585" s="129"/>
      <c r="AG585" s="129"/>
      <c r="AH585" s="129"/>
      <c r="AI585" s="129"/>
      <c r="AJ585" s="129"/>
      <c r="AK585" s="129"/>
      <c r="AL585" s="129"/>
      <c r="AM585" s="129"/>
      <c r="AN585" s="129"/>
      <c r="AO585" s="129"/>
      <c r="AP585" s="129"/>
      <c r="AQ585" s="129"/>
    </row>
    <row r="586" spans="1:43" ht="12.75" customHeight="1">
      <c r="A586" s="129"/>
      <c r="B586" s="129"/>
      <c r="C586" s="129"/>
      <c r="D586" s="129"/>
      <c r="E586" s="129"/>
      <c r="F586" s="129"/>
      <c r="G586" s="129"/>
      <c r="H586" s="129"/>
      <c r="I586" s="129"/>
      <c r="J586" s="129"/>
      <c r="K586" s="129"/>
      <c r="L586" s="129"/>
      <c r="M586" s="129"/>
      <c r="N586" s="129"/>
      <c r="O586" s="129"/>
      <c r="P586" s="129"/>
      <c r="Q586" s="129"/>
      <c r="R586" s="129"/>
      <c r="S586" s="129"/>
      <c r="T586" s="129"/>
      <c r="U586" s="129"/>
      <c r="V586" s="129"/>
      <c r="W586" s="129"/>
      <c r="X586" s="129"/>
      <c r="Y586" s="129"/>
      <c r="Z586" s="129"/>
      <c r="AA586" s="129"/>
      <c r="AB586" s="129"/>
      <c r="AC586" s="129"/>
      <c r="AD586" s="129"/>
      <c r="AE586" s="129"/>
      <c r="AF586" s="129"/>
      <c r="AG586" s="129"/>
      <c r="AH586" s="129"/>
      <c r="AI586" s="129"/>
      <c r="AJ586" s="129"/>
      <c r="AK586" s="129"/>
      <c r="AL586" s="129"/>
      <c r="AM586" s="129"/>
      <c r="AN586" s="129"/>
      <c r="AO586" s="129"/>
      <c r="AP586" s="129"/>
      <c r="AQ586" s="129"/>
    </row>
    <row r="587" spans="1:43" ht="12.75" customHeight="1">
      <c r="A587" s="129"/>
      <c r="B587" s="129"/>
      <c r="C587" s="129"/>
      <c r="D587" s="129"/>
      <c r="E587" s="129"/>
      <c r="F587" s="129"/>
      <c r="G587" s="129"/>
      <c r="H587" s="129"/>
      <c r="I587" s="129"/>
      <c r="J587" s="129"/>
      <c r="K587" s="129"/>
      <c r="L587" s="129"/>
      <c r="M587" s="129"/>
      <c r="N587" s="129"/>
      <c r="O587" s="129"/>
      <c r="P587" s="129"/>
      <c r="Q587" s="129"/>
      <c r="R587" s="129"/>
      <c r="S587" s="129"/>
      <c r="T587" s="129"/>
      <c r="U587" s="129"/>
      <c r="V587" s="129"/>
      <c r="W587" s="129"/>
      <c r="X587" s="129"/>
      <c r="Y587" s="129"/>
      <c r="Z587" s="129"/>
      <c r="AA587" s="129"/>
      <c r="AB587" s="129"/>
      <c r="AC587" s="129"/>
      <c r="AD587" s="129"/>
      <c r="AE587" s="129"/>
      <c r="AF587" s="129"/>
      <c r="AG587" s="129"/>
      <c r="AH587" s="129"/>
      <c r="AI587" s="129"/>
      <c r="AJ587" s="129"/>
      <c r="AK587" s="129"/>
      <c r="AL587" s="129"/>
      <c r="AM587" s="129"/>
      <c r="AN587" s="129"/>
      <c r="AO587" s="129"/>
      <c r="AP587" s="129"/>
      <c r="AQ587" s="129"/>
    </row>
    <row r="588" spans="1:43" ht="12.75" customHeight="1">
      <c r="A588" s="129"/>
      <c r="B588" s="129"/>
      <c r="C588" s="129"/>
      <c r="D588" s="129"/>
      <c r="E588" s="129"/>
      <c r="F588" s="129"/>
      <c r="G588" s="129"/>
      <c r="H588" s="129"/>
      <c r="I588" s="129"/>
      <c r="J588" s="129"/>
      <c r="K588" s="129"/>
      <c r="L588" s="129"/>
      <c r="M588" s="129"/>
      <c r="N588" s="129"/>
      <c r="O588" s="129"/>
      <c r="P588" s="129"/>
      <c r="Q588" s="129"/>
      <c r="R588" s="129"/>
      <c r="S588" s="129"/>
      <c r="T588" s="129"/>
      <c r="U588" s="129"/>
      <c r="V588" s="129"/>
      <c r="W588" s="129"/>
      <c r="X588" s="129"/>
      <c r="Y588" s="129"/>
      <c r="Z588" s="129"/>
      <c r="AA588" s="129"/>
      <c r="AB588" s="129"/>
      <c r="AC588" s="129"/>
      <c r="AD588" s="129"/>
      <c r="AE588" s="129"/>
      <c r="AF588" s="129"/>
      <c r="AG588" s="129"/>
      <c r="AH588" s="129"/>
      <c r="AI588" s="129"/>
      <c r="AJ588" s="129"/>
      <c r="AK588" s="129"/>
      <c r="AL588" s="129"/>
      <c r="AM588" s="129"/>
      <c r="AN588" s="129"/>
      <c r="AO588" s="129"/>
      <c r="AP588" s="129"/>
      <c r="AQ588" s="129"/>
    </row>
    <row r="589" spans="1:43" ht="12.75" customHeight="1">
      <c r="A589" s="129"/>
      <c r="B589" s="129"/>
      <c r="C589" s="129"/>
      <c r="D589" s="129"/>
      <c r="E589" s="129"/>
      <c r="F589" s="129"/>
      <c r="G589" s="129"/>
      <c r="H589" s="129"/>
      <c r="I589" s="129"/>
      <c r="J589" s="129"/>
      <c r="K589" s="129"/>
      <c r="L589" s="129"/>
      <c r="M589" s="129"/>
      <c r="N589" s="129"/>
      <c r="O589" s="129"/>
      <c r="P589" s="129"/>
      <c r="Q589" s="129"/>
      <c r="R589" s="129"/>
      <c r="S589" s="129"/>
      <c r="T589" s="129"/>
      <c r="U589" s="129"/>
      <c r="V589" s="129"/>
      <c r="W589" s="129"/>
      <c r="X589" s="129"/>
      <c r="Y589" s="129"/>
      <c r="Z589" s="129"/>
      <c r="AA589" s="129"/>
      <c r="AB589" s="129"/>
      <c r="AC589" s="129"/>
      <c r="AD589" s="129"/>
      <c r="AE589" s="129"/>
      <c r="AF589" s="129"/>
      <c r="AG589" s="129"/>
      <c r="AH589" s="129"/>
      <c r="AI589" s="129"/>
      <c r="AJ589" s="129"/>
      <c r="AK589" s="129"/>
      <c r="AL589" s="129"/>
      <c r="AM589" s="129"/>
      <c r="AN589" s="129"/>
      <c r="AO589" s="129"/>
      <c r="AP589" s="129"/>
      <c r="AQ589" s="129"/>
    </row>
    <row r="590" spans="1:43" ht="12.75" customHeight="1">
      <c r="A590" s="129"/>
      <c r="B590" s="129"/>
      <c r="C590" s="129"/>
      <c r="D590" s="129"/>
      <c r="E590" s="129"/>
      <c r="F590" s="129"/>
      <c r="G590" s="129"/>
      <c r="H590" s="129"/>
      <c r="I590" s="129"/>
      <c r="J590" s="129"/>
      <c r="K590" s="129"/>
      <c r="L590" s="129"/>
      <c r="M590" s="129"/>
      <c r="N590" s="129"/>
      <c r="O590" s="129"/>
      <c r="P590" s="129"/>
      <c r="Q590" s="129"/>
      <c r="R590" s="129"/>
      <c r="S590" s="129"/>
      <c r="T590" s="129"/>
      <c r="U590" s="129"/>
      <c r="V590" s="129"/>
      <c r="W590" s="129"/>
      <c r="X590" s="129"/>
      <c r="Y590" s="129"/>
      <c r="Z590" s="129"/>
      <c r="AA590" s="129"/>
      <c r="AB590" s="129"/>
      <c r="AC590" s="129"/>
      <c r="AD590" s="129"/>
      <c r="AE590" s="129"/>
      <c r="AF590" s="129"/>
      <c r="AG590" s="129"/>
      <c r="AH590" s="129"/>
      <c r="AI590" s="129"/>
      <c r="AJ590" s="129"/>
      <c r="AK590" s="129"/>
      <c r="AL590" s="129"/>
      <c r="AM590" s="129"/>
      <c r="AN590" s="129"/>
      <c r="AO590" s="129"/>
      <c r="AP590" s="129"/>
      <c r="AQ590" s="129"/>
    </row>
    <row r="591" spans="1:43" ht="12.75" customHeight="1">
      <c r="A591" s="129"/>
      <c r="B591" s="129"/>
      <c r="C591" s="129"/>
      <c r="D591" s="129"/>
      <c r="E591" s="129"/>
      <c r="F591" s="129"/>
      <c r="G591" s="129"/>
      <c r="H591" s="129"/>
      <c r="I591" s="129"/>
      <c r="J591" s="129"/>
      <c r="K591" s="129"/>
      <c r="L591" s="129"/>
      <c r="M591" s="129"/>
      <c r="N591" s="129"/>
      <c r="O591" s="129"/>
      <c r="P591" s="129"/>
      <c r="Q591" s="129"/>
      <c r="R591" s="129"/>
      <c r="S591" s="129"/>
      <c r="T591" s="129"/>
      <c r="U591" s="129"/>
      <c r="V591" s="129"/>
      <c r="W591" s="129"/>
      <c r="X591" s="129"/>
      <c r="Y591" s="129"/>
      <c r="Z591" s="129"/>
      <c r="AA591" s="129"/>
      <c r="AB591" s="129"/>
      <c r="AC591" s="129"/>
      <c r="AD591" s="129"/>
      <c r="AE591" s="129"/>
      <c r="AF591" s="129"/>
      <c r="AG591" s="129"/>
      <c r="AH591" s="129"/>
      <c r="AI591" s="129"/>
      <c r="AJ591" s="129"/>
      <c r="AK591" s="129"/>
      <c r="AL591" s="129"/>
      <c r="AM591" s="129"/>
      <c r="AN591" s="129"/>
      <c r="AO591" s="129"/>
      <c r="AP591" s="129"/>
      <c r="AQ591" s="129"/>
    </row>
    <row r="592" spans="1:43" ht="12.75" customHeight="1">
      <c r="A592" s="129"/>
      <c r="B592" s="129"/>
      <c r="C592" s="129"/>
      <c r="D592" s="129"/>
      <c r="E592" s="129"/>
      <c r="F592" s="129"/>
      <c r="G592" s="129"/>
      <c r="H592" s="129"/>
      <c r="I592" s="129"/>
      <c r="J592" s="129"/>
      <c r="K592" s="129"/>
      <c r="L592" s="129"/>
      <c r="M592" s="129"/>
      <c r="N592" s="129"/>
      <c r="O592" s="129"/>
      <c r="P592" s="129"/>
      <c r="Q592" s="129"/>
      <c r="R592" s="129"/>
      <c r="S592" s="129"/>
      <c r="T592" s="129"/>
      <c r="U592" s="129"/>
      <c r="V592" s="129"/>
      <c r="W592" s="129"/>
      <c r="X592" s="129"/>
      <c r="Y592" s="129"/>
      <c r="Z592" s="129"/>
      <c r="AA592" s="129"/>
      <c r="AB592" s="129"/>
      <c r="AC592" s="129"/>
      <c r="AD592" s="129"/>
      <c r="AE592" s="129"/>
      <c r="AF592" s="129"/>
      <c r="AG592" s="129"/>
      <c r="AH592" s="129"/>
      <c r="AI592" s="129"/>
      <c r="AJ592" s="129"/>
      <c r="AK592" s="129"/>
      <c r="AL592" s="129"/>
      <c r="AM592" s="129"/>
      <c r="AN592" s="129"/>
      <c r="AO592" s="129"/>
      <c r="AP592" s="129"/>
      <c r="AQ592" s="129"/>
    </row>
    <row r="593" spans="1:43" ht="12.75" customHeight="1">
      <c r="A593" s="129"/>
      <c r="B593" s="129"/>
      <c r="C593" s="129"/>
      <c r="D593" s="129"/>
      <c r="E593" s="129"/>
      <c r="F593" s="129"/>
      <c r="G593" s="129"/>
      <c r="H593" s="129"/>
      <c r="I593" s="129"/>
      <c r="J593" s="129"/>
      <c r="K593" s="129"/>
      <c r="L593" s="129"/>
      <c r="M593" s="129"/>
      <c r="N593" s="129"/>
      <c r="O593" s="129"/>
      <c r="P593" s="129"/>
      <c r="Q593" s="129"/>
      <c r="R593" s="129"/>
      <c r="S593" s="129"/>
      <c r="T593" s="129"/>
      <c r="U593" s="129"/>
      <c r="V593" s="129"/>
      <c r="W593" s="129"/>
      <c r="X593" s="129"/>
      <c r="Y593" s="129"/>
      <c r="Z593" s="129"/>
      <c r="AA593" s="129"/>
      <c r="AB593" s="129"/>
      <c r="AC593" s="129"/>
      <c r="AD593" s="129"/>
      <c r="AE593" s="129"/>
      <c r="AF593" s="129"/>
      <c r="AG593" s="129"/>
      <c r="AH593" s="129"/>
      <c r="AI593" s="129"/>
      <c r="AJ593" s="129"/>
      <c r="AK593" s="129"/>
      <c r="AL593" s="129"/>
      <c r="AM593" s="129"/>
      <c r="AN593" s="129"/>
      <c r="AO593" s="129"/>
      <c r="AP593" s="129"/>
      <c r="AQ593" s="129"/>
    </row>
    <row r="594" spans="1:43" ht="12.75" customHeight="1">
      <c r="A594" s="129"/>
      <c r="B594" s="129"/>
      <c r="C594" s="129"/>
      <c r="D594" s="129"/>
      <c r="E594" s="129"/>
      <c r="F594" s="129"/>
      <c r="G594" s="129"/>
      <c r="H594" s="129"/>
      <c r="I594" s="129"/>
      <c r="J594" s="129"/>
      <c r="K594" s="129"/>
      <c r="L594" s="129"/>
      <c r="M594" s="129"/>
      <c r="N594" s="129"/>
      <c r="O594" s="129"/>
      <c r="P594" s="129"/>
      <c r="Q594" s="129"/>
      <c r="R594" s="129"/>
      <c r="S594" s="129"/>
      <c r="T594" s="129"/>
      <c r="U594" s="129"/>
      <c r="V594" s="129"/>
      <c r="W594" s="129"/>
      <c r="X594" s="129"/>
      <c r="Y594" s="129"/>
      <c r="Z594" s="129"/>
      <c r="AA594" s="129"/>
      <c r="AB594" s="129"/>
      <c r="AC594" s="129"/>
      <c r="AD594" s="129"/>
      <c r="AE594" s="129"/>
      <c r="AF594" s="129"/>
      <c r="AG594" s="129"/>
      <c r="AH594" s="129"/>
      <c r="AI594" s="129"/>
      <c r="AJ594" s="129"/>
      <c r="AK594" s="129"/>
      <c r="AL594" s="129"/>
      <c r="AM594" s="129"/>
      <c r="AN594" s="129"/>
      <c r="AO594" s="129"/>
      <c r="AP594" s="129"/>
      <c r="AQ594" s="129"/>
    </row>
    <row r="595" spans="1:43" ht="12.75" customHeight="1">
      <c r="A595" s="129"/>
      <c r="B595" s="129"/>
      <c r="C595" s="129"/>
      <c r="D595" s="129"/>
      <c r="E595" s="129"/>
      <c r="F595" s="129"/>
      <c r="G595" s="129"/>
      <c r="H595" s="129"/>
      <c r="I595" s="129"/>
      <c r="J595" s="129"/>
      <c r="K595" s="129"/>
      <c r="L595" s="129"/>
      <c r="M595" s="129"/>
      <c r="N595" s="129"/>
      <c r="O595" s="129"/>
      <c r="P595" s="129"/>
      <c r="Q595" s="129"/>
      <c r="R595" s="129"/>
      <c r="S595" s="129"/>
      <c r="T595" s="129"/>
      <c r="U595" s="129"/>
      <c r="V595" s="129"/>
      <c r="W595" s="129"/>
      <c r="X595" s="129"/>
      <c r="Y595" s="129"/>
      <c r="Z595" s="129"/>
      <c r="AA595" s="129"/>
      <c r="AB595" s="129"/>
      <c r="AC595" s="129"/>
      <c r="AD595" s="129"/>
      <c r="AE595" s="129"/>
      <c r="AF595" s="129"/>
      <c r="AG595" s="129"/>
      <c r="AH595" s="129"/>
      <c r="AI595" s="129"/>
      <c r="AJ595" s="129"/>
      <c r="AK595" s="129"/>
      <c r="AL595" s="129"/>
      <c r="AM595" s="129"/>
      <c r="AN595" s="129"/>
      <c r="AO595" s="129"/>
      <c r="AP595" s="129"/>
      <c r="AQ595" s="129"/>
    </row>
    <row r="596" spans="1:43" ht="12.75" customHeight="1">
      <c r="A596" s="129"/>
      <c r="B596" s="129"/>
      <c r="C596" s="129"/>
      <c r="D596" s="129"/>
      <c r="E596" s="129"/>
      <c r="F596" s="129"/>
      <c r="G596" s="129"/>
      <c r="H596" s="129"/>
      <c r="I596" s="129"/>
      <c r="J596" s="129"/>
      <c r="K596" s="129"/>
      <c r="L596" s="129"/>
      <c r="M596" s="129"/>
      <c r="N596" s="129"/>
      <c r="O596" s="129"/>
      <c r="P596" s="129"/>
      <c r="Q596" s="129"/>
      <c r="R596" s="129"/>
      <c r="S596" s="129"/>
      <c r="T596" s="129"/>
      <c r="U596" s="129"/>
      <c r="V596" s="129"/>
      <c r="W596" s="129"/>
      <c r="X596" s="129"/>
      <c r="Y596" s="129"/>
      <c r="Z596" s="129"/>
      <c r="AA596" s="129"/>
      <c r="AB596" s="129"/>
      <c r="AC596" s="129"/>
      <c r="AD596" s="129"/>
      <c r="AE596" s="129"/>
      <c r="AF596" s="129"/>
      <c r="AG596" s="129"/>
      <c r="AH596" s="129"/>
      <c r="AI596" s="129"/>
      <c r="AJ596" s="129"/>
      <c r="AK596" s="129"/>
      <c r="AL596" s="129"/>
      <c r="AM596" s="129"/>
      <c r="AN596" s="129"/>
      <c r="AO596" s="129"/>
      <c r="AP596" s="129"/>
      <c r="AQ596" s="129"/>
    </row>
    <row r="597" spans="1:43" ht="12.75" customHeight="1">
      <c r="A597" s="129"/>
      <c r="B597" s="129"/>
      <c r="C597" s="129"/>
      <c r="D597" s="129"/>
      <c r="E597" s="129"/>
      <c r="F597" s="129"/>
      <c r="G597" s="129"/>
      <c r="H597" s="129"/>
      <c r="I597" s="129"/>
      <c r="J597" s="129"/>
      <c r="K597" s="129"/>
      <c r="L597" s="129"/>
      <c r="M597" s="129"/>
      <c r="N597" s="129"/>
      <c r="O597" s="129"/>
      <c r="P597" s="129"/>
      <c r="Q597" s="129"/>
      <c r="R597" s="129"/>
      <c r="S597" s="129"/>
      <c r="T597" s="129"/>
      <c r="U597" s="129"/>
      <c r="V597" s="129"/>
      <c r="W597" s="129"/>
      <c r="X597" s="129"/>
      <c r="Y597" s="129"/>
      <c r="Z597" s="129"/>
      <c r="AA597" s="129"/>
      <c r="AB597" s="129"/>
      <c r="AC597" s="129"/>
      <c r="AD597" s="129"/>
      <c r="AE597" s="129"/>
      <c r="AF597" s="129"/>
      <c r="AG597" s="129"/>
      <c r="AH597" s="129"/>
      <c r="AI597" s="129"/>
      <c r="AJ597" s="129"/>
      <c r="AK597" s="129"/>
      <c r="AL597" s="129"/>
      <c r="AM597" s="129"/>
      <c r="AN597" s="129"/>
      <c r="AO597" s="129"/>
      <c r="AP597" s="129"/>
      <c r="AQ597" s="129"/>
    </row>
    <row r="598" spans="1:43" ht="12.75" customHeight="1">
      <c r="A598" s="129"/>
      <c r="B598" s="129"/>
      <c r="C598" s="129"/>
      <c r="D598" s="129"/>
      <c r="E598" s="129"/>
      <c r="F598" s="129"/>
      <c r="G598" s="129"/>
      <c r="H598" s="129"/>
      <c r="I598" s="129"/>
      <c r="J598" s="129"/>
      <c r="K598" s="129"/>
      <c r="L598" s="129"/>
      <c r="M598" s="129"/>
      <c r="N598" s="129"/>
      <c r="O598" s="129"/>
      <c r="P598" s="129"/>
      <c r="Q598" s="129"/>
      <c r="R598" s="129"/>
      <c r="S598" s="129"/>
      <c r="T598" s="129"/>
      <c r="U598" s="129"/>
      <c r="V598" s="129"/>
      <c r="W598" s="129"/>
      <c r="X598" s="129"/>
      <c r="Y598" s="129"/>
      <c r="Z598" s="129"/>
      <c r="AA598" s="129"/>
      <c r="AB598" s="129"/>
      <c r="AC598" s="129"/>
      <c r="AD598" s="129"/>
      <c r="AE598" s="129"/>
      <c r="AF598" s="129"/>
      <c r="AG598" s="129"/>
      <c r="AH598" s="129"/>
      <c r="AI598" s="129"/>
      <c r="AJ598" s="129"/>
      <c r="AK598" s="129"/>
      <c r="AL598" s="129"/>
      <c r="AM598" s="129"/>
      <c r="AN598" s="129"/>
      <c r="AO598" s="129"/>
      <c r="AP598" s="129"/>
      <c r="AQ598" s="129"/>
    </row>
    <row r="599" spans="1:43" ht="12.75" customHeight="1">
      <c r="A599" s="129"/>
      <c r="B599" s="129"/>
      <c r="C599" s="129"/>
      <c r="D599" s="129"/>
      <c r="E599" s="129"/>
      <c r="F599" s="129"/>
      <c r="G599" s="129"/>
      <c r="H599" s="129"/>
      <c r="I599" s="129"/>
      <c r="J599" s="129"/>
      <c r="K599" s="129"/>
      <c r="L599" s="129"/>
      <c r="M599" s="129"/>
      <c r="N599" s="129"/>
      <c r="O599" s="129"/>
      <c r="P599" s="129"/>
      <c r="Q599" s="129"/>
      <c r="R599" s="129"/>
      <c r="S599" s="129"/>
      <c r="T599" s="129"/>
      <c r="U599" s="129"/>
      <c r="V599" s="129"/>
      <c r="W599" s="129"/>
      <c r="X599" s="129"/>
      <c r="Y599" s="129"/>
      <c r="Z599" s="129"/>
      <c r="AA599" s="129"/>
      <c r="AB599" s="129"/>
      <c r="AC599" s="129"/>
      <c r="AD599" s="129"/>
      <c r="AE599" s="129"/>
      <c r="AF599" s="129"/>
      <c r="AG599" s="129"/>
      <c r="AH599" s="129"/>
      <c r="AI599" s="129"/>
      <c r="AJ599" s="129"/>
      <c r="AK599" s="129"/>
      <c r="AL599" s="129"/>
      <c r="AM599" s="129"/>
      <c r="AN599" s="129"/>
      <c r="AO599" s="129"/>
      <c r="AP599" s="129"/>
      <c r="AQ599" s="129"/>
    </row>
    <row r="600" spans="1:43" ht="12.75" customHeight="1">
      <c r="A600" s="129"/>
      <c r="B600" s="129"/>
      <c r="C600" s="129"/>
      <c r="D600" s="129"/>
      <c r="E600" s="129"/>
      <c r="F600" s="129"/>
      <c r="G600" s="129"/>
      <c r="H600" s="129"/>
      <c r="I600" s="129"/>
      <c r="J600" s="129"/>
      <c r="K600" s="129"/>
      <c r="L600" s="129"/>
      <c r="M600" s="129"/>
      <c r="N600" s="129"/>
      <c r="O600" s="129"/>
      <c r="P600" s="129"/>
      <c r="Q600" s="129"/>
      <c r="R600" s="129"/>
      <c r="S600" s="129"/>
      <c r="T600" s="129"/>
      <c r="U600" s="129"/>
      <c r="V600" s="129"/>
      <c r="W600" s="129"/>
      <c r="X600" s="129"/>
      <c r="Y600" s="129"/>
      <c r="Z600" s="129"/>
      <c r="AA600" s="129"/>
      <c r="AB600" s="129"/>
      <c r="AC600" s="129"/>
      <c r="AD600" s="129"/>
      <c r="AE600" s="129"/>
      <c r="AF600" s="129"/>
      <c r="AG600" s="129"/>
      <c r="AH600" s="129"/>
      <c r="AI600" s="129"/>
      <c r="AJ600" s="129"/>
      <c r="AK600" s="129"/>
      <c r="AL600" s="129"/>
      <c r="AM600" s="129"/>
      <c r="AN600" s="129"/>
      <c r="AO600" s="129"/>
      <c r="AP600" s="129"/>
      <c r="AQ600" s="129"/>
    </row>
    <row r="601" spans="1:43" ht="12.75" customHeight="1">
      <c r="A601" s="129"/>
      <c r="B601" s="129"/>
      <c r="C601" s="129"/>
      <c r="D601" s="129"/>
      <c r="E601" s="129"/>
      <c r="F601" s="129"/>
      <c r="G601" s="129"/>
      <c r="H601" s="129"/>
      <c r="I601" s="129"/>
      <c r="J601" s="129"/>
      <c r="K601" s="129"/>
      <c r="L601" s="129"/>
      <c r="M601" s="129"/>
      <c r="N601" s="129"/>
      <c r="O601" s="129"/>
      <c r="P601" s="129"/>
      <c r="Q601" s="129"/>
      <c r="R601" s="129"/>
      <c r="S601" s="129"/>
      <c r="T601" s="129"/>
      <c r="U601" s="129"/>
      <c r="V601" s="129"/>
      <c r="W601" s="129"/>
      <c r="X601" s="129"/>
      <c r="Y601" s="129"/>
      <c r="Z601" s="129"/>
      <c r="AA601" s="129"/>
      <c r="AB601" s="129"/>
      <c r="AC601" s="129"/>
      <c r="AD601" s="129"/>
      <c r="AE601" s="129"/>
      <c r="AF601" s="129"/>
      <c r="AG601" s="129"/>
      <c r="AH601" s="129"/>
      <c r="AI601" s="129"/>
      <c r="AJ601" s="129"/>
      <c r="AK601" s="129"/>
      <c r="AL601" s="129"/>
      <c r="AM601" s="129"/>
      <c r="AN601" s="129"/>
      <c r="AO601" s="129"/>
      <c r="AP601" s="129"/>
      <c r="AQ601" s="129"/>
    </row>
    <row r="602" spans="1:43" ht="12.75" customHeight="1">
      <c r="A602" s="129"/>
      <c r="B602" s="129"/>
      <c r="C602" s="129"/>
      <c r="D602" s="129"/>
      <c r="E602" s="129"/>
      <c r="F602" s="129"/>
      <c r="G602" s="129"/>
      <c r="H602" s="129"/>
      <c r="I602" s="129"/>
      <c r="J602" s="129"/>
      <c r="K602" s="129"/>
      <c r="L602" s="129"/>
      <c r="M602" s="129"/>
      <c r="N602" s="129"/>
      <c r="O602" s="129"/>
      <c r="P602" s="129"/>
      <c r="Q602" s="129"/>
      <c r="R602" s="129"/>
      <c r="S602" s="129"/>
      <c r="T602" s="129"/>
      <c r="U602" s="129"/>
      <c r="V602" s="129"/>
      <c r="W602" s="129"/>
      <c r="X602" s="129"/>
      <c r="Y602" s="129"/>
      <c r="Z602" s="129"/>
      <c r="AA602" s="129"/>
      <c r="AB602" s="129"/>
      <c r="AC602" s="129"/>
      <c r="AD602" s="129"/>
      <c r="AE602" s="129"/>
      <c r="AF602" s="129"/>
      <c r="AG602" s="129"/>
      <c r="AH602" s="129"/>
      <c r="AI602" s="129"/>
      <c r="AJ602" s="129"/>
      <c r="AK602" s="129"/>
      <c r="AL602" s="129"/>
      <c r="AM602" s="129"/>
      <c r="AN602" s="129"/>
      <c r="AO602" s="129"/>
      <c r="AP602" s="129"/>
      <c r="AQ602" s="129"/>
    </row>
    <row r="603" spans="1:43" ht="12.75" customHeight="1">
      <c r="A603" s="129"/>
      <c r="B603" s="129"/>
      <c r="C603" s="129"/>
      <c r="D603" s="129"/>
      <c r="E603" s="129"/>
      <c r="F603" s="129"/>
      <c r="G603" s="129"/>
      <c r="H603" s="129"/>
      <c r="I603" s="129"/>
      <c r="J603" s="129"/>
      <c r="K603" s="129"/>
      <c r="L603" s="129"/>
      <c r="M603" s="129"/>
      <c r="N603" s="129"/>
      <c r="O603" s="129"/>
      <c r="P603" s="129"/>
      <c r="Q603" s="129"/>
      <c r="R603" s="129"/>
      <c r="S603" s="129"/>
      <c r="T603" s="129"/>
      <c r="U603" s="129"/>
      <c r="V603" s="129"/>
      <c r="W603" s="129"/>
      <c r="X603" s="129"/>
      <c r="Y603" s="129"/>
      <c r="Z603" s="129"/>
      <c r="AA603" s="129"/>
      <c r="AB603" s="129"/>
      <c r="AC603" s="129"/>
      <c r="AD603" s="129"/>
      <c r="AE603" s="129"/>
      <c r="AF603" s="129"/>
      <c r="AG603" s="129"/>
      <c r="AH603" s="129"/>
      <c r="AI603" s="129"/>
      <c r="AJ603" s="129"/>
      <c r="AK603" s="129"/>
      <c r="AL603" s="129"/>
      <c r="AM603" s="129"/>
      <c r="AN603" s="129"/>
      <c r="AO603" s="129"/>
      <c r="AP603" s="129"/>
      <c r="AQ603" s="129"/>
    </row>
    <row r="604" spans="1:43" ht="12.75" customHeight="1">
      <c r="A604" s="129"/>
      <c r="B604" s="129"/>
      <c r="C604" s="129"/>
      <c r="D604" s="129"/>
      <c r="E604" s="129"/>
      <c r="F604" s="129"/>
      <c r="G604" s="129"/>
      <c r="H604" s="129"/>
      <c r="I604" s="129"/>
      <c r="J604" s="129"/>
      <c r="K604" s="129"/>
      <c r="L604" s="129"/>
      <c r="M604" s="129"/>
      <c r="N604" s="129"/>
      <c r="O604" s="129"/>
      <c r="P604" s="129"/>
      <c r="Q604" s="129"/>
      <c r="R604" s="129"/>
      <c r="S604" s="129"/>
      <c r="T604" s="129"/>
      <c r="U604" s="129"/>
      <c r="V604" s="129"/>
      <c r="W604" s="129"/>
      <c r="X604" s="129"/>
      <c r="Y604" s="129"/>
      <c r="Z604" s="129"/>
      <c r="AA604" s="129"/>
      <c r="AB604" s="129"/>
      <c r="AC604" s="129"/>
      <c r="AD604" s="129"/>
      <c r="AE604" s="129"/>
      <c r="AF604" s="129"/>
      <c r="AG604" s="129"/>
      <c r="AH604" s="129"/>
      <c r="AI604" s="129"/>
      <c r="AJ604" s="129"/>
      <c r="AK604" s="129"/>
      <c r="AL604" s="129"/>
      <c r="AM604" s="129"/>
      <c r="AN604" s="129"/>
      <c r="AO604" s="129"/>
      <c r="AP604" s="129"/>
      <c r="AQ604" s="129"/>
    </row>
    <row r="605" spans="1:43" ht="12.75" customHeight="1">
      <c r="A605" s="129"/>
      <c r="B605" s="129"/>
      <c r="C605" s="129"/>
      <c r="D605" s="129"/>
      <c r="E605" s="129"/>
      <c r="F605" s="129"/>
      <c r="G605" s="129"/>
      <c r="H605" s="129"/>
      <c r="I605" s="129"/>
      <c r="J605" s="129"/>
      <c r="K605" s="129"/>
      <c r="L605" s="129"/>
      <c r="M605" s="129"/>
      <c r="N605" s="129"/>
      <c r="O605" s="129"/>
      <c r="P605" s="129"/>
      <c r="Q605" s="129"/>
      <c r="R605" s="129"/>
      <c r="S605" s="129"/>
      <c r="T605" s="129"/>
      <c r="U605" s="129"/>
      <c r="V605" s="129"/>
      <c r="W605" s="129"/>
      <c r="X605" s="129"/>
      <c r="Y605" s="129"/>
      <c r="Z605" s="129"/>
      <c r="AA605" s="129"/>
      <c r="AB605" s="129"/>
      <c r="AC605" s="129"/>
      <c r="AD605" s="129"/>
      <c r="AE605" s="129"/>
      <c r="AF605" s="129"/>
      <c r="AG605" s="129"/>
      <c r="AH605" s="129"/>
      <c r="AI605" s="129"/>
      <c r="AJ605" s="129"/>
      <c r="AK605" s="129"/>
      <c r="AL605" s="129"/>
      <c r="AM605" s="129"/>
      <c r="AN605" s="129"/>
      <c r="AO605" s="129"/>
      <c r="AP605" s="129"/>
      <c r="AQ605" s="129"/>
    </row>
    <row r="606" spans="1:43" ht="12.75" customHeight="1">
      <c r="A606" s="129"/>
      <c r="B606" s="129"/>
      <c r="C606" s="129"/>
      <c r="D606" s="129"/>
      <c r="E606" s="129"/>
      <c r="F606" s="129"/>
      <c r="G606" s="129"/>
      <c r="H606" s="129"/>
      <c r="I606" s="129"/>
      <c r="J606" s="129"/>
      <c r="K606" s="129"/>
      <c r="L606" s="129"/>
      <c r="M606" s="129"/>
      <c r="N606" s="129"/>
      <c r="O606" s="129"/>
      <c r="P606" s="129"/>
      <c r="Q606" s="129"/>
      <c r="R606" s="129"/>
      <c r="S606" s="129"/>
      <c r="T606" s="129"/>
      <c r="U606" s="129"/>
      <c r="V606" s="129"/>
      <c r="W606" s="129"/>
      <c r="X606" s="129"/>
      <c r="Y606" s="129"/>
      <c r="Z606" s="129"/>
      <c r="AA606" s="129"/>
      <c r="AB606" s="129"/>
      <c r="AC606" s="129"/>
      <c r="AD606" s="129"/>
      <c r="AE606" s="129"/>
      <c r="AF606" s="129"/>
      <c r="AG606" s="129"/>
      <c r="AH606" s="129"/>
      <c r="AI606" s="129"/>
      <c r="AJ606" s="129"/>
      <c r="AK606" s="129"/>
      <c r="AL606" s="129"/>
      <c r="AM606" s="129"/>
      <c r="AN606" s="129"/>
      <c r="AO606" s="129"/>
      <c r="AP606" s="129"/>
      <c r="AQ606" s="129"/>
    </row>
    <row r="607" spans="1:43" ht="12.75" customHeight="1">
      <c r="A607" s="129"/>
      <c r="B607" s="129"/>
      <c r="C607" s="129"/>
      <c r="D607" s="129"/>
      <c r="E607" s="129"/>
      <c r="F607" s="129"/>
      <c r="G607" s="129"/>
      <c r="H607" s="129"/>
      <c r="I607" s="129"/>
      <c r="J607" s="129"/>
      <c r="K607" s="129"/>
      <c r="L607" s="129"/>
      <c r="M607" s="129"/>
      <c r="N607" s="129"/>
      <c r="O607" s="129"/>
      <c r="P607" s="129"/>
      <c r="Q607" s="129"/>
      <c r="R607" s="129"/>
      <c r="S607" s="129"/>
      <c r="T607" s="129"/>
      <c r="U607" s="129"/>
      <c r="V607" s="129"/>
      <c r="W607" s="129"/>
      <c r="X607" s="129"/>
      <c r="Y607" s="129"/>
      <c r="Z607" s="129"/>
      <c r="AA607" s="129"/>
      <c r="AB607" s="129"/>
      <c r="AC607" s="129"/>
      <c r="AD607" s="129"/>
      <c r="AE607" s="129"/>
      <c r="AF607" s="129"/>
      <c r="AG607" s="129"/>
      <c r="AH607" s="129"/>
      <c r="AI607" s="129"/>
      <c r="AJ607" s="129"/>
      <c r="AK607" s="129"/>
      <c r="AL607" s="129"/>
      <c r="AM607" s="129"/>
      <c r="AN607" s="129"/>
      <c r="AO607" s="129"/>
      <c r="AP607" s="129"/>
      <c r="AQ607" s="129"/>
    </row>
    <row r="608" spans="1:43" ht="12.75" customHeight="1">
      <c r="A608" s="129"/>
      <c r="B608" s="129"/>
      <c r="C608" s="129"/>
      <c r="D608" s="129"/>
      <c r="E608" s="129"/>
      <c r="F608" s="129"/>
      <c r="G608" s="129"/>
      <c r="H608" s="129"/>
      <c r="I608" s="129"/>
      <c r="J608" s="129"/>
      <c r="K608" s="129"/>
      <c r="L608" s="129"/>
      <c r="M608" s="129"/>
      <c r="N608" s="129"/>
      <c r="O608" s="129"/>
      <c r="P608" s="129"/>
      <c r="Q608" s="129"/>
      <c r="R608" s="129"/>
      <c r="S608" s="129"/>
      <c r="T608" s="129"/>
      <c r="U608" s="129"/>
      <c r="V608" s="129"/>
      <c r="W608" s="129"/>
      <c r="X608" s="129"/>
      <c r="Y608" s="129"/>
      <c r="Z608" s="129"/>
      <c r="AA608" s="129"/>
      <c r="AB608" s="129"/>
      <c r="AC608" s="129"/>
      <c r="AD608" s="129"/>
      <c r="AE608" s="129"/>
      <c r="AF608" s="129"/>
      <c r="AG608" s="129"/>
      <c r="AH608" s="129"/>
      <c r="AI608" s="129"/>
      <c r="AJ608" s="129"/>
      <c r="AK608" s="129"/>
      <c r="AL608" s="129"/>
      <c r="AM608" s="129"/>
      <c r="AN608" s="129"/>
      <c r="AO608" s="129"/>
      <c r="AP608" s="129"/>
      <c r="AQ608" s="129"/>
    </row>
    <row r="609" spans="1:43" ht="12.75" customHeight="1">
      <c r="A609" s="129"/>
      <c r="B609" s="129"/>
      <c r="C609" s="129"/>
      <c r="D609" s="129"/>
      <c r="E609" s="129"/>
      <c r="F609" s="129"/>
      <c r="G609" s="129"/>
      <c r="H609" s="129"/>
      <c r="I609" s="129"/>
      <c r="J609" s="129"/>
      <c r="K609" s="129"/>
      <c r="L609" s="129"/>
      <c r="M609" s="129"/>
      <c r="N609" s="129"/>
      <c r="O609" s="129"/>
      <c r="P609" s="129"/>
      <c r="Q609" s="129"/>
      <c r="R609" s="129"/>
      <c r="S609" s="129"/>
      <c r="T609" s="129"/>
      <c r="U609" s="129"/>
      <c r="V609" s="129"/>
      <c r="W609" s="129"/>
      <c r="X609" s="129"/>
      <c r="Y609" s="129"/>
      <c r="Z609" s="129"/>
      <c r="AA609" s="129"/>
      <c r="AB609" s="129"/>
      <c r="AC609" s="129"/>
      <c r="AD609" s="129"/>
      <c r="AE609" s="129"/>
      <c r="AF609" s="129"/>
      <c r="AG609" s="129"/>
      <c r="AH609" s="129"/>
      <c r="AI609" s="129"/>
      <c r="AJ609" s="129"/>
      <c r="AK609" s="129"/>
      <c r="AL609" s="129"/>
      <c r="AM609" s="129"/>
      <c r="AN609" s="129"/>
      <c r="AO609" s="129"/>
      <c r="AP609" s="129"/>
      <c r="AQ609" s="129"/>
    </row>
    <row r="610" spans="1:43" ht="12.75" customHeight="1">
      <c r="A610" s="129"/>
      <c r="B610" s="129"/>
      <c r="C610" s="129"/>
      <c r="D610" s="129"/>
      <c r="E610" s="129"/>
      <c r="F610" s="129"/>
      <c r="G610" s="129"/>
      <c r="H610" s="129"/>
      <c r="I610" s="129"/>
      <c r="J610" s="129"/>
      <c r="K610" s="129"/>
      <c r="L610" s="129"/>
      <c r="M610" s="129"/>
      <c r="N610" s="129"/>
      <c r="O610" s="129"/>
      <c r="P610" s="129"/>
      <c r="Q610" s="129"/>
      <c r="R610" s="129"/>
      <c r="S610" s="129"/>
      <c r="T610" s="129"/>
      <c r="U610" s="129"/>
      <c r="V610" s="129"/>
      <c r="W610" s="129"/>
      <c r="X610" s="129"/>
      <c r="Y610" s="129"/>
      <c r="Z610" s="129"/>
      <c r="AA610" s="129"/>
      <c r="AB610" s="129"/>
      <c r="AC610" s="129"/>
      <c r="AD610" s="129"/>
      <c r="AE610" s="129"/>
      <c r="AF610" s="129"/>
      <c r="AG610" s="129"/>
      <c r="AH610" s="129"/>
      <c r="AI610" s="129"/>
      <c r="AJ610" s="129"/>
      <c r="AK610" s="129"/>
      <c r="AL610" s="129"/>
      <c r="AM610" s="129"/>
      <c r="AN610" s="129"/>
      <c r="AO610" s="129"/>
      <c r="AP610" s="129"/>
      <c r="AQ610" s="129"/>
    </row>
    <row r="611" spans="1:43" ht="12.75" customHeight="1">
      <c r="A611" s="129"/>
      <c r="B611" s="129"/>
      <c r="C611" s="129"/>
      <c r="D611" s="129"/>
      <c r="E611" s="129"/>
      <c r="F611" s="129"/>
      <c r="G611" s="129"/>
      <c r="H611" s="129"/>
      <c r="I611" s="129"/>
      <c r="J611" s="129"/>
      <c r="K611" s="129"/>
      <c r="L611" s="129"/>
      <c r="M611" s="129"/>
      <c r="N611" s="129"/>
      <c r="O611" s="129"/>
      <c r="P611" s="129"/>
      <c r="Q611" s="129"/>
      <c r="R611" s="129"/>
      <c r="S611" s="129"/>
      <c r="T611" s="129"/>
      <c r="U611" s="129"/>
      <c r="V611" s="129"/>
      <c r="W611" s="129"/>
      <c r="X611" s="129"/>
      <c r="Y611" s="129"/>
      <c r="Z611" s="129"/>
      <c r="AA611" s="129"/>
      <c r="AB611" s="129"/>
      <c r="AC611" s="129"/>
      <c r="AD611" s="129"/>
      <c r="AE611" s="129"/>
      <c r="AF611" s="129"/>
      <c r="AG611" s="129"/>
      <c r="AH611" s="129"/>
      <c r="AI611" s="129"/>
      <c r="AJ611" s="129"/>
      <c r="AK611" s="129"/>
      <c r="AL611" s="129"/>
      <c r="AM611" s="129"/>
      <c r="AN611" s="129"/>
      <c r="AO611" s="129"/>
      <c r="AP611" s="129"/>
      <c r="AQ611" s="129"/>
    </row>
    <row r="612" spans="1:43" ht="12.75" customHeight="1">
      <c r="A612" s="129"/>
      <c r="B612" s="129"/>
      <c r="C612" s="129"/>
      <c r="D612" s="129"/>
      <c r="E612" s="129"/>
      <c r="F612" s="129"/>
      <c r="G612" s="129"/>
      <c r="H612" s="129"/>
      <c r="I612" s="129"/>
      <c r="J612" s="129"/>
      <c r="K612" s="129"/>
      <c r="L612" s="129"/>
      <c r="M612" s="129"/>
      <c r="N612" s="129"/>
      <c r="O612" s="129"/>
      <c r="P612" s="129"/>
      <c r="Q612" s="129"/>
      <c r="R612" s="129"/>
      <c r="S612" s="129"/>
      <c r="T612" s="129"/>
      <c r="U612" s="129"/>
      <c r="V612" s="129"/>
      <c r="W612" s="129"/>
      <c r="X612" s="129"/>
      <c r="Y612" s="129"/>
      <c r="Z612" s="129"/>
      <c r="AA612" s="129"/>
      <c r="AB612" s="129"/>
      <c r="AC612" s="129"/>
      <c r="AD612" s="129"/>
      <c r="AE612" s="129"/>
      <c r="AF612" s="129"/>
      <c r="AG612" s="129"/>
      <c r="AH612" s="129"/>
      <c r="AI612" s="129"/>
      <c r="AJ612" s="129"/>
      <c r="AK612" s="129"/>
      <c r="AL612" s="129"/>
      <c r="AM612" s="129"/>
      <c r="AN612" s="129"/>
      <c r="AO612" s="129"/>
      <c r="AP612" s="129"/>
      <c r="AQ612" s="129"/>
    </row>
    <row r="613" spans="1:43" ht="12.75" customHeight="1">
      <c r="A613" s="129"/>
      <c r="B613" s="129"/>
      <c r="C613" s="129"/>
      <c r="D613" s="129"/>
      <c r="E613" s="129"/>
      <c r="F613" s="129"/>
      <c r="G613" s="129"/>
      <c r="H613" s="129"/>
      <c r="I613" s="129"/>
      <c r="J613" s="129"/>
      <c r="K613" s="129"/>
      <c r="L613" s="129"/>
      <c r="M613" s="129"/>
      <c r="N613" s="129"/>
      <c r="O613" s="129"/>
      <c r="P613" s="129"/>
      <c r="Q613" s="129"/>
      <c r="R613" s="129"/>
      <c r="S613" s="129"/>
      <c r="T613" s="129"/>
      <c r="U613" s="129"/>
      <c r="V613" s="129"/>
      <c r="W613" s="129"/>
      <c r="X613" s="129"/>
      <c r="Y613" s="129"/>
      <c r="Z613" s="129"/>
      <c r="AA613" s="129"/>
      <c r="AB613" s="129"/>
      <c r="AC613" s="129"/>
      <c r="AD613" s="129"/>
      <c r="AE613" s="129"/>
      <c r="AF613" s="129"/>
      <c r="AG613" s="129"/>
      <c r="AH613" s="129"/>
      <c r="AI613" s="129"/>
      <c r="AJ613" s="129"/>
      <c r="AK613" s="129"/>
      <c r="AL613" s="129"/>
      <c r="AM613" s="129"/>
      <c r="AN613" s="129"/>
      <c r="AO613" s="129"/>
      <c r="AP613" s="129"/>
      <c r="AQ613" s="129"/>
    </row>
    <row r="614" spans="1:43" ht="12.75" customHeight="1">
      <c r="A614" s="129"/>
      <c r="B614" s="129"/>
      <c r="C614" s="129"/>
      <c r="D614" s="129"/>
      <c r="E614" s="129"/>
      <c r="F614" s="129"/>
      <c r="G614" s="129"/>
      <c r="H614" s="129"/>
      <c r="I614" s="129"/>
      <c r="J614" s="129"/>
      <c r="K614" s="129"/>
      <c r="L614" s="129"/>
      <c r="M614" s="129"/>
      <c r="N614" s="129"/>
      <c r="O614" s="129"/>
      <c r="P614" s="129"/>
      <c r="Q614" s="129"/>
      <c r="R614" s="129"/>
      <c r="S614" s="129"/>
      <c r="T614" s="129"/>
      <c r="U614" s="129"/>
      <c r="V614" s="129"/>
      <c r="W614" s="129"/>
      <c r="X614" s="129"/>
      <c r="Y614" s="129"/>
      <c r="Z614" s="129"/>
      <c r="AA614" s="129"/>
      <c r="AB614" s="129"/>
      <c r="AC614" s="129"/>
      <c r="AD614" s="129"/>
      <c r="AE614" s="129"/>
      <c r="AF614" s="129"/>
      <c r="AG614" s="129"/>
      <c r="AH614" s="129"/>
      <c r="AI614" s="129"/>
      <c r="AJ614" s="129"/>
      <c r="AK614" s="129"/>
      <c r="AL614" s="129"/>
      <c r="AM614" s="129"/>
      <c r="AN614" s="129"/>
      <c r="AO614" s="129"/>
      <c r="AP614" s="129"/>
      <c r="AQ614" s="129"/>
    </row>
    <row r="615" spans="1:43" ht="12.75" customHeight="1">
      <c r="A615" s="129"/>
      <c r="B615" s="129"/>
      <c r="C615" s="129"/>
      <c r="D615" s="129"/>
      <c r="E615" s="129"/>
      <c r="F615" s="129"/>
      <c r="G615" s="129"/>
      <c r="H615" s="129"/>
      <c r="I615" s="129"/>
      <c r="J615" s="129"/>
      <c r="K615" s="129"/>
      <c r="L615" s="129"/>
      <c r="M615" s="129"/>
      <c r="N615" s="129"/>
      <c r="O615" s="129"/>
      <c r="P615" s="129"/>
      <c r="Q615" s="129"/>
      <c r="R615" s="129"/>
      <c r="S615" s="129"/>
      <c r="T615" s="129"/>
      <c r="U615" s="129"/>
      <c r="V615" s="129"/>
      <c r="W615" s="129"/>
      <c r="X615" s="129"/>
      <c r="Y615" s="129"/>
      <c r="Z615" s="129"/>
      <c r="AA615" s="129"/>
      <c r="AB615" s="129"/>
      <c r="AC615" s="129"/>
      <c r="AD615" s="129"/>
      <c r="AE615" s="129"/>
      <c r="AF615" s="129"/>
      <c r="AG615" s="129"/>
      <c r="AH615" s="129"/>
      <c r="AI615" s="129"/>
      <c r="AJ615" s="129"/>
      <c r="AK615" s="129"/>
      <c r="AL615" s="129"/>
      <c r="AM615" s="129"/>
      <c r="AN615" s="129"/>
      <c r="AO615" s="129"/>
      <c r="AP615" s="129"/>
      <c r="AQ615" s="129"/>
    </row>
    <row r="616" spans="1:43" ht="12.75" customHeight="1">
      <c r="A616" s="129"/>
      <c r="B616" s="129"/>
      <c r="C616" s="129"/>
      <c r="D616" s="129"/>
      <c r="E616" s="129"/>
      <c r="F616" s="129"/>
      <c r="G616" s="129"/>
      <c r="H616" s="129"/>
      <c r="I616" s="129"/>
      <c r="J616" s="129"/>
      <c r="K616" s="129"/>
      <c r="L616" s="129"/>
      <c r="M616" s="129"/>
      <c r="N616" s="129"/>
      <c r="O616" s="129"/>
      <c r="P616" s="129"/>
      <c r="Q616" s="129"/>
      <c r="R616" s="129"/>
      <c r="S616" s="129"/>
      <c r="T616" s="129"/>
      <c r="U616" s="129"/>
      <c r="V616" s="129"/>
      <c r="W616" s="129"/>
      <c r="X616" s="129"/>
      <c r="Y616" s="129"/>
      <c r="Z616" s="129"/>
      <c r="AA616" s="129"/>
      <c r="AB616" s="129"/>
      <c r="AC616" s="129"/>
      <c r="AD616" s="129"/>
      <c r="AE616" s="129"/>
      <c r="AF616" s="129"/>
      <c r="AG616" s="129"/>
      <c r="AH616" s="129"/>
      <c r="AI616" s="129"/>
      <c r="AJ616" s="129"/>
      <c r="AK616" s="129"/>
      <c r="AL616" s="129"/>
      <c r="AM616" s="129"/>
      <c r="AN616" s="129"/>
      <c r="AO616" s="129"/>
      <c r="AP616" s="129"/>
      <c r="AQ616" s="129"/>
    </row>
    <row r="617" spans="1:43" ht="12.75" customHeight="1">
      <c r="A617" s="129"/>
      <c r="B617" s="129"/>
      <c r="C617" s="129"/>
      <c r="D617" s="129"/>
      <c r="E617" s="129"/>
      <c r="F617" s="129"/>
      <c r="G617" s="129"/>
      <c r="H617" s="129"/>
      <c r="I617" s="129"/>
      <c r="J617" s="129"/>
      <c r="K617" s="129"/>
      <c r="L617" s="129"/>
      <c r="M617" s="129"/>
      <c r="N617" s="129"/>
      <c r="O617" s="129"/>
      <c r="P617" s="129"/>
      <c r="Q617" s="129"/>
      <c r="R617" s="129"/>
      <c r="S617" s="129"/>
      <c r="T617" s="129"/>
      <c r="U617" s="129"/>
      <c r="V617" s="129"/>
      <c r="W617" s="129"/>
      <c r="X617" s="129"/>
      <c r="Y617" s="129"/>
      <c r="Z617" s="129"/>
      <c r="AA617" s="129"/>
      <c r="AB617" s="129"/>
      <c r="AC617" s="129"/>
      <c r="AD617" s="129"/>
      <c r="AE617" s="129"/>
      <c r="AF617" s="129"/>
      <c r="AG617" s="129"/>
      <c r="AH617" s="129"/>
      <c r="AI617" s="129"/>
      <c r="AJ617" s="129"/>
      <c r="AK617" s="129"/>
      <c r="AL617" s="129"/>
      <c r="AM617" s="129"/>
      <c r="AN617" s="129"/>
      <c r="AO617" s="129"/>
      <c r="AP617" s="129"/>
      <c r="AQ617" s="129"/>
    </row>
    <row r="618" spans="1:43" ht="12.75" customHeight="1">
      <c r="A618" s="129"/>
      <c r="B618" s="129"/>
      <c r="C618" s="129"/>
      <c r="D618" s="129"/>
      <c r="E618" s="129"/>
      <c r="F618" s="129"/>
      <c r="G618" s="129"/>
      <c r="H618" s="129"/>
      <c r="I618" s="129"/>
      <c r="J618" s="129"/>
      <c r="K618" s="129"/>
      <c r="L618" s="129"/>
      <c r="M618" s="129"/>
      <c r="N618" s="129"/>
      <c r="O618" s="129"/>
      <c r="P618" s="129"/>
      <c r="Q618" s="129"/>
      <c r="R618" s="129"/>
      <c r="S618" s="129"/>
      <c r="T618" s="129"/>
      <c r="U618" s="129"/>
      <c r="V618" s="129"/>
      <c r="W618" s="129"/>
      <c r="X618" s="129"/>
      <c r="Y618" s="129"/>
      <c r="Z618" s="129"/>
      <c r="AA618" s="129"/>
      <c r="AB618" s="129"/>
      <c r="AC618" s="129"/>
      <c r="AD618" s="129"/>
      <c r="AE618" s="129"/>
      <c r="AF618" s="129"/>
      <c r="AG618" s="129"/>
      <c r="AH618" s="129"/>
      <c r="AI618" s="129"/>
      <c r="AJ618" s="129"/>
      <c r="AK618" s="129"/>
      <c r="AL618" s="129"/>
      <c r="AM618" s="129"/>
      <c r="AN618" s="129"/>
      <c r="AO618" s="129"/>
      <c r="AP618" s="129"/>
      <c r="AQ618" s="129"/>
    </row>
    <row r="619" spans="1:43" ht="12.75" customHeight="1">
      <c r="A619" s="129"/>
      <c r="B619" s="129"/>
      <c r="C619" s="129"/>
      <c r="D619" s="129"/>
      <c r="E619" s="129"/>
      <c r="F619" s="129"/>
      <c r="G619" s="129"/>
      <c r="H619" s="129"/>
      <c r="I619" s="129"/>
      <c r="J619" s="129"/>
      <c r="K619" s="129"/>
      <c r="L619" s="129"/>
      <c r="M619" s="129"/>
      <c r="N619" s="129"/>
      <c r="O619" s="129"/>
      <c r="P619" s="129"/>
      <c r="Q619" s="129"/>
      <c r="R619" s="129"/>
      <c r="S619" s="129"/>
      <c r="T619" s="129"/>
      <c r="U619" s="129"/>
      <c r="V619" s="129"/>
      <c r="W619" s="129"/>
      <c r="X619" s="129"/>
      <c r="Y619" s="129"/>
      <c r="Z619" s="129"/>
      <c r="AA619" s="129"/>
      <c r="AB619" s="129"/>
      <c r="AC619" s="129"/>
      <c r="AD619" s="129"/>
      <c r="AE619" s="129"/>
      <c r="AF619" s="129"/>
      <c r="AG619" s="129"/>
      <c r="AH619" s="129"/>
      <c r="AI619" s="129"/>
      <c r="AJ619" s="129"/>
      <c r="AK619" s="129"/>
      <c r="AL619" s="129"/>
      <c r="AM619" s="129"/>
      <c r="AN619" s="129"/>
      <c r="AO619" s="129"/>
      <c r="AP619" s="129"/>
      <c r="AQ619" s="129"/>
    </row>
    <row r="620" spans="1:43" ht="12.75" customHeight="1">
      <c r="A620" s="129"/>
      <c r="B620" s="129"/>
      <c r="C620" s="129"/>
      <c r="D620" s="129"/>
      <c r="E620" s="129"/>
      <c r="F620" s="129"/>
      <c r="G620" s="129"/>
      <c r="H620" s="129"/>
      <c r="I620" s="129"/>
      <c r="J620" s="129"/>
      <c r="K620" s="129"/>
      <c r="L620" s="129"/>
      <c r="M620" s="129"/>
      <c r="N620" s="129"/>
      <c r="O620" s="129"/>
      <c r="P620" s="129"/>
      <c r="Q620" s="129"/>
      <c r="R620" s="129"/>
      <c r="S620" s="129"/>
      <c r="T620" s="129"/>
      <c r="U620" s="129"/>
      <c r="V620" s="129"/>
      <c r="W620" s="129"/>
      <c r="X620" s="129"/>
      <c r="Y620" s="129"/>
      <c r="Z620" s="129"/>
      <c r="AA620" s="129"/>
      <c r="AB620" s="129"/>
      <c r="AC620" s="129"/>
      <c r="AD620" s="129"/>
      <c r="AE620" s="129"/>
      <c r="AF620" s="129"/>
      <c r="AG620" s="129"/>
      <c r="AH620" s="129"/>
      <c r="AI620" s="129"/>
      <c r="AJ620" s="129"/>
      <c r="AK620" s="129"/>
      <c r="AL620" s="129"/>
      <c r="AM620" s="129"/>
      <c r="AN620" s="129"/>
      <c r="AO620" s="129"/>
      <c r="AP620" s="129"/>
      <c r="AQ620" s="129"/>
    </row>
    <row r="621" spans="1:43" ht="12.75" customHeight="1">
      <c r="A621" s="129"/>
      <c r="B621" s="129"/>
      <c r="C621" s="129"/>
      <c r="D621" s="129"/>
      <c r="E621" s="129"/>
      <c r="F621" s="129"/>
      <c r="G621" s="129"/>
      <c r="H621" s="129"/>
      <c r="I621" s="129"/>
      <c r="J621" s="129"/>
      <c r="K621" s="129"/>
      <c r="L621" s="129"/>
      <c r="M621" s="129"/>
      <c r="N621" s="129"/>
      <c r="O621" s="129"/>
      <c r="P621" s="129"/>
      <c r="Q621" s="129"/>
      <c r="R621" s="129"/>
      <c r="S621" s="129"/>
      <c r="T621" s="129"/>
      <c r="U621" s="129"/>
      <c r="V621" s="129"/>
      <c r="W621" s="129"/>
      <c r="X621" s="129"/>
      <c r="Y621" s="129"/>
      <c r="Z621" s="129"/>
      <c r="AA621" s="129"/>
      <c r="AB621" s="129"/>
      <c r="AC621" s="129"/>
      <c r="AD621" s="129"/>
      <c r="AE621" s="129"/>
      <c r="AF621" s="129"/>
      <c r="AG621" s="129"/>
      <c r="AH621" s="129"/>
      <c r="AI621" s="129"/>
      <c r="AJ621" s="129"/>
      <c r="AK621" s="129"/>
      <c r="AL621" s="129"/>
      <c r="AM621" s="129"/>
      <c r="AN621" s="129"/>
      <c r="AO621" s="129"/>
      <c r="AP621" s="129"/>
      <c r="AQ621" s="129"/>
    </row>
    <row r="622" spans="1:43" ht="12.75" customHeight="1">
      <c r="A622" s="129"/>
      <c r="B622" s="129"/>
      <c r="C622" s="129"/>
      <c r="D622" s="129"/>
      <c r="E622" s="129"/>
      <c r="F622" s="129"/>
      <c r="G622" s="129"/>
      <c r="H622" s="129"/>
      <c r="I622" s="129"/>
      <c r="J622" s="129"/>
      <c r="K622" s="129"/>
      <c r="L622" s="129"/>
      <c r="M622" s="129"/>
      <c r="N622" s="129"/>
      <c r="O622" s="129"/>
      <c r="P622" s="129"/>
      <c r="Q622" s="129"/>
      <c r="R622" s="129"/>
      <c r="S622" s="129"/>
      <c r="T622" s="129"/>
      <c r="U622" s="129"/>
      <c r="V622" s="129"/>
      <c r="W622" s="129"/>
      <c r="X622" s="129"/>
      <c r="Y622" s="129"/>
      <c r="Z622" s="129"/>
      <c r="AA622" s="129"/>
      <c r="AB622" s="129"/>
      <c r="AC622" s="129"/>
      <c r="AD622" s="129"/>
      <c r="AE622" s="129"/>
      <c r="AF622" s="129"/>
      <c r="AG622" s="129"/>
      <c r="AH622" s="129"/>
      <c r="AI622" s="129"/>
      <c r="AJ622" s="129"/>
      <c r="AK622" s="129"/>
      <c r="AL622" s="129"/>
      <c r="AM622" s="129"/>
      <c r="AN622" s="129"/>
      <c r="AO622" s="129"/>
      <c r="AP622" s="129"/>
      <c r="AQ622" s="129"/>
    </row>
    <row r="623" spans="1:43" ht="12.75" customHeight="1">
      <c r="A623" s="129"/>
      <c r="B623" s="129"/>
      <c r="C623" s="129"/>
      <c r="D623" s="129"/>
      <c r="E623" s="129"/>
      <c r="F623" s="129"/>
      <c r="G623" s="129"/>
      <c r="H623" s="129"/>
      <c r="I623" s="129"/>
      <c r="J623" s="129"/>
      <c r="K623" s="129"/>
      <c r="L623" s="129"/>
      <c r="M623" s="129"/>
      <c r="N623" s="129"/>
      <c r="O623" s="129"/>
      <c r="P623" s="129"/>
      <c r="Q623" s="129"/>
      <c r="R623" s="129"/>
      <c r="S623" s="129"/>
      <c r="T623" s="129"/>
      <c r="U623" s="129"/>
      <c r="V623" s="129"/>
      <c r="W623" s="129"/>
      <c r="X623" s="129"/>
      <c r="Y623" s="129"/>
      <c r="Z623" s="129"/>
      <c r="AA623" s="129"/>
      <c r="AB623" s="129"/>
      <c r="AC623" s="129"/>
      <c r="AD623" s="129"/>
      <c r="AE623" s="129"/>
      <c r="AF623" s="129"/>
      <c r="AG623" s="129"/>
      <c r="AH623" s="129"/>
      <c r="AI623" s="129"/>
      <c r="AJ623" s="129"/>
      <c r="AK623" s="129"/>
      <c r="AL623" s="129"/>
      <c r="AM623" s="129"/>
      <c r="AN623" s="129"/>
      <c r="AO623" s="129"/>
      <c r="AP623" s="129"/>
      <c r="AQ623" s="129"/>
    </row>
    <row r="624" spans="1:43" ht="12.75" customHeight="1">
      <c r="A624" s="129"/>
      <c r="B624" s="129"/>
      <c r="C624" s="129"/>
      <c r="D624" s="129"/>
      <c r="E624" s="129"/>
      <c r="F624" s="129"/>
      <c r="G624" s="129"/>
      <c r="H624" s="129"/>
      <c r="I624" s="129"/>
      <c r="J624" s="129"/>
      <c r="K624" s="129"/>
      <c r="L624" s="129"/>
      <c r="M624" s="129"/>
      <c r="N624" s="129"/>
      <c r="O624" s="129"/>
      <c r="P624" s="129"/>
      <c r="Q624" s="129"/>
      <c r="R624" s="129"/>
      <c r="S624" s="129"/>
      <c r="T624" s="129"/>
      <c r="U624" s="129"/>
      <c r="V624" s="129"/>
      <c r="W624" s="129"/>
      <c r="X624" s="129"/>
      <c r="Y624" s="129"/>
      <c r="Z624" s="129"/>
      <c r="AA624" s="129"/>
      <c r="AB624" s="129"/>
      <c r="AC624" s="129"/>
      <c r="AD624" s="129"/>
      <c r="AE624" s="129"/>
      <c r="AF624" s="129"/>
      <c r="AG624" s="129"/>
      <c r="AH624" s="129"/>
      <c r="AI624" s="129"/>
      <c r="AJ624" s="129"/>
      <c r="AK624" s="129"/>
      <c r="AL624" s="129"/>
      <c r="AM624" s="129"/>
      <c r="AN624" s="129"/>
      <c r="AO624" s="129"/>
      <c r="AP624" s="129"/>
      <c r="AQ624" s="129"/>
    </row>
    <row r="625" spans="1:43" ht="12.75" customHeight="1">
      <c r="A625" s="129"/>
      <c r="B625" s="129"/>
      <c r="C625" s="129"/>
      <c r="D625" s="129"/>
      <c r="E625" s="129"/>
      <c r="F625" s="129"/>
      <c r="G625" s="129"/>
      <c r="H625" s="129"/>
      <c r="I625" s="129"/>
      <c r="J625" s="129"/>
      <c r="K625" s="129"/>
      <c r="L625" s="129"/>
      <c r="M625" s="129"/>
      <c r="N625" s="129"/>
      <c r="O625" s="129"/>
      <c r="P625" s="129"/>
      <c r="Q625" s="129"/>
      <c r="R625" s="129"/>
      <c r="S625" s="129"/>
      <c r="T625" s="129"/>
      <c r="U625" s="129"/>
      <c r="V625" s="129"/>
      <c r="W625" s="129"/>
      <c r="X625" s="129"/>
      <c r="Y625" s="129"/>
      <c r="Z625" s="129"/>
      <c r="AA625" s="129"/>
      <c r="AB625" s="129"/>
      <c r="AC625" s="129"/>
      <c r="AD625" s="129"/>
      <c r="AE625" s="129"/>
      <c r="AF625" s="129"/>
      <c r="AG625" s="129"/>
      <c r="AH625" s="129"/>
      <c r="AI625" s="129"/>
      <c r="AJ625" s="129"/>
      <c r="AK625" s="129"/>
      <c r="AL625" s="129"/>
      <c r="AM625" s="129"/>
      <c r="AN625" s="129"/>
      <c r="AO625" s="129"/>
      <c r="AP625" s="129"/>
      <c r="AQ625" s="129"/>
    </row>
    <row r="626" spans="1:43" ht="12.75" customHeight="1">
      <c r="A626" s="129"/>
      <c r="B626" s="129"/>
      <c r="C626" s="129"/>
      <c r="D626" s="129"/>
      <c r="E626" s="129"/>
      <c r="F626" s="129"/>
      <c r="G626" s="129"/>
      <c r="H626" s="129"/>
      <c r="I626" s="129"/>
      <c r="J626" s="129"/>
      <c r="K626" s="129"/>
      <c r="L626" s="129"/>
      <c r="M626" s="129"/>
      <c r="N626" s="129"/>
      <c r="O626" s="129"/>
      <c r="P626" s="129"/>
      <c r="Q626" s="129"/>
      <c r="R626" s="129"/>
      <c r="S626" s="129"/>
      <c r="T626" s="129"/>
      <c r="U626" s="129"/>
      <c r="V626" s="129"/>
      <c r="W626" s="129"/>
      <c r="X626" s="129"/>
      <c r="Y626" s="129"/>
      <c r="Z626" s="129"/>
      <c r="AA626" s="129"/>
      <c r="AB626" s="129"/>
      <c r="AC626" s="129"/>
      <c r="AD626" s="129"/>
      <c r="AE626" s="129"/>
      <c r="AF626" s="129"/>
      <c r="AG626" s="129"/>
      <c r="AH626" s="129"/>
      <c r="AI626" s="129"/>
      <c r="AJ626" s="129"/>
      <c r="AK626" s="129"/>
      <c r="AL626" s="129"/>
      <c r="AM626" s="129"/>
      <c r="AN626" s="129"/>
      <c r="AO626" s="129"/>
      <c r="AP626" s="129"/>
      <c r="AQ626" s="129"/>
    </row>
    <row r="627" spans="1:43" ht="12.75" customHeight="1">
      <c r="A627" s="129"/>
      <c r="B627" s="129"/>
      <c r="C627" s="129"/>
      <c r="D627" s="129"/>
      <c r="E627" s="129"/>
      <c r="F627" s="129"/>
      <c r="G627" s="129"/>
      <c r="H627" s="129"/>
      <c r="I627" s="129"/>
      <c r="J627" s="129"/>
      <c r="K627" s="129"/>
      <c r="L627" s="129"/>
      <c r="M627" s="129"/>
      <c r="N627" s="129"/>
      <c r="O627" s="129"/>
      <c r="P627" s="129"/>
      <c r="Q627" s="129"/>
      <c r="R627" s="129"/>
      <c r="S627" s="129"/>
      <c r="T627" s="129"/>
      <c r="U627" s="129"/>
      <c r="V627" s="129"/>
      <c r="W627" s="129"/>
      <c r="X627" s="129"/>
      <c r="Y627" s="129"/>
      <c r="Z627" s="129"/>
      <c r="AA627" s="129"/>
      <c r="AB627" s="129"/>
      <c r="AC627" s="129"/>
      <c r="AD627" s="129"/>
      <c r="AE627" s="129"/>
      <c r="AF627" s="129"/>
      <c r="AG627" s="129"/>
      <c r="AH627" s="129"/>
      <c r="AI627" s="129"/>
      <c r="AJ627" s="129"/>
      <c r="AK627" s="129"/>
      <c r="AL627" s="129"/>
      <c r="AM627" s="129"/>
      <c r="AN627" s="129"/>
      <c r="AO627" s="129"/>
      <c r="AP627" s="129"/>
      <c r="AQ627" s="129"/>
    </row>
    <row r="628" spans="1:43" ht="12.75" customHeight="1">
      <c r="A628" s="129"/>
      <c r="B628" s="129"/>
      <c r="C628" s="129"/>
      <c r="D628" s="129"/>
      <c r="E628" s="129"/>
      <c r="F628" s="129"/>
      <c r="G628" s="129"/>
      <c r="H628" s="129"/>
      <c r="I628" s="129"/>
      <c r="J628" s="129"/>
      <c r="K628" s="129"/>
      <c r="L628" s="129"/>
      <c r="M628" s="129"/>
      <c r="N628" s="129"/>
      <c r="O628" s="129"/>
      <c r="P628" s="129"/>
      <c r="Q628" s="129"/>
      <c r="R628" s="129"/>
      <c r="S628" s="129"/>
      <c r="T628" s="129"/>
      <c r="U628" s="129"/>
      <c r="V628" s="129"/>
      <c r="W628" s="129"/>
      <c r="X628" s="129"/>
      <c r="Y628" s="129"/>
      <c r="Z628" s="129"/>
      <c r="AA628" s="129"/>
      <c r="AB628" s="129"/>
      <c r="AC628" s="129"/>
      <c r="AD628" s="129"/>
      <c r="AE628" s="129"/>
      <c r="AF628" s="129"/>
      <c r="AG628" s="129"/>
      <c r="AH628" s="129"/>
      <c r="AI628" s="129"/>
      <c r="AJ628" s="129"/>
      <c r="AK628" s="129"/>
      <c r="AL628" s="129"/>
      <c r="AM628" s="129"/>
      <c r="AN628" s="129"/>
      <c r="AO628" s="129"/>
      <c r="AP628" s="129"/>
      <c r="AQ628" s="129"/>
    </row>
    <row r="629" spans="1:43" ht="12.75" customHeight="1">
      <c r="A629" s="129"/>
      <c r="B629" s="129"/>
      <c r="C629" s="129"/>
      <c r="D629" s="129"/>
      <c r="E629" s="129"/>
      <c r="F629" s="129"/>
      <c r="G629" s="129"/>
      <c r="H629" s="129"/>
      <c r="I629" s="129"/>
      <c r="J629" s="129"/>
      <c r="K629" s="129"/>
      <c r="L629" s="129"/>
      <c r="M629" s="129"/>
      <c r="N629" s="129"/>
      <c r="O629" s="129"/>
      <c r="P629" s="129"/>
      <c r="Q629" s="129"/>
      <c r="R629" s="129"/>
      <c r="S629" s="129"/>
      <c r="T629" s="129"/>
      <c r="U629" s="129"/>
      <c r="V629" s="129"/>
      <c r="W629" s="129"/>
      <c r="X629" s="129"/>
      <c r="Y629" s="129"/>
      <c r="Z629" s="129"/>
      <c r="AA629" s="129"/>
      <c r="AB629" s="129"/>
      <c r="AC629" s="129"/>
      <c r="AD629" s="129"/>
      <c r="AE629" s="129"/>
      <c r="AF629" s="129"/>
      <c r="AG629" s="129"/>
      <c r="AH629" s="129"/>
      <c r="AI629" s="129"/>
      <c r="AJ629" s="129"/>
      <c r="AK629" s="129"/>
      <c r="AL629" s="129"/>
      <c r="AM629" s="129"/>
      <c r="AN629" s="129"/>
      <c r="AO629" s="129"/>
      <c r="AP629" s="129"/>
      <c r="AQ629" s="129"/>
    </row>
    <row r="630" spans="1:43" ht="12.75" customHeight="1">
      <c r="A630" s="129"/>
      <c r="B630" s="129"/>
      <c r="C630" s="129"/>
      <c r="D630" s="129"/>
      <c r="E630" s="129"/>
      <c r="F630" s="129"/>
      <c r="G630" s="129"/>
      <c r="H630" s="129"/>
      <c r="I630" s="129"/>
      <c r="J630" s="129"/>
      <c r="K630" s="129"/>
      <c r="L630" s="129"/>
      <c r="M630" s="129"/>
      <c r="N630" s="129"/>
      <c r="O630" s="129"/>
      <c r="P630" s="129"/>
      <c r="Q630" s="129"/>
      <c r="R630" s="129"/>
      <c r="S630" s="129"/>
      <c r="T630" s="129"/>
      <c r="U630" s="129"/>
      <c r="V630" s="129"/>
      <c r="W630" s="129"/>
      <c r="X630" s="129"/>
      <c r="Y630" s="129"/>
      <c r="Z630" s="129"/>
      <c r="AA630" s="129"/>
      <c r="AB630" s="129"/>
      <c r="AC630" s="129"/>
      <c r="AD630" s="129"/>
      <c r="AE630" s="129"/>
      <c r="AF630" s="129"/>
      <c r="AG630" s="129"/>
      <c r="AH630" s="129"/>
      <c r="AI630" s="129"/>
      <c r="AJ630" s="129"/>
      <c r="AK630" s="129"/>
      <c r="AL630" s="129"/>
      <c r="AM630" s="129"/>
      <c r="AN630" s="129"/>
      <c r="AO630" s="129"/>
      <c r="AP630" s="129"/>
      <c r="AQ630" s="129"/>
    </row>
    <row r="631" spans="1:43" ht="12.75" customHeight="1">
      <c r="A631" s="129"/>
      <c r="B631" s="129"/>
      <c r="C631" s="129"/>
      <c r="D631" s="129"/>
      <c r="E631" s="129"/>
      <c r="F631" s="129"/>
      <c r="G631" s="129"/>
      <c r="H631" s="129"/>
      <c r="I631" s="129"/>
      <c r="J631" s="129"/>
      <c r="K631" s="129"/>
      <c r="L631" s="129"/>
      <c r="M631" s="129"/>
      <c r="N631" s="129"/>
      <c r="O631" s="129"/>
      <c r="P631" s="129"/>
      <c r="Q631" s="129"/>
      <c r="R631" s="129"/>
      <c r="S631" s="129"/>
      <c r="T631" s="129"/>
      <c r="U631" s="129"/>
      <c r="V631" s="129"/>
      <c r="W631" s="129"/>
      <c r="X631" s="129"/>
      <c r="Y631" s="129"/>
      <c r="Z631" s="129"/>
      <c r="AA631" s="129"/>
      <c r="AB631" s="129"/>
      <c r="AC631" s="129"/>
      <c r="AD631" s="129"/>
      <c r="AE631" s="129"/>
      <c r="AF631" s="129"/>
      <c r="AG631" s="129"/>
      <c r="AH631" s="129"/>
      <c r="AI631" s="129"/>
      <c r="AJ631" s="129"/>
      <c r="AK631" s="129"/>
      <c r="AL631" s="129"/>
      <c r="AM631" s="129"/>
      <c r="AN631" s="129"/>
      <c r="AO631" s="129"/>
      <c r="AP631" s="129"/>
      <c r="AQ631" s="129"/>
    </row>
    <row r="632" spans="1:43" ht="12.75" customHeight="1">
      <c r="A632" s="129"/>
      <c r="B632" s="129"/>
      <c r="C632" s="129"/>
      <c r="D632" s="129"/>
      <c r="E632" s="129"/>
      <c r="F632" s="129"/>
      <c r="G632" s="129"/>
      <c r="H632" s="129"/>
      <c r="I632" s="129"/>
      <c r="J632" s="129"/>
      <c r="K632" s="129"/>
      <c r="L632" s="129"/>
      <c r="M632" s="129"/>
      <c r="N632" s="129"/>
      <c r="O632" s="129"/>
      <c r="P632" s="129"/>
      <c r="Q632" s="129"/>
      <c r="R632" s="129"/>
      <c r="S632" s="129"/>
      <c r="T632" s="129"/>
      <c r="U632" s="129"/>
      <c r="V632" s="129"/>
      <c r="W632" s="129"/>
      <c r="X632" s="129"/>
      <c r="Y632" s="129"/>
      <c r="Z632" s="129"/>
      <c r="AA632" s="129"/>
      <c r="AB632" s="129"/>
      <c r="AC632" s="129"/>
      <c r="AD632" s="129"/>
      <c r="AE632" s="129"/>
      <c r="AF632" s="129"/>
      <c r="AG632" s="129"/>
      <c r="AH632" s="129"/>
      <c r="AI632" s="129"/>
      <c r="AJ632" s="129"/>
      <c r="AK632" s="129"/>
      <c r="AL632" s="129"/>
      <c r="AM632" s="129"/>
      <c r="AN632" s="129"/>
      <c r="AO632" s="129"/>
      <c r="AP632" s="129"/>
      <c r="AQ632" s="129"/>
    </row>
    <row r="633" spans="1:43" ht="12.75" customHeight="1">
      <c r="A633" s="129"/>
      <c r="B633" s="129"/>
      <c r="C633" s="129"/>
      <c r="D633" s="129"/>
      <c r="E633" s="129"/>
      <c r="F633" s="129"/>
      <c r="G633" s="129"/>
      <c r="H633" s="129"/>
      <c r="I633" s="129"/>
      <c r="J633" s="129"/>
      <c r="K633" s="129"/>
      <c r="L633" s="129"/>
      <c r="M633" s="129"/>
      <c r="N633" s="129"/>
      <c r="O633" s="129"/>
      <c r="P633" s="129"/>
      <c r="Q633" s="129"/>
      <c r="R633" s="129"/>
      <c r="S633" s="129"/>
      <c r="T633" s="129"/>
      <c r="U633" s="129"/>
      <c r="V633" s="129"/>
      <c r="W633" s="129"/>
      <c r="X633" s="129"/>
      <c r="Y633" s="129"/>
      <c r="Z633" s="129"/>
      <c r="AA633" s="129"/>
      <c r="AB633" s="129"/>
      <c r="AC633" s="129"/>
      <c r="AD633" s="129"/>
      <c r="AE633" s="129"/>
      <c r="AF633" s="129"/>
      <c r="AG633" s="129"/>
      <c r="AH633" s="129"/>
      <c r="AI633" s="129"/>
      <c r="AJ633" s="129"/>
      <c r="AK633" s="129"/>
      <c r="AL633" s="129"/>
      <c r="AM633" s="129"/>
      <c r="AN633" s="129"/>
      <c r="AO633" s="129"/>
      <c r="AP633" s="129"/>
      <c r="AQ633" s="129"/>
    </row>
    <row r="634" spans="1:43" ht="12.75" customHeight="1">
      <c r="A634" s="129"/>
      <c r="B634" s="129"/>
      <c r="C634" s="129"/>
      <c r="D634" s="129"/>
      <c r="E634" s="129"/>
      <c r="F634" s="129"/>
      <c r="G634" s="129"/>
      <c r="H634" s="129"/>
      <c r="I634" s="129"/>
      <c r="J634" s="129"/>
      <c r="K634" s="129"/>
      <c r="L634" s="129"/>
      <c r="M634" s="129"/>
      <c r="N634" s="129"/>
      <c r="O634" s="129"/>
      <c r="P634" s="129"/>
      <c r="Q634" s="129"/>
      <c r="R634" s="129"/>
      <c r="S634" s="129"/>
      <c r="T634" s="129"/>
      <c r="U634" s="129"/>
      <c r="V634" s="129"/>
      <c r="W634" s="129"/>
      <c r="X634" s="129"/>
      <c r="Y634" s="129"/>
      <c r="Z634" s="129"/>
      <c r="AA634" s="129"/>
      <c r="AB634" s="129"/>
      <c r="AC634" s="129"/>
      <c r="AD634" s="129"/>
      <c r="AE634" s="129"/>
      <c r="AF634" s="129"/>
      <c r="AG634" s="129"/>
      <c r="AH634" s="129"/>
      <c r="AI634" s="129"/>
      <c r="AJ634" s="129"/>
      <c r="AK634" s="129"/>
      <c r="AL634" s="129"/>
      <c r="AM634" s="129"/>
      <c r="AN634" s="129"/>
      <c r="AO634" s="129"/>
      <c r="AP634" s="129"/>
      <c r="AQ634" s="129"/>
    </row>
    <row r="635" spans="1:43" ht="12.75" customHeight="1">
      <c r="A635" s="129"/>
      <c r="B635" s="129"/>
      <c r="C635" s="129"/>
      <c r="D635" s="129"/>
      <c r="E635" s="129"/>
      <c r="F635" s="129"/>
      <c r="G635" s="129"/>
      <c r="H635" s="129"/>
      <c r="I635" s="129"/>
      <c r="J635" s="129"/>
      <c r="K635" s="129"/>
      <c r="L635" s="129"/>
      <c r="M635" s="129"/>
      <c r="N635" s="129"/>
      <c r="O635" s="129"/>
      <c r="P635" s="129"/>
      <c r="Q635" s="129"/>
      <c r="R635" s="129"/>
      <c r="S635" s="129"/>
      <c r="T635" s="129"/>
      <c r="U635" s="129"/>
      <c r="V635" s="129"/>
      <c r="W635" s="129"/>
      <c r="X635" s="129"/>
      <c r="Y635" s="129"/>
      <c r="Z635" s="129"/>
      <c r="AA635" s="129"/>
      <c r="AB635" s="129"/>
      <c r="AC635" s="129"/>
      <c r="AD635" s="129"/>
      <c r="AE635" s="129"/>
      <c r="AF635" s="129"/>
      <c r="AG635" s="129"/>
      <c r="AH635" s="129"/>
      <c r="AI635" s="129"/>
      <c r="AJ635" s="129"/>
      <c r="AK635" s="129"/>
      <c r="AL635" s="129"/>
      <c r="AM635" s="129"/>
      <c r="AN635" s="129"/>
      <c r="AO635" s="129"/>
      <c r="AP635" s="129"/>
      <c r="AQ635" s="129"/>
    </row>
    <row r="636" spans="1:43" ht="12.75" customHeight="1">
      <c r="A636" s="129"/>
      <c r="B636" s="129"/>
      <c r="C636" s="129"/>
      <c r="D636" s="129"/>
      <c r="E636" s="129"/>
      <c r="F636" s="129"/>
      <c r="G636" s="129"/>
      <c r="H636" s="129"/>
      <c r="I636" s="129"/>
      <c r="J636" s="129"/>
      <c r="K636" s="129"/>
      <c r="L636" s="129"/>
      <c r="M636" s="129"/>
      <c r="N636" s="129"/>
      <c r="O636" s="129"/>
      <c r="P636" s="129"/>
      <c r="Q636" s="129"/>
      <c r="R636" s="129"/>
      <c r="S636" s="129"/>
      <c r="T636" s="129"/>
      <c r="U636" s="129"/>
      <c r="V636" s="129"/>
      <c r="W636" s="129"/>
      <c r="X636" s="129"/>
      <c r="Y636" s="129"/>
      <c r="Z636" s="129"/>
      <c r="AA636" s="129"/>
      <c r="AB636" s="129"/>
      <c r="AC636" s="129"/>
      <c r="AD636" s="129"/>
      <c r="AE636" s="129"/>
      <c r="AF636" s="129"/>
      <c r="AG636" s="129"/>
      <c r="AH636" s="129"/>
      <c r="AI636" s="129"/>
      <c r="AJ636" s="129"/>
      <c r="AK636" s="129"/>
      <c r="AL636" s="129"/>
      <c r="AM636" s="129"/>
      <c r="AN636" s="129"/>
      <c r="AO636" s="129"/>
      <c r="AP636" s="129"/>
      <c r="AQ636" s="129"/>
    </row>
    <row r="637" spans="1:43" ht="12.75" customHeight="1">
      <c r="A637" s="129"/>
      <c r="B637" s="129"/>
      <c r="C637" s="129"/>
      <c r="D637" s="129"/>
      <c r="E637" s="129"/>
      <c r="F637" s="129"/>
      <c r="G637" s="129"/>
      <c r="H637" s="129"/>
      <c r="I637" s="129"/>
      <c r="J637" s="129"/>
      <c r="K637" s="129"/>
      <c r="L637" s="129"/>
      <c r="M637" s="129"/>
      <c r="N637" s="129"/>
      <c r="O637" s="129"/>
      <c r="P637" s="129"/>
      <c r="Q637" s="129"/>
      <c r="R637" s="129"/>
      <c r="S637" s="129"/>
      <c r="T637" s="129"/>
      <c r="U637" s="129"/>
      <c r="V637" s="129"/>
      <c r="W637" s="129"/>
      <c r="X637" s="129"/>
      <c r="Y637" s="129"/>
      <c r="Z637" s="129"/>
      <c r="AA637" s="129"/>
      <c r="AB637" s="129"/>
      <c r="AC637" s="129"/>
      <c r="AD637" s="129"/>
      <c r="AE637" s="129"/>
      <c r="AF637" s="129"/>
      <c r="AG637" s="129"/>
      <c r="AH637" s="129"/>
      <c r="AI637" s="129"/>
      <c r="AJ637" s="129"/>
      <c r="AK637" s="129"/>
      <c r="AL637" s="129"/>
      <c r="AM637" s="129"/>
      <c r="AN637" s="129"/>
      <c r="AO637" s="129"/>
      <c r="AP637" s="129"/>
      <c r="AQ637" s="129"/>
    </row>
    <row r="638" spans="1:43" ht="12.75" customHeight="1">
      <c r="A638" s="129"/>
      <c r="B638" s="129"/>
      <c r="C638" s="129"/>
      <c r="D638" s="129"/>
      <c r="E638" s="129"/>
      <c r="F638" s="129"/>
      <c r="G638" s="129"/>
      <c r="H638" s="129"/>
      <c r="I638" s="129"/>
      <c r="J638" s="129"/>
      <c r="K638" s="129"/>
      <c r="L638" s="129"/>
      <c r="M638" s="129"/>
      <c r="N638" s="129"/>
      <c r="O638" s="129"/>
      <c r="P638" s="129"/>
      <c r="Q638" s="129"/>
      <c r="R638" s="129"/>
      <c r="S638" s="129"/>
      <c r="T638" s="129"/>
      <c r="U638" s="129"/>
      <c r="V638" s="129"/>
      <c r="W638" s="129"/>
      <c r="X638" s="129"/>
      <c r="Y638" s="129"/>
      <c r="Z638" s="129"/>
      <c r="AA638" s="129"/>
      <c r="AB638" s="129"/>
      <c r="AC638" s="129"/>
      <c r="AD638" s="129"/>
      <c r="AE638" s="129"/>
      <c r="AF638" s="129"/>
      <c r="AG638" s="129"/>
      <c r="AH638" s="129"/>
      <c r="AI638" s="129"/>
      <c r="AJ638" s="129"/>
      <c r="AK638" s="129"/>
      <c r="AL638" s="129"/>
      <c r="AM638" s="129"/>
      <c r="AN638" s="129"/>
      <c r="AO638" s="129"/>
      <c r="AP638" s="129"/>
      <c r="AQ638" s="129"/>
    </row>
    <row r="639" spans="1:43" ht="12.75" customHeight="1">
      <c r="A639" s="129"/>
      <c r="B639" s="129"/>
      <c r="C639" s="129"/>
      <c r="D639" s="129"/>
      <c r="E639" s="129"/>
      <c r="F639" s="129"/>
      <c r="G639" s="129"/>
      <c r="H639" s="129"/>
      <c r="I639" s="129"/>
      <c r="J639" s="129"/>
      <c r="K639" s="129"/>
      <c r="L639" s="129"/>
      <c r="M639" s="129"/>
      <c r="N639" s="129"/>
      <c r="O639" s="129"/>
      <c r="P639" s="129"/>
      <c r="Q639" s="129"/>
      <c r="R639" s="129"/>
      <c r="S639" s="129"/>
      <c r="T639" s="129"/>
      <c r="U639" s="129"/>
      <c r="V639" s="129"/>
      <c r="W639" s="129"/>
      <c r="X639" s="129"/>
      <c r="Y639" s="129"/>
      <c r="Z639" s="129"/>
      <c r="AA639" s="129"/>
      <c r="AB639" s="129"/>
      <c r="AC639" s="129"/>
      <c r="AD639" s="129"/>
      <c r="AE639" s="129"/>
      <c r="AF639" s="129"/>
      <c r="AG639" s="129"/>
      <c r="AH639" s="129"/>
      <c r="AI639" s="129"/>
      <c r="AJ639" s="129"/>
      <c r="AK639" s="129"/>
      <c r="AL639" s="129"/>
      <c r="AM639" s="129"/>
      <c r="AN639" s="129"/>
      <c r="AO639" s="129"/>
      <c r="AP639" s="129"/>
      <c r="AQ639" s="129"/>
    </row>
    <row r="640" spans="1:43" ht="12.75" customHeight="1">
      <c r="A640" s="129"/>
      <c r="B640" s="129"/>
      <c r="C640" s="129"/>
      <c r="D640" s="129"/>
      <c r="E640" s="129"/>
      <c r="F640" s="129"/>
      <c r="G640" s="129"/>
      <c r="H640" s="129"/>
      <c r="I640" s="129"/>
      <c r="J640" s="129"/>
      <c r="K640" s="129"/>
      <c r="L640" s="129"/>
      <c r="M640" s="129"/>
      <c r="N640" s="129"/>
      <c r="O640" s="129"/>
      <c r="P640" s="129"/>
      <c r="Q640" s="129"/>
      <c r="R640" s="129"/>
      <c r="S640" s="129"/>
      <c r="T640" s="129"/>
      <c r="U640" s="129"/>
      <c r="V640" s="129"/>
      <c r="W640" s="129"/>
      <c r="X640" s="129"/>
      <c r="Y640" s="129"/>
      <c r="Z640" s="129"/>
      <c r="AA640" s="129"/>
      <c r="AB640" s="129"/>
      <c r="AC640" s="129"/>
      <c r="AD640" s="129"/>
      <c r="AE640" s="129"/>
      <c r="AF640" s="129"/>
      <c r="AG640" s="129"/>
      <c r="AH640" s="129"/>
      <c r="AI640" s="129"/>
      <c r="AJ640" s="129"/>
      <c r="AK640" s="129"/>
      <c r="AL640" s="129"/>
      <c r="AM640" s="129"/>
      <c r="AN640" s="129"/>
      <c r="AO640" s="129"/>
      <c r="AP640" s="129"/>
      <c r="AQ640" s="129"/>
    </row>
    <row r="641" spans="1:43" ht="12.75" customHeight="1">
      <c r="A641" s="129"/>
      <c r="B641" s="129"/>
      <c r="C641" s="129"/>
      <c r="D641" s="129"/>
      <c r="E641" s="129"/>
      <c r="F641" s="129"/>
      <c r="G641" s="129"/>
      <c r="H641" s="129"/>
      <c r="I641" s="129"/>
      <c r="J641" s="129"/>
      <c r="K641" s="129"/>
      <c r="L641" s="129"/>
      <c r="M641" s="129"/>
      <c r="N641" s="129"/>
      <c r="O641" s="129"/>
      <c r="P641" s="129"/>
      <c r="Q641" s="129"/>
      <c r="R641" s="129"/>
      <c r="S641" s="129"/>
      <c r="T641" s="129"/>
      <c r="U641" s="129"/>
      <c r="V641" s="129"/>
      <c r="W641" s="129"/>
      <c r="X641" s="129"/>
      <c r="Y641" s="129"/>
      <c r="Z641" s="129"/>
      <c r="AA641" s="129"/>
      <c r="AB641" s="129"/>
      <c r="AC641" s="129"/>
      <c r="AD641" s="129"/>
      <c r="AE641" s="129"/>
      <c r="AF641" s="129"/>
      <c r="AG641" s="129"/>
      <c r="AH641" s="129"/>
      <c r="AI641" s="129"/>
      <c r="AJ641" s="129"/>
      <c r="AK641" s="129"/>
      <c r="AL641" s="129"/>
      <c r="AM641" s="129"/>
      <c r="AN641" s="129"/>
      <c r="AO641" s="129"/>
      <c r="AP641" s="129"/>
      <c r="AQ641" s="129"/>
    </row>
    <row r="642" spans="1:43" ht="12.75" customHeight="1">
      <c r="A642" s="129"/>
      <c r="B642" s="129"/>
      <c r="C642" s="129"/>
      <c r="D642" s="129"/>
      <c r="E642" s="129"/>
      <c r="F642" s="129"/>
      <c r="G642" s="129"/>
      <c r="H642" s="129"/>
      <c r="I642" s="129"/>
      <c r="J642" s="129"/>
      <c r="K642" s="129"/>
      <c r="L642" s="129"/>
      <c r="M642" s="129"/>
      <c r="N642" s="129"/>
      <c r="O642" s="129"/>
      <c r="P642" s="129"/>
      <c r="Q642" s="129"/>
      <c r="R642" s="129"/>
      <c r="S642" s="129"/>
      <c r="T642" s="129"/>
      <c r="U642" s="129"/>
      <c r="V642" s="129"/>
      <c r="W642" s="129"/>
      <c r="X642" s="129"/>
      <c r="Y642" s="129"/>
      <c r="Z642" s="129"/>
      <c r="AA642" s="129"/>
      <c r="AB642" s="129"/>
      <c r="AC642" s="129"/>
      <c r="AD642" s="129"/>
      <c r="AE642" s="129"/>
      <c r="AF642" s="129"/>
      <c r="AG642" s="129"/>
      <c r="AH642" s="129"/>
      <c r="AI642" s="129"/>
      <c r="AJ642" s="129"/>
      <c r="AK642" s="129"/>
      <c r="AL642" s="129"/>
      <c r="AM642" s="129"/>
      <c r="AN642" s="129"/>
      <c r="AO642" s="129"/>
      <c r="AP642" s="129"/>
      <c r="AQ642" s="129"/>
    </row>
    <row r="643" spans="1:43" ht="12.75" customHeight="1">
      <c r="A643" s="129"/>
      <c r="B643" s="129"/>
      <c r="C643" s="129"/>
      <c r="D643" s="129"/>
      <c r="E643" s="129"/>
      <c r="F643" s="129"/>
      <c r="G643" s="129"/>
      <c r="H643" s="129"/>
      <c r="I643" s="129"/>
      <c r="J643" s="129"/>
      <c r="K643" s="129"/>
      <c r="L643" s="129"/>
      <c r="M643" s="129"/>
      <c r="N643" s="129"/>
      <c r="O643" s="129"/>
      <c r="P643" s="129"/>
      <c r="Q643" s="129"/>
      <c r="R643" s="129"/>
      <c r="S643" s="129"/>
      <c r="T643" s="129"/>
      <c r="U643" s="129"/>
      <c r="V643" s="129"/>
      <c r="W643" s="129"/>
      <c r="X643" s="129"/>
      <c r="Y643" s="129"/>
      <c r="Z643" s="129"/>
      <c r="AA643" s="129"/>
      <c r="AB643" s="129"/>
      <c r="AC643" s="129"/>
      <c r="AD643" s="129"/>
      <c r="AE643" s="129"/>
      <c r="AF643" s="129"/>
      <c r="AG643" s="129"/>
      <c r="AH643" s="129"/>
      <c r="AI643" s="129"/>
      <c r="AJ643" s="129"/>
      <c r="AK643" s="129"/>
      <c r="AL643" s="129"/>
      <c r="AM643" s="129"/>
      <c r="AN643" s="129"/>
      <c r="AO643" s="129"/>
      <c r="AP643" s="129"/>
      <c r="AQ643" s="129"/>
    </row>
    <row r="644" spans="1:43" ht="12.75" customHeight="1">
      <c r="A644" s="129"/>
      <c r="B644" s="129"/>
      <c r="C644" s="129"/>
      <c r="D644" s="129"/>
      <c r="E644" s="129"/>
      <c r="F644" s="129"/>
      <c r="G644" s="129"/>
      <c r="H644" s="129"/>
      <c r="I644" s="129"/>
      <c r="J644" s="129"/>
      <c r="K644" s="129"/>
      <c r="L644" s="129"/>
      <c r="M644" s="129"/>
      <c r="N644" s="129"/>
      <c r="O644" s="129"/>
      <c r="P644" s="129"/>
      <c r="Q644" s="129"/>
      <c r="R644" s="129"/>
      <c r="S644" s="129"/>
      <c r="T644" s="129"/>
      <c r="U644" s="129"/>
      <c r="V644" s="129"/>
      <c r="W644" s="129"/>
      <c r="X644" s="129"/>
      <c r="Y644" s="129"/>
      <c r="Z644" s="129"/>
      <c r="AA644" s="129"/>
      <c r="AB644" s="129"/>
      <c r="AC644" s="129"/>
      <c r="AD644" s="129"/>
      <c r="AE644" s="129"/>
      <c r="AF644" s="129"/>
      <c r="AG644" s="129"/>
      <c r="AH644" s="129"/>
      <c r="AI644" s="129"/>
      <c r="AJ644" s="129"/>
      <c r="AK644" s="129"/>
      <c r="AL644" s="129"/>
      <c r="AM644" s="129"/>
      <c r="AN644" s="129"/>
      <c r="AO644" s="129"/>
      <c r="AP644" s="129"/>
      <c r="AQ644" s="129"/>
    </row>
    <row r="645" spans="1:43" ht="12.75" customHeight="1">
      <c r="A645" s="129"/>
      <c r="B645" s="129"/>
      <c r="C645" s="129"/>
      <c r="D645" s="129"/>
      <c r="E645" s="129"/>
      <c r="F645" s="129"/>
      <c r="G645" s="129"/>
      <c r="H645" s="129"/>
      <c r="I645" s="129"/>
      <c r="J645" s="129"/>
      <c r="K645" s="129"/>
      <c r="L645" s="129"/>
      <c r="M645" s="129"/>
      <c r="N645" s="129"/>
      <c r="O645" s="129"/>
      <c r="P645" s="129"/>
      <c r="Q645" s="129"/>
      <c r="R645" s="129"/>
      <c r="S645" s="129"/>
      <c r="T645" s="129"/>
      <c r="U645" s="129"/>
      <c r="V645" s="129"/>
      <c r="W645" s="129"/>
      <c r="X645" s="129"/>
      <c r="Y645" s="129"/>
      <c r="Z645" s="129"/>
      <c r="AA645" s="129"/>
      <c r="AB645" s="129"/>
      <c r="AC645" s="129"/>
      <c r="AD645" s="129"/>
      <c r="AE645" s="129"/>
      <c r="AF645" s="129"/>
      <c r="AG645" s="129"/>
      <c r="AH645" s="129"/>
      <c r="AI645" s="129"/>
      <c r="AJ645" s="129"/>
      <c r="AK645" s="129"/>
      <c r="AL645" s="129"/>
      <c r="AM645" s="129"/>
      <c r="AN645" s="129"/>
      <c r="AO645" s="129"/>
      <c r="AP645" s="129"/>
      <c r="AQ645" s="129"/>
    </row>
    <row r="646" spans="1:43" ht="12.75" customHeight="1">
      <c r="A646" s="129"/>
      <c r="B646" s="129"/>
      <c r="C646" s="129"/>
      <c r="D646" s="129"/>
      <c r="E646" s="129"/>
      <c r="F646" s="129"/>
      <c r="G646" s="129"/>
      <c r="H646" s="129"/>
      <c r="I646" s="129"/>
      <c r="J646" s="129"/>
      <c r="K646" s="129"/>
      <c r="L646" s="129"/>
      <c r="M646" s="129"/>
      <c r="N646" s="129"/>
      <c r="O646" s="129"/>
      <c r="P646" s="129"/>
      <c r="Q646" s="129"/>
      <c r="R646" s="129"/>
      <c r="S646" s="129"/>
      <c r="T646" s="129"/>
      <c r="U646" s="129"/>
      <c r="V646" s="129"/>
      <c r="W646" s="129"/>
      <c r="X646" s="129"/>
      <c r="Y646" s="129"/>
      <c r="Z646" s="129"/>
      <c r="AA646" s="129"/>
      <c r="AB646" s="129"/>
      <c r="AC646" s="129"/>
      <c r="AD646" s="129"/>
      <c r="AE646" s="129"/>
      <c r="AF646" s="129"/>
      <c r="AG646" s="129"/>
      <c r="AH646" s="129"/>
      <c r="AI646" s="129"/>
      <c r="AJ646" s="129"/>
      <c r="AK646" s="129"/>
      <c r="AL646" s="129"/>
      <c r="AM646" s="129"/>
      <c r="AN646" s="129"/>
      <c r="AO646" s="129"/>
      <c r="AP646" s="129"/>
      <c r="AQ646" s="129"/>
    </row>
    <row r="647" spans="1:43" ht="12.75" customHeight="1">
      <c r="A647" s="129"/>
      <c r="B647" s="129"/>
      <c r="C647" s="129"/>
      <c r="D647" s="129"/>
      <c r="E647" s="129"/>
      <c r="F647" s="129"/>
      <c r="G647" s="129"/>
      <c r="H647" s="129"/>
      <c r="I647" s="129"/>
      <c r="J647" s="129"/>
      <c r="K647" s="129"/>
      <c r="L647" s="129"/>
      <c r="M647" s="129"/>
      <c r="N647" s="129"/>
      <c r="O647" s="129"/>
      <c r="P647" s="129"/>
      <c r="Q647" s="129"/>
      <c r="R647" s="129"/>
      <c r="S647" s="129"/>
      <c r="T647" s="129"/>
      <c r="U647" s="129"/>
      <c r="V647" s="129"/>
      <c r="W647" s="129"/>
      <c r="X647" s="129"/>
      <c r="Y647" s="129"/>
      <c r="Z647" s="129"/>
      <c r="AA647" s="129"/>
      <c r="AB647" s="129"/>
      <c r="AC647" s="129"/>
      <c r="AD647" s="129"/>
      <c r="AE647" s="129"/>
      <c r="AF647" s="129"/>
      <c r="AG647" s="129"/>
      <c r="AH647" s="129"/>
      <c r="AI647" s="129"/>
      <c r="AJ647" s="129"/>
      <c r="AK647" s="129"/>
      <c r="AL647" s="129"/>
      <c r="AM647" s="129"/>
      <c r="AN647" s="129"/>
      <c r="AO647" s="129"/>
      <c r="AP647" s="129"/>
      <c r="AQ647" s="129"/>
    </row>
    <row r="648" spans="1:43" ht="12.75" customHeight="1">
      <c r="A648" s="129"/>
      <c r="B648" s="129"/>
      <c r="C648" s="129"/>
      <c r="D648" s="129"/>
      <c r="E648" s="129"/>
      <c r="F648" s="129"/>
      <c r="G648" s="129"/>
      <c r="H648" s="129"/>
      <c r="I648" s="129"/>
      <c r="J648" s="129"/>
      <c r="K648" s="129"/>
      <c r="L648" s="129"/>
      <c r="M648" s="129"/>
      <c r="N648" s="129"/>
      <c r="O648" s="129"/>
      <c r="P648" s="129"/>
      <c r="Q648" s="129"/>
      <c r="R648" s="129"/>
      <c r="S648" s="129"/>
      <c r="T648" s="129"/>
      <c r="U648" s="129"/>
      <c r="V648" s="129"/>
      <c r="W648" s="129"/>
      <c r="X648" s="129"/>
      <c r="Y648" s="129"/>
      <c r="Z648" s="129"/>
      <c r="AA648" s="129"/>
      <c r="AB648" s="129"/>
      <c r="AC648" s="129"/>
      <c r="AD648" s="129"/>
      <c r="AE648" s="129"/>
      <c r="AF648" s="129"/>
      <c r="AG648" s="129"/>
      <c r="AH648" s="129"/>
      <c r="AI648" s="129"/>
      <c r="AJ648" s="129"/>
      <c r="AK648" s="129"/>
      <c r="AL648" s="129"/>
      <c r="AM648" s="129"/>
      <c r="AN648" s="129"/>
      <c r="AO648" s="129"/>
      <c r="AP648" s="129"/>
      <c r="AQ648" s="129"/>
    </row>
    <row r="649" spans="1:43" ht="12.75" customHeight="1">
      <c r="A649" s="129"/>
      <c r="B649" s="129"/>
      <c r="C649" s="129"/>
      <c r="D649" s="129"/>
      <c r="E649" s="129"/>
      <c r="F649" s="129"/>
      <c r="G649" s="129"/>
      <c r="H649" s="129"/>
      <c r="I649" s="129"/>
      <c r="J649" s="129"/>
      <c r="K649" s="129"/>
      <c r="L649" s="129"/>
      <c r="M649" s="129"/>
      <c r="N649" s="129"/>
      <c r="O649" s="129"/>
      <c r="P649" s="129"/>
      <c r="Q649" s="129"/>
      <c r="R649" s="129"/>
      <c r="S649" s="129"/>
      <c r="T649" s="129"/>
      <c r="U649" s="129"/>
      <c r="V649" s="129"/>
      <c r="W649" s="129"/>
      <c r="X649" s="129"/>
      <c r="Y649" s="129"/>
      <c r="Z649" s="129"/>
      <c r="AA649" s="129"/>
      <c r="AB649" s="129"/>
      <c r="AC649" s="129"/>
      <c r="AD649" s="129"/>
      <c r="AE649" s="129"/>
      <c r="AF649" s="129"/>
      <c r="AG649" s="129"/>
      <c r="AH649" s="129"/>
      <c r="AI649" s="129"/>
      <c r="AJ649" s="129"/>
      <c r="AK649" s="129"/>
      <c r="AL649" s="129"/>
      <c r="AM649" s="129"/>
      <c r="AN649" s="129"/>
      <c r="AO649" s="129"/>
      <c r="AP649" s="129"/>
      <c r="AQ649" s="129"/>
    </row>
    <row r="650" spans="1:43" ht="12.75" customHeight="1">
      <c r="A650" s="129"/>
      <c r="B650" s="129"/>
      <c r="C650" s="129"/>
      <c r="D650" s="129"/>
      <c r="E650" s="129"/>
      <c r="F650" s="129"/>
      <c r="G650" s="129"/>
      <c r="H650" s="129"/>
      <c r="I650" s="129"/>
      <c r="J650" s="129"/>
      <c r="K650" s="129"/>
      <c r="L650" s="129"/>
      <c r="M650" s="129"/>
      <c r="N650" s="129"/>
      <c r="O650" s="129"/>
      <c r="P650" s="129"/>
      <c r="Q650" s="129"/>
      <c r="R650" s="129"/>
      <c r="S650" s="129"/>
      <c r="T650" s="129"/>
      <c r="U650" s="129"/>
      <c r="V650" s="129"/>
      <c r="W650" s="129"/>
      <c r="X650" s="129"/>
      <c r="Y650" s="129"/>
      <c r="Z650" s="129"/>
      <c r="AA650" s="129"/>
      <c r="AB650" s="129"/>
      <c r="AC650" s="129"/>
      <c r="AD650" s="129"/>
      <c r="AE650" s="129"/>
      <c r="AF650" s="129"/>
      <c r="AG650" s="129"/>
      <c r="AH650" s="129"/>
      <c r="AI650" s="129"/>
      <c r="AJ650" s="129"/>
      <c r="AK650" s="129"/>
      <c r="AL650" s="129"/>
      <c r="AM650" s="129"/>
      <c r="AN650" s="129"/>
      <c r="AO650" s="129"/>
      <c r="AP650" s="129"/>
      <c r="AQ650" s="129"/>
    </row>
    <row r="651" spans="1:43" ht="12.75" customHeight="1">
      <c r="A651" s="129"/>
      <c r="B651" s="129"/>
      <c r="C651" s="129"/>
      <c r="D651" s="129"/>
      <c r="E651" s="129"/>
      <c r="F651" s="129"/>
      <c r="G651" s="129"/>
      <c r="H651" s="129"/>
      <c r="I651" s="129"/>
      <c r="J651" s="129"/>
      <c r="K651" s="129"/>
      <c r="L651" s="129"/>
      <c r="M651" s="129"/>
      <c r="N651" s="129"/>
      <c r="O651" s="129"/>
      <c r="P651" s="129"/>
      <c r="Q651" s="129"/>
      <c r="R651" s="129"/>
      <c r="S651" s="129"/>
      <c r="T651" s="129"/>
      <c r="U651" s="129"/>
      <c r="V651" s="129"/>
      <c r="W651" s="129"/>
      <c r="X651" s="129"/>
      <c r="Y651" s="129"/>
      <c r="Z651" s="129"/>
      <c r="AA651" s="129"/>
      <c r="AB651" s="129"/>
      <c r="AC651" s="129"/>
      <c r="AD651" s="129"/>
      <c r="AE651" s="129"/>
      <c r="AF651" s="129"/>
      <c r="AG651" s="129"/>
      <c r="AH651" s="129"/>
      <c r="AI651" s="129"/>
      <c r="AJ651" s="129"/>
      <c r="AK651" s="129"/>
      <c r="AL651" s="129"/>
      <c r="AM651" s="129"/>
      <c r="AN651" s="129"/>
      <c r="AO651" s="129"/>
      <c r="AP651" s="129"/>
      <c r="AQ651" s="129"/>
    </row>
    <row r="652" spans="1:43" ht="12.75" customHeight="1">
      <c r="A652" s="129"/>
      <c r="B652" s="129"/>
      <c r="C652" s="129"/>
      <c r="D652" s="129"/>
      <c r="E652" s="129"/>
      <c r="F652" s="129"/>
      <c r="G652" s="129"/>
      <c r="H652" s="129"/>
      <c r="I652" s="129"/>
      <c r="J652" s="129"/>
      <c r="K652" s="129"/>
      <c r="L652" s="129"/>
      <c r="M652" s="129"/>
      <c r="N652" s="129"/>
      <c r="O652" s="129"/>
      <c r="P652" s="129"/>
      <c r="Q652" s="129"/>
      <c r="R652" s="129"/>
      <c r="S652" s="129"/>
      <c r="T652" s="129"/>
      <c r="U652" s="129"/>
      <c r="V652" s="129"/>
      <c r="W652" s="129"/>
      <c r="X652" s="129"/>
      <c r="Y652" s="129"/>
      <c r="Z652" s="129"/>
      <c r="AA652" s="129"/>
      <c r="AB652" s="129"/>
      <c r="AC652" s="129"/>
      <c r="AD652" s="129"/>
      <c r="AE652" s="129"/>
      <c r="AF652" s="129"/>
      <c r="AG652" s="129"/>
      <c r="AH652" s="129"/>
      <c r="AI652" s="129"/>
      <c r="AJ652" s="129"/>
      <c r="AK652" s="129"/>
      <c r="AL652" s="129"/>
      <c r="AM652" s="129"/>
      <c r="AN652" s="129"/>
      <c r="AO652" s="129"/>
      <c r="AP652" s="129"/>
      <c r="AQ652" s="129"/>
    </row>
    <row r="653" spans="1:43" ht="12.75" customHeight="1">
      <c r="A653" s="129"/>
      <c r="B653" s="129"/>
      <c r="C653" s="129"/>
      <c r="D653" s="129"/>
      <c r="E653" s="129"/>
      <c r="F653" s="129"/>
      <c r="G653" s="129"/>
      <c r="H653" s="129"/>
      <c r="I653" s="129"/>
      <c r="J653" s="129"/>
      <c r="K653" s="129"/>
      <c r="L653" s="129"/>
      <c r="M653" s="129"/>
      <c r="N653" s="129"/>
      <c r="O653" s="129"/>
      <c r="P653" s="129"/>
      <c r="Q653" s="129"/>
      <c r="R653" s="129"/>
      <c r="S653" s="129"/>
      <c r="T653" s="129"/>
      <c r="U653" s="129"/>
      <c r="V653" s="129"/>
      <c r="W653" s="129"/>
      <c r="X653" s="129"/>
      <c r="Y653" s="129"/>
      <c r="Z653" s="129"/>
      <c r="AA653" s="129"/>
      <c r="AB653" s="129"/>
      <c r="AC653" s="129"/>
      <c r="AD653" s="129"/>
      <c r="AE653" s="129"/>
      <c r="AF653" s="129"/>
      <c r="AG653" s="129"/>
      <c r="AH653" s="129"/>
      <c r="AI653" s="129"/>
      <c r="AJ653" s="129"/>
      <c r="AK653" s="129"/>
      <c r="AL653" s="129"/>
      <c r="AM653" s="129"/>
      <c r="AN653" s="129"/>
      <c r="AO653" s="129"/>
      <c r="AP653" s="129"/>
      <c r="AQ653" s="129"/>
    </row>
    <row r="654" spans="1:43" ht="12.75" customHeight="1">
      <c r="A654" s="129"/>
      <c r="B654" s="129"/>
      <c r="C654" s="129"/>
      <c r="D654" s="129"/>
      <c r="E654" s="129"/>
      <c r="F654" s="129"/>
      <c r="G654" s="129"/>
      <c r="H654" s="129"/>
      <c r="I654" s="129"/>
      <c r="J654" s="129"/>
      <c r="K654" s="129"/>
      <c r="L654" s="129"/>
      <c r="M654" s="129"/>
      <c r="N654" s="129"/>
      <c r="O654" s="129"/>
      <c r="P654" s="129"/>
      <c r="Q654" s="129"/>
      <c r="R654" s="129"/>
      <c r="S654" s="129"/>
      <c r="T654" s="129"/>
      <c r="U654" s="129"/>
      <c r="V654" s="129"/>
      <c r="W654" s="129"/>
      <c r="X654" s="129"/>
      <c r="Y654" s="129"/>
      <c r="Z654" s="129"/>
      <c r="AA654" s="129"/>
      <c r="AB654" s="129"/>
      <c r="AC654" s="129"/>
      <c r="AD654" s="129"/>
      <c r="AE654" s="129"/>
      <c r="AF654" s="129"/>
      <c r="AG654" s="129"/>
      <c r="AH654" s="129"/>
      <c r="AI654" s="129"/>
      <c r="AJ654" s="129"/>
      <c r="AK654" s="129"/>
      <c r="AL654" s="129"/>
      <c r="AM654" s="129"/>
      <c r="AN654" s="129"/>
      <c r="AO654" s="129"/>
      <c r="AP654" s="129"/>
      <c r="AQ654" s="129"/>
    </row>
    <row r="655" spans="1:43" ht="12.75" customHeight="1">
      <c r="A655" s="129"/>
      <c r="B655" s="129"/>
      <c r="C655" s="129"/>
      <c r="D655" s="129"/>
      <c r="E655" s="129"/>
      <c r="F655" s="129"/>
      <c r="G655" s="129"/>
      <c r="H655" s="129"/>
      <c r="I655" s="129"/>
      <c r="J655" s="129"/>
      <c r="K655" s="129"/>
      <c r="L655" s="129"/>
      <c r="M655" s="129"/>
      <c r="N655" s="129"/>
      <c r="O655" s="129"/>
      <c r="P655" s="129"/>
      <c r="Q655" s="129"/>
      <c r="R655" s="129"/>
      <c r="S655" s="129"/>
      <c r="T655" s="129"/>
      <c r="U655" s="129"/>
      <c r="V655" s="129"/>
      <c r="W655" s="129"/>
      <c r="X655" s="129"/>
      <c r="Y655" s="129"/>
      <c r="Z655" s="129"/>
      <c r="AA655" s="129"/>
      <c r="AB655" s="129"/>
      <c r="AC655" s="129"/>
      <c r="AD655" s="129"/>
      <c r="AE655" s="129"/>
      <c r="AF655" s="129"/>
      <c r="AG655" s="129"/>
      <c r="AH655" s="129"/>
      <c r="AI655" s="129"/>
      <c r="AJ655" s="129"/>
      <c r="AK655" s="129"/>
      <c r="AL655" s="129"/>
      <c r="AM655" s="129"/>
      <c r="AN655" s="129"/>
      <c r="AO655" s="129"/>
      <c r="AP655" s="129"/>
      <c r="AQ655" s="129"/>
    </row>
    <row r="656" spans="1:43" ht="12.75" customHeight="1">
      <c r="A656" s="129"/>
      <c r="B656" s="129"/>
      <c r="C656" s="129"/>
      <c r="D656" s="129"/>
      <c r="E656" s="129"/>
      <c r="F656" s="129"/>
      <c r="G656" s="129"/>
      <c r="H656" s="129"/>
      <c r="I656" s="129"/>
      <c r="J656" s="129"/>
      <c r="K656" s="129"/>
      <c r="L656" s="129"/>
      <c r="M656" s="129"/>
      <c r="N656" s="129"/>
      <c r="O656" s="129"/>
      <c r="P656" s="129"/>
      <c r="Q656" s="129"/>
      <c r="R656" s="129"/>
      <c r="S656" s="129"/>
      <c r="T656" s="129"/>
      <c r="U656" s="129"/>
      <c r="V656" s="129"/>
      <c r="W656" s="129"/>
      <c r="X656" s="129"/>
      <c r="Y656" s="129"/>
      <c r="Z656" s="129"/>
      <c r="AA656" s="129"/>
      <c r="AB656" s="129"/>
      <c r="AC656" s="129"/>
      <c r="AD656" s="129"/>
      <c r="AE656" s="129"/>
      <c r="AF656" s="129"/>
      <c r="AG656" s="129"/>
      <c r="AH656" s="129"/>
      <c r="AI656" s="129"/>
      <c r="AJ656" s="129"/>
      <c r="AK656" s="129"/>
      <c r="AL656" s="129"/>
      <c r="AM656" s="129"/>
      <c r="AN656" s="129"/>
      <c r="AO656" s="129"/>
      <c r="AP656" s="129"/>
      <c r="AQ656" s="129"/>
    </row>
    <row r="657" spans="1:43" ht="12.75" customHeight="1">
      <c r="A657" s="129"/>
      <c r="B657" s="129"/>
      <c r="C657" s="129"/>
      <c r="D657" s="129"/>
      <c r="E657" s="129"/>
      <c r="F657" s="129"/>
      <c r="G657" s="129"/>
      <c r="H657" s="129"/>
      <c r="I657" s="129"/>
      <c r="J657" s="129"/>
      <c r="K657" s="129"/>
      <c r="L657" s="129"/>
      <c r="M657" s="129"/>
      <c r="N657" s="129"/>
      <c r="O657" s="129"/>
      <c r="P657" s="129"/>
      <c r="Q657" s="129"/>
      <c r="R657" s="129"/>
      <c r="S657" s="129"/>
      <c r="T657" s="129"/>
      <c r="U657" s="129"/>
      <c r="V657" s="129"/>
      <c r="W657" s="129"/>
      <c r="X657" s="129"/>
      <c r="Y657" s="129"/>
      <c r="Z657" s="129"/>
      <c r="AA657" s="129"/>
      <c r="AB657" s="129"/>
      <c r="AC657" s="129"/>
      <c r="AD657" s="129"/>
      <c r="AE657" s="129"/>
      <c r="AF657" s="129"/>
      <c r="AG657" s="129"/>
      <c r="AH657" s="129"/>
      <c r="AI657" s="129"/>
      <c r="AJ657" s="129"/>
      <c r="AK657" s="129"/>
      <c r="AL657" s="129"/>
      <c r="AM657" s="129"/>
      <c r="AN657" s="129"/>
      <c r="AO657" s="129"/>
      <c r="AP657" s="129"/>
      <c r="AQ657" s="129"/>
    </row>
    <row r="658" spans="1:43" ht="12.75" customHeight="1">
      <c r="A658" s="129"/>
      <c r="B658" s="129"/>
      <c r="C658" s="129"/>
      <c r="D658" s="129"/>
      <c r="E658" s="129"/>
      <c r="F658" s="129"/>
      <c r="G658" s="129"/>
      <c r="H658" s="129"/>
      <c r="I658" s="129"/>
      <c r="J658" s="129"/>
      <c r="K658" s="129"/>
      <c r="L658" s="129"/>
      <c r="M658" s="129"/>
      <c r="N658" s="129"/>
      <c r="O658" s="129"/>
      <c r="P658" s="129"/>
      <c r="Q658" s="129"/>
      <c r="R658" s="129"/>
      <c r="S658" s="129"/>
      <c r="T658" s="129"/>
      <c r="U658" s="129"/>
      <c r="V658" s="129"/>
      <c r="W658" s="129"/>
      <c r="X658" s="129"/>
      <c r="Y658" s="129"/>
      <c r="Z658" s="129"/>
      <c r="AA658" s="129"/>
      <c r="AB658" s="129"/>
      <c r="AC658" s="129"/>
      <c r="AD658" s="129"/>
      <c r="AE658" s="129"/>
      <c r="AF658" s="129"/>
      <c r="AG658" s="129"/>
      <c r="AH658" s="129"/>
      <c r="AI658" s="129"/>
      <c r="AJ658" s="129"/>
      <c r="AK658" s="129"/>
      <c r="AL658" s="129"/>
      <c r="AM658" s="129"/>
      <c r="AN658" s="129"/>
      <c r="AO658" s="129"/>
      <c r="AP658" s="129"/>
      <c r="AQ658" s="129"/>
    </row>
    <row r="659" spans="1:43" ht="12.75" customHeight="1">
      <c r="A659" s="129"/>
      <c r="B659" s="129"/>
      <c r="C659" s="129"/>
      <c r="D659" s="129"/>
      <c r="E659" s="129"/>
      <c r="F659" s="129"/>
      <c r="G659" s="129"/>
      <c r="H659" s="129"/>
      <c r="I659" s="129"/>
      <c r="J659" s="129"/>
      <c r="K659" s="129"/>
      <c r="L659" s="129"/>
      <c r="M659" s="129"/>
      <c r="N659" s="129"/>
      <c r="O659" s="129"/>
      <c r="P659" s="129"/>
      <c r="Q659" s="129"/>
      <c r="R659" s="129"/>
      <c r="S659" s="129"/>
      <c r="T659" s="129"/>
      <c r="U659" s="129"/>
      <c r="V659" s="129"/>
      <c r="W659" s="129"/>
      <c r="X659" s="129"/>
      <c r="Y659" s="129"/>
      <c r="Z659" s="129"/>
      <c r="AA659" s="129"/>
      <c r="AB659" s="129"/>
      <c r="AC659" s="129"/>
      <c r="AD659" s="129"/>
      <c r="AE659" s="129"/>
      <c r="AF659" s="129"/>
      <c r="AG659" s="129"/>
      <c r="AH659" s="129"/>
      <c r="AI659" s="129"/>
      <c r="AJ659" s="129"/>
      <c r="AK659" s="129"/>
      <c r="AL659" s="129"/>
      <c r="AM659" s="129"/>
      <c r="AN659" s="129"/>
      <c r="AO659" s="129"/>
      <c r="AP659" s="129"/>
      <c r="AQ659" s="129"/>
    </row>
    <row r="660" spans="1:43" ht="12.75" customHeight="1">
      <c r="A660" s="129"/>
      <c r="B660" s="129"/>
      <c r="C660" s="129"/>
      <c r="D660" s="129"/>
      <c r="E660" s="129"/>
      <c r="F660" s="129"/>
      <c r="G660" s="129"/>
      <c r="H660" s="129"/>
      <c r="I660" s="129"/>
      <c r="J660" s="129"/>
      <c r="K660" s="129"/>
      <c r="L660" s="129"/>
      <c r="M660" s="129"/>
      <c r="N660" s="129"/>
      <c r="O660" s="129"/>
      <c r="P660" s="129"/>
      <c r="Q660" s="129"/>
      <c r="R660" s="129"/>
      <c r="S660" s="129"/>
      <c r="T660" s="129"/>
      <c r="U660" s="129"/>
      <c r="V660" s="129"/>
      <c r="W660" s="129"/>
      <c r="X660" s="129"/>
      <c r="Y660" s="129"/>
      <c r="Z660" s="129"/>
      <c r="AA660" s="129"/>
      <c r="AB660" s="129"/>
      <c r="AC660" s="129"/>
      <c r="AD660" s="129"/>
      <c r="AE660" s="129"/>
      <c r="AF660" s="129"/>
      <c r="AG660" s="129"/>
      <c r="AH660" s="129"/>
      <c r="AI660" s="129"/>
      <c r="AJ660" s="129"/>
      <c r="AK660" s="129"/>
      <c r="AL660" s="129"/>
      <c r="AM660" s="129"/>
      <c r="AN660" s="129"/>
      <c r="AO660" s="129"/>
      <c r="AP660" s="129"/>
      <c r="AQ660" s="129"/>
    </row>
    <row r="661" spans="1:43" ht="12.75" customHeight="1">
      <c r="A661" s="129"/>
      <c r="B661" s="129"/>
      <c r="C661" s="129"/>
      <c r="D661" s="129"/>
      <c r="E661" s="129"/>
      <c r="F661" s="129"/>
      <c r="G661" s="129"/>
      <c r="H661" s="129"/>
      <c r="I661" s="129"/>
      <c r="J661" s="129"/>
      <c r="K661" s="129"/>
      <c r="L661" s="129"/>
      <c r="M661" s="129"/>
      <c r="N661" s="129"/>
      <c r="O661" s="129"/>
      <c r="P661" s="129"/>
      <c r="Q661" s="129"/>
      <c r="R661" s="129"/>
      <c r="S661" s="129"/>
      <c r="T661" s="129"/>
      <c r="U661" s="129"/>
      <c r="V661" s="129"/>
      <c r="W661" s="129"/>
      <c r="X661" s="129"/>
      <c r="Y661" s="129"/>
      <c r="Z661" s="129"/>
      <c r="AA661" s="129"/>
      <c r="AB661" s="129"/>
      <c r="AC661" s="129"/>
      <c r="AD661" s="129"/>
      <c r="AE661" s="129"/>
      <c r="AF661" s="129"/>
      <c r="AG661" s="129"/>
      <c r="AH661" s="129"/>
      <c r="AI661" s="129"/>
      <c r="AJ661" s="129"/>
      <c r="AK661" s="129"/>
      <c r="AL661" s="129"/>
      <c r="AM661" s="129"/>
      <c r="AN661" s="129"/>
      <c r="AO661" s="129"/>
      <c r="AP661" s="129"/>
      <c r="AQ661" s="129"/>
    </row>
    <row r="662" spans="1:43" ht="12.75" customHeight="1">
      <c r="A662" s="129"/>
      <c r="B662" s="129"/>
      <c r="C662" s="129"/>
      <c r="D662" s="129"/>
      <c r="E662" s="129"/>
      <c r="F662" s="129"/>
      <c r="G662" s="129"/>
      <c r="H662" s="129"/>
      <c r="I662" s="129"/>
      <c r="J662" s="129"/>
      <c r="K662" s="129"/>
      <c r="L662" s="129"/>
      <c r="M662" s="129"/>
      <c r="N662" s="129"/>
      <c r="O662" s="129"/>
      <c r="P662" s="129"/>
      <c r="Q662" s="129"/>
      <c r="R662" s="129"/>
      <c r="S662" s="129"/>
      <c r="T662" s="129"/>
      <c r="U662" s="129"/>
      <c r="V662" s="129"/>
      <c r="W662" s="129"/>
      <c r="X662" s="129"/>
      <c r="Y662" s="129"/>
      <c r="Z662" s="129"/>
      <c r="AA662" s="129"/>
      <c r="AB662" s="129"/>
      <c r="AC662" s="129"/>
      <c r="AD662" s="129"/>
      <c r="AE662" s="129"/>
      <c r="AF662" s="129"/>
      <c r="AG662" s="129"/>
      <c r="AH662" s="129"/>
      <c r="AI662" s="129"/>
      <c r="AJ662" s="129"/>
      <c r="AK662" s="129"/>
      <c r="AL662" s="129"/>
      <c r="AM662" s="129"/>
      <c r="AN662" s="129"/>
      <c r="AO662" s="129"/>
      <c r="AP662" s="129"/>
      <c r="AQ662" s="129"/>
    </row>
    <row r="663" spans="1:43" ht="12.75" customHeight="1">
      <c r="A663" s="129"/>
      <c r="B663" s="129"/>
      <c r="C663" s="129"/>
      <c r="D663" s="129"/>
      <c r="E663" s="129"/>
      <c r="F663" s="129"/>
      <c r="G663" s="129"/>
      <c r="H663" s="129"/>
      <c r="I663" s="129"/>
      <c r="J663" s="129"/>
      <c r="K663" s="129"/>
      <c r="L663" s="129"/>
      <c r="M663" s="129"/>
      <c r="N663" s="129"/>
      <c r="O663" s="129"/>
      <c r="P663" s="129"/>
      <c r="Q663" s="129"/>
      <c r="R663" s="129"/>
      <c r="S663" s="129"/>
      <c r="T663" s="129"/>
      <c r="U663" s="129"/>
      <c r="V663" s="129"/>
      <c r="W663" s="129"/>
      <c r="X663" s="129"/>
      <c r="Y663" s="129"/>
      <c r="Z663" s="129"/>
      <c r="AA663" s="129"/>
      <c r="AB663" s="129"/>
      <c r="AC663" s="129"/>
      <c r="AD663" s="129"/>
      <c r="AE663" s="129"/>
      <c r="AF663" s="129"/>
      <c r="AG663" s="129"/>
      <c r="AH663" s="129"/>
      <c r="AI663" s="129"/>
      <c r="AJ663" s="129"/>
      <c r="AK663" s="129"/>
      <c r="AL663" s="129"/>
      <c r="AM663" s="129"/>
      <c r="AN663" s="129"/>
      <c r="AO663" s="129"/>
      <c r="AP663" s="129"/>
      <c r="AQ663" s="129"/>
    </row>
    <row r="664" spans="1:43" ht="12.75" customHeight="1">
      <c r="A664" s="129"/>
      <c r="B664" s="129"/>
      <c r="C664" s="129"/>
      <c r="D664" s="129"/>
      <c r="E664" s="129"/>
      <c r="F664" s="129"/>
      <c r="G664" s="129"/>
      <c r="H664" s="129"/>
      <c r="I664" s="129"/>
      <c r="J664" s="129"/>
      <c r="K664" s="129"/>
      <c r="L664" s="129"/>
      <c r="M664" s="129"/>
      <c r="N664" s="129"/>
      <c r="O664" s="129"/>
      <c r="P664" s="129"/>
      <c r="Q664" s="129"/>
      <c r="R664" s="129"/>
      <c r="S664" s="129"/>
      <c r="T664" s="129"/>
      <c r="U664" s="129"/>
      <c r="V664" s="129"/>
      <c r="W664" s="129"/>
      <c r="X664" s="129"/>
      <c r="Y664" s="129"/>
      <c r="Z664" s="129"/>
      <c r="AA664" s="129"/>
      <c r="AB664" s="129"/>
      <c r="AC664" s="129"/>
      <c r="AD664" s="129"/>
      <c r="AE664" s="129"/>
      <c r="AF664" s="129"/>
      <c r="AG664" s="129"/>
      <c r="AH664" s="129"/>
      <c r="AI664" s="129"/>
      <c r="AJ664" s="129"/>
      <c r="AK664" s="129"/>
      <c r="AL664" s="129"/>
      <c r="AM664" s="129"/>
      <c r="AN664" s="129"/>
      <c r="AO664" s="129"/>
      <c r="AP664" s="129"/>
      <c r="AQ664" s="129"/>
    </row>
    <row r="665" spans="1:43" ht="12.75" customHeight="1">
      <c r="A665" s="129"/>
      <c r="B665" s="129"/>
      <c r="C665" s="129"/>
      <c r="D665" s="129"/>
      <c r="E665" s="129"/>
      <c r="F665" s="129"/>
      <c r="G665" s="129"/>
      <c r="H665" s="129"/>
      <c r="I665" s="129"/>
      <c r="J665" s="129"/>
      <c r="K665" s="129"/>
      <c r="L665" s="129"/>
      <c r="M665" s="129"/>
      <c r="N665" s="129"/>
      <c r="O665" s="129"/>
      <c r="P665" s="129"/>
      <c r="Q665" s="129"/>
      <c r="R665" s="129"/>
      <c r="S665" s="129"/>
      <c r="T665" s="129"/>
      <c r="U665" s="129"/>
      <c r="V665" s="129"/>
      <c r="W665" s="129"/>
      <c r="X665" s="129"/>
      <c r="Y665" s="129"/>
      <c r="Z665" s="129"/>
      <c r="AA665" s="129"/>
      <c r="AB665" s="129"/>
      <c r="AC665" s="129"/>
      <c r="AD665" s="129"/>
      <c r="AE665" s="129"/>
      <c r="AF665" s="129"/>
      <c r="AG665" s="129"/>
      <c r="AH665" s="129"/>
      <c r="AI665" s="129"/>
      <c r="AJ665" s="129"/>
      <c r="AK665" s="129"/>
      <c r="AL665" s="129"/>
      <c r="AM665" s="129"/>
      <c r="AN665" s="129"/>
      <c r="AO665" s="129"/>
      <c r="AP665" s="129"/>
      <c r="AQ665" s="129"/>
    </row>
    <row r="666" spans="1:43" ht="12.75" customHeight="1">
      <c r="A666" s="129"/>
      <c r="B666" s="129"/>
      <c r="C666" s="129"/>
      <c r="D666" s="129"/>
      <c r="E666" s="129"/>
      <c r="F666" s="129"/>
      <c r="G666" s="129"/>
      <c r="H666" s="129"/>
      <c r="I666" s="129"/>
      <c r="J666" s="129"/>
      <c r="K666" s="129"/>
      <c r="L666" s="129"/>
      <c r="M666" s="129"/>
      <c r="N666" s="129"/>
      <c r="O666" s="129"/>
      <c r="P666" s="129"/>
      <c r="Q666" s="129"/>
      <c r="R666" s="129"/>
      <c r="S666" s="129"/>
      <c r="T666" s="129"/>
      <c r="U666" s="129"/>
      <c r="V666" s="129"/>
      <c r="W666" s="129"/>
      <c r="X666" s="129"/>
      <c r="Y666" s="129"/>
      <c r="Z666" s="129"/>
      <c r="AA666" s="129"/>
      <c r="AB666" s="129"/>
      <c r="AC666" s="129"/>
      <c r="AD666" s="129"/>
      <c r="AE666" s="129"/>
      <c r="AF666" s="129"/>
      <c r="AG666" s="129"/>
      <c r="AH666" s="129"/>
      <c r="AI666" s="129"/>
      <c r="AJ666" s="129"/>
      <c r="AK666" s="129"/>
      <c r="AL666" s="129"/>
      <c r="AM666" s="129"/>
      <c r="AN666" s="129"/>
      <c r="AO666" s="129"/>
      <c r="AP666" s="129"/>
      <c r="AQ666" s="129"/>
    </row>
    <row r="667" spans="1:43" ht="12.75" customHeight="1">
      <c r="A667" s="129"/>
      <c r="B667" s="129"/>
      <c r="C667" s="129"/>
      <c r="D667" s="129"/>
      <c r="E667" s="129"/>
      <c r="F667" s="129"/>
      <c r="G667" s="129"/>
      <c r="H667" s="129"/>
      <c r="I667" s="129"/>
      <c r="J667" s="129"/>
      <c r="K667" s="129"/>
      <c r="L667" s="129"/>
      <c r="M667" s="129"/>
      <c r="N667" s="129"/>
      <c r="O667" s="129"/>
      <c r="P667" s="129"/>
      <c r="Q667" s="129"/>
      <c r="R667" s="129"/>
      <c r="S667" s="129"/>
      <c r="T667" s="129"/>
      <c r="U667" s="129"/>
      <c r="V667" s="129"/>
      <c r="W667" s="129"/>
      <c r="X667" s="129"/>
      <c r="Y667" s="129"/>
      <c r="Z667" s="129"/>
      <c r="AA667" s="129"/>
      <c r="AB667" s="129"/>
      <c r="AC667" s="129"/>
      <c r="AD667" s="129"/>
      <c r="AE667" s="129"/>
      <c r="AF667" s="129"/>
      <c r="AG667" s="129"/>
      <c r="AH667" s="129"/>
      <c r="AI667" s="129"/>
      <c r="AJ667" s="129"/>
      <c r="AK667" s="129"/>
      <c r="AL667" s="129"/>
      <c r="AM667" s="129"/>
      <c r="AN667" s="129"/>
      <c r="AO667" s="129"/>
      <c r="AP667" s="129"/>
      <c r="AQ667" s="129"/>
    </row>
    <row r="668" spans="1:43" ht="12.75" customHeight="1">
      <c r="A668" s="129"/>
      <c r="B668" s="129"/>
      <c r="C668" s="129"/>
      <c r="D668" s="129"/>
      <c r="E668" s="129"/>
      <c r="F668" s="129"/>
      <c r="G668" s="129"/>
      <c r="H668" s="129"/>
      <c r="I668" s="129"/>
      <c r="J668" s="129"/>
      <c r="K668" s="129"/>
      <c r="L668" s="129"/>
      <c r="M668" s="129"/>
      <c r="N668" s="129"/>
      <c r="O668" s="129"/>
      <c r="P668" s="129"/>
      <c r="Q668" s="129"/>
      <c r="R668" s="129"/>
      <c r="S668" s="129"/>
      <c r="T668" s="129"/>
      <c r="U668" s="129"/>
      <c r="V668" s="129"/>
      <c r="W668" s="129"/>
      <c r="X668" s="129"/>
      <c r="Y668" s="129"/>
      <c r="Z668" s="129"/>
      <c r="AA668" s="129"/>
      <c r="AB668" s="129"/>
      <c r="AC668" s="129"/>
      <c r="AD668" s="129"/>
      <c r="AE668" s="129"/>
      <c r="AF668" s="129"/>
      <c r="AG668" s="129"/>
      <c r="AH668" s="129"/>
      <c r="AI668" s="129"/>
      <c r="AJ668" s="129"/>
      <c r="AK668" s="129"/>
      <c r="AL668" s="129"/>
      <c r="AM668" s="129"/>
      <c r="AN668" s="129"/>
      <c r="AO668" s="129"/>
      <c r="AP668" s="129"/>
      <c r="AQ668" s="129"/>
    </row>
    <row r="669" spans="1:43" ht="12.75" customHeight="1">
      <c r="A669" s="129"/>
      <c r="B669" s="129"/>
      <c r="C669" s="129"/>
      <c r="D669" s="129"/>
      <c r="E669" s="129"/>
      <c r="F669" s="129"/>
      <c r="G669" s="129"/>
      <c r="H669" s="129"/>
      <c r="I669" s="129"/>
      <c r="J669" s="129"/>
      <c r="K669" s="129"/>
      <c r="L669" s="129"/>
      <c r="M669" s="129"/>
      <c r="N669" s="129"/>
      <c r="O669" s="129"/>
      <c r="P669" s="129"/>
      <c r="Q669" s="129"/>
      <c r="R669" s="129"/>
      <c r="S669" s="129"/>
      <c r="T669" s="129"/>
      <c r="U669" s="129"/>
      <c r="V669" s="129"/>
      <c r="W669" s="129"/>
      <c r="X669" s="129"/>
      <c r="Y669" s="129"/>
      <c r="Z669" s="129"/>
      <c r="AA669" s="129"/>
      <c r="AB669" s="129"/>
      <c r="AC669" s="129"/>
      <c r="AD669" s="129"/>
      <c r="AE669" s="129"/>
      <c r="AF669" s="129"/>
      <c r="AG669" s="129"/>
      <c r="AH669" s="129"/>
      <c r="AI669" s="129"/>
      <c r="AJ669" s="129"/>
      <c r="AK669" s="129"/>
      <c r="AL669" s="129"/>
      <c r="AM669" s="129"/>
      <c r="AN669" s="129"/>
      <c r="AO669" s="129"/>
      <c r="AP669" s="129"/>
      <c r="AQ669" s="129"/>
    </row>
    <row r="670" spans="1:43" ht="12.75" customHeight="1">
      <c r="A670" s="129"/>
      <c r="B670" s="129"/>
      <c r="C670" s="129"/>
      <c r="D670" s="129"/>
      <c r="E670" s="129"/>
      <c r="F670" s="129"/>
      <c r="G670" s="129"/>
      <c r="H670" s="129"/>
      <c r="I670" s="129"/>
      <c r="J670" s="129"/>
      <c r="K670" s="129"/>
      <c r="L670" s="129"/>
      <c r="M670" s="129"/>
      <c r="N670" s="129"/>
      <c r="O670" s="129"/>
      <c r="P670" s="129"/>
      <c r="Q670" s="129"/>
      <c r="R670" s="129"/>
      <c r="S670" s="129"/>
      <c r="T670" s="129"/>
      <c r="U670" s="129"/>
      <c r="V670" s="129"/>
      <c r="W670" s="129"/>
      <c r="X670" s="129"/>
      <c r="Y670" s="129"/>
      <c r="Z670" s="129"/>
      <c r="AA670" s="129"/>
      <c r="AB670" s="129"/>
      <c r="AC670" s="129"/>
      <c r="AD670" s="129"/>
      <c r="AE670" s="129"/>
      <c r="AF670" s="129"/>
      <c r="AG670" s="129"/>
      <c r="AH670" s="129"/>
      <c r="AI670" s="129"/>
      <c r="AJ670" s="129"/>
      <c r="AK670" s="129"/>
      <c r="AL670" s="129"/>
      <c r="AM670" s="129"/>
      <c r="AN670" s="129"/>
      <c r="AO670" s="129"/>
      <c r="AP670" s="129"/>
      <c r="AQ670" s="129"/>
    </row>
    <row r="671" spans="1:43" ht="12.75" customHeight="1">
      <c r="A671" s="129"/>
      <c r="B671" s="129"/>
      <c r="C671" s="129"/>
      <c r="D671" s="129"/>
      <c r="E671" s="129"/>
      <c r="F671" s="129"/>
      <c r="G671" s="129"/>
      <c r="H671" s="129"/>
      <c r="I671" s="129"/>
      <c r="J671" s="129"/>
      <c r="K671" s="129"/>
      <c r="L671" s="129"/>
      <c r="M671" s="129"/>
      <c r="N671" s="129"/>
      <c r="O671" s="129"/>
      <c r="P671" s="129"/>
      <c r="Q671" s="129"/>
      <c r="R671" s="129"/>
      <c r="S671" s="129"/>
      <c r="T671" s="129"/>
      <c r="U671" s="129"/>
      <c r="V671" s="129"/>
      <c r="W671" s="129"/>
      <c r="X671" s="129"/>
      <c r="Y671" s="129"/>
      <c r="Z671" s="129"/>
      <c r="AA671" s="129"/>
      <c r="AB671" s="129"/>
      <c r="AC671" s="129"/>
      <c r="AD671" s="129"/>
      <c r="AE671" s="129"/>
      <c r="AF671" s="129"/>
      <c r="AG671" s="129"/>
      <c r="AH671" s="129"/>
      <c r="AI671" s="129"/>
      <c r="AJ671" s="129"/>
      <c r="AK671" s="129"/>
      <c r="AL671" s="129"/>
      <c r="AM671" s="129"/>
      <c r="AN671" s="129"/>
      <c r="AO671" s="129"/>
      <c r="AP671" s="129"/>
      <c r="AQ671" s="129"/>
    </row>
    <row r="672" spans="1:43" ht="12.75" customHeight="1">
      <c r="A672" s="129"/>
      <c r="B672" s="129"/>
      <c r="C672" s="129"/>
      <c r="D672" s="129"/>
      <c r="E672" s="129"/>
      <c r="F672" s="129"/>
      <c r="G672" s="129"/>
      <c r="H672" s="129"/>
      <c r="I672" s="129"/>
      <c r="J672" s="129"/>
      <c r="K672" s="129"/>
      <c r="L672" s="129"/>
      <c r="M672" s="129"/>
      <c r="N672" s="129"/>
      <c r="O672" s="129"/>
      <c r="P672" s="129"/>
      <c r="Q672" s="129"/>
      <c r="R672" s="129"/>
      <c r="S672" s="129"/>
      <c r="T672" s="129"/>
      <c r="U672" s="129"/>
      <c r="V672" s="129"/>
      <c r="W672" s="129"/>
      <c r="X672" s="129"/>
      <c r="Y672" s="129"/>
      <c r="Z672" s="129"/>
      <c r="AA672" s="129"/>
      <c r="AB672" s="129"/>
      <c r="AC672" s="129"/>
      <c r="AD672" s="129"/>
      <c r="AE672" s="129"/>
      <c r="AF672" s="129"/>
      <c r="AG672" s="129"/>
      <c r="AH672" s="129"/>
      <c r="AI672" s="129"/>
      <c r="AJ672" s="129"/>
      <c r="AK672" s="129"/>
      <c r="AL672" s="129"/>
      <c r="AM672" s="129"/>
      <c r="AN672" s="129"/>
      <c r="AO672" s="129"/>
      <c r="AP672" s="129"/>
      <c r="AQ672" s="129"/>
    </row>
    <row r="673" spans="1:43" ht="12.75" customHeight="1">
      <c r="A673" s="129"/>
      <c r="B673" s="129"/>
      <c r="C673" s="129"/>
      <c r="D673" s="129"/>
      <c r="E673" s="129"/>
      <c r="F673" s="129"/>
      <c r="G673" s="129"/>
      <c r="H673" s="129"/>
      <c r="I673" s="129"/>
      <c r="J673" s="129"/>
      <c r="K673" s="129"/>
      <c r="L673" s="129"/>
      <c r="M673" s="129"/>
      <c r="N673" s="129"/>
      <c r="O673" s="129"/>
      <c r="P673" s="129"/>
      <c r="Q673" s="129"/>
      <c r="R673" s="129"/>
      <c r="S673" s="129"/>
      <c r="T673" s="129"/>
      <c r="U673" s="129"/>
      <c r="V673" s="129"/>
      <c r="W673" s="129"/>
      <c r="X673" s="129"/>
      <c r="Y673" s="129"/>
      <c r="Z673" s="129"/>
      <c r="AA673" s="129"/>
      <c r="AB673" s="129"/>
      <c r="AC673" s="129"/>
      <c r="AD673" s="129"/>
      <c r="AE673" s="129"/>
      <c r="AF673" s="129"/>
      <c r="AG673" s="129"/>
      <c r="AH673" s="129"/>
      <c r="AI673" s="129"/>
      <c r="AJ673" s="129"/>
      <c r="AK673" s="129"/>
      <c r="AL673" s="129"/>
      <c r="AM673" s="129"/>
      <c r="AN673" s="129"/>
      <c r="AO673" s="129"/>
      <c r="AP673" s="129"/>
      <c r="AQ673" s="129"/>
    </row>
    <row r="674" spans="1:43" ht="12.75" customHeight="1">
      <c r="A674" s="129"/>
      <c r="B674" s="129"/>
      <c r="C674" s="129"/>
      <c r="D674" s="129"/>
      <c r="E674" s="129"/>
      <c r="F674" s="129"/>
      <c r="G674" s="129"/>
      <c r="H674" s="129"/>
      <c r="I674" s="129"/>
      <c r="J674" s="129"/>
      <c r="K674" s="129"/>
      <c r="L674" s="129"/>
      <c r="M674" s="129"/>
      <c r="N674" s="129"/>
      <c r="O674" s="129"/>
      <c r="P674" s="129"/>
      <c r="Q674" s="129"/>
      <c r="R674" s="129"/>
      <c r="S674" s="129"/>
      <c r="T674" s="129"/>
      <c r="U674" s="129"/>
      <c r="V674" s="129"/>
      <c r="W674" s="129"/>
      <c r="X674" s="129"/>
      <c r="Y674" s="129"/>
      <c r="Z674" s="129"/>
      <c r="AA674" s="129"/>
      <c r="AB674" s="129"/>
      <c r="AC674" s="129"/>
      <c r="AD674" s="129"/>
      <c r="AE674" s="129"/>
      <c r="AF674" s="129"/>
      <c r="AG674" s="129"/>
      <c r="AH674" s="129"/>
      <c r="AI674" s="129"/>
      <c r="AJ674" s="129"/>
      <c r="AK674" s="129"/>
      <c r="AL674" s="129"/>
      <c r="AM674" s="129"/>
      <c r="AN674" s="129"/>
      <c r="AO674" s="129"/>
      <c r="AP674" s="129"/>
      <c r="AQ674" s="129"/>
    </row>
    <row r="675" spans="1:43" ht="12.75" customHeight="1">
      <c r="A675" s="129"/>
      <c r="B675" s="129"/>
      <c r="C675" s="129"/>
      <c r="D675" s="129"/>
      <c r="E675" s="129"/>
      <c r="F675" s="129"/>
      <c r="G675" s="129"/>
      <c r="H675" s="129"/>
      <c r="I675" s="129"/>
      <c r="J675" s="129"/>
      <c r="K675" s="129"/>
      <c r="L675" s="129"/>
      <c r="M675" s="129"/>
      <c r="N675" s="129"/>
      <c r="O675" s="129"/>
      <c r="P675" s="129"/>
      <c r="Q675" s="129"/>
      <c r="R675" s="129"/>
      <c r="S675" s="129"/>
      <c r="T675" s="129"/>
      <c r="U675" s="129"/>
      <c r="V675" s="129"/>
      <c r="W675" s="129"/>
      <c r="X675" s="129"/>
      <c r="Y675" s="129"/>
      <c r="Z675" s="129"/>
      <c r="AA675" s="129"/>
      <c r="AB675" s="129"/>
      <c r="AC675" s="129"/>
      <c r="AD675" s="129"/>
      <c r="AE675" s="129"/>
      <c r="AF675" s="129"/>
      <c r="AG675" s="129"/>
      <c r="AH675" s="129"/>
      <c r="AI675" s="129"/>
      <c r="AJ675" s="129"/>
      <c r="AK675" s="129"/>
      <c r="AL675" s="129"/>
      <c r="AM675" s="129"/>
      <c r="AN675" s="129"/>
      <c r="AO675" s="129"/>
      <c r="AP675" s="129"/>
      <c r="AQ675" s="129"/>
    </row>
    <row r="676" spans="1:43" ht="12.75" customHeight="1">
      <c r="A676" s="129"/>
      <c r="B676" s="129"/>
      <c r="C676" s="129"/>
      <c r="D676" s="129"/>
      <c r="E676" s="129"/>
      <c r="F676" s="129"/>
      <c r="G676" s="129"/>
      <c r="H676" s="129"/>
      <c r="I676" s="129"/>
      <c r="J676" s="129"/>
      <c r="K676" s="129"/>
      <c r="L676" s="129"/>
      <c r="M676" s="129"/>
      <c r="N676" s="129"/>
      <c r="O676" s="129"/>
      <c r="P676" s="129"/>
      <c r="Q676" s="129"/>
      <c r="R676" s="129"/>
      <c r="S676" s="129"/>
      <c r="T676" s="129"/>
      <c r="U676" s="129"/>
      <c r="V676" s="129"/>
      <c r="W676" s="129"/>
      <c r="X676" s="129"/>
      <c r="Y676" s="129"/>
      <c r="Z676" s="129"/>
      <c r="AA676" s="129"/>
      <c r="AB676" s="129"/>
      <c r="AC676" s="129"/>
      <c r="AD676" s="129"/>
      <c r="AE676" s="129"/>
      <c r="AF676" s="129"/>
      <c r="AG676" s="129"/>
      <c r="AH676" s="129"/>
      <c r="AI676" s="129"/>
      <c r="AJ676" s="129"/>
      <c r="AK676" s="129"/>
      <c r="AL676" s="129"/>
      <c r="AM676" s="129"/>
      <c r="AN676" s="129"/>
      <c r="AO676" s="129"/>
      <c r="AP676" s="129"/>
      <c r="AQ676" s="129"/>
    </row>
    <row r="677" spans="1:43" ht="12.75" customHeight="1">
      <c r="A677" s="129"/>
      <c r="B677" s="129"/>
      <c r="C677" s="129"/>
      <c r="D677" s="129"/>
      <c r="E677" s="129"/>
      <c r="F677" s="129"/>
      <c r="G677" s="129"/>
      <c r="H677" s="129"/>
      <c r="I677" s="129"/>
      <c r="J677" s="129"/>
      <c r="K677" s="129"/>
      <c r="L677" s="129"/>
      <c r="M677" s="129"/>
      <c r="N677" s="129"/>
      <c r="O677" s="129"/>
      <c r="P677" s="129"/>
      <c r="Q677" s="129"/>
      <c r="R677" s="129"/>
      <c r="S677" s="129"/>
      <c r="T677" s="129"/>
      <c r="U677" s="129"/>
      <c r="V677" s="129"/>
      <c r="W677" s="129"/>
      <c r="X677" s="129"/>
      <c r="Y677" s="129"/>
      <c r="Z677" s="129"/>
      <c r="AA677" s="129"/>
      <c r="AB677" s="129"/>
      <c r="AC677" s="129"/>
      <c r="AD677" s="129"/>
      <c r="AE677" s="129"/>
      <c r="AF677" s="129"/>
      <c r="AG677" s="129"/>
      <c r="AH677" s="129"/>
      <c r="AI677" s="129"/>
      <c r="AJ677" s="129"/>
      <c r="AK677" s="129"/>
      <c r="AL677" s="129"/>
      <c r="AM677" s="129"/>
      <c r="AN677" s="129"/>
      <c r="AO677" s="129"/>
      <c r="AP677" s="129"/>
      <c r="AQ677" s="129"/>
    </row>
    <row r="678" spans="1:43" ht="12.75" customHeight="1">
      <c r="A678" s="129"/>
      <c r="B678" s="129"/>
      <c r="C678" s="129"/>
      <c r="D678" s="129"/>
      <c r="E678" s="129"/>
      <c r="F678" s="129"/>
      <c r="G678" s="129"/>
      <c r="H678" s="129"/>
      <c r="I678" s="129"/>
      <c r="J678" s="129"/>
      <c r="K678" s="129"/>
      <c r="L678" s="129"/>
      <c r="M678" s="129"/>
      <c r="N678" s="129"/>
      <c r="O678" s="129"/>
      <c r="P678" s="129"/>
      <c r="Q678" s="129"/>
      <c r="R678" s="129"/>
      <c r="S678" s="129"/>
      <c r="T678" s="129"/>
      <c r="U678" s="129"/>
      <c r="V678" s="129"/>
      <c r="W678" s="129"/>
      <c r="X678" s="129"/>
      <c r="Y678" s="129"/>
      <c r="Z678" s="129"/>
      <c r="AA678" s="129"/>
      <c r="AB678" s="129"/>
      <c r="AC678" s="129"/>
      <c r="AD678" s="129"/>
      <c r="AE678" s="129"/>
      <c r="AF678" s="129"/>
      <c r="AG678" s="129"/>
      <c r="AH678" s="129"/>
      <c r="AI678" s="129"/>
      <c r="AJ678" s="129"/>
      <c r="AK678" s="129"/>
      <c r="AL678" s="129"/>
      <c r="AM678" s="129"/>
      <c r="AN678" s="129"/>
      <c r="AO678" s="129"/>
      <c r="AP678" s="129"/>
      <c r="AQ678" s="129"/>
    </row>
    <row r="679" spans="1:43" ht="12.75" customHeight="1">
      <c r="A679" s="129"/>
      <c r="B679" s="129"/>
      <c r="C679" s="129"/>
      <c r="D679" s="129"/>
      <c r="E679" s="129"/>
      <c r="F679" s="129"/>
      <c r="G679" s="129"/>
      <c r="H679" s="129"/>
      <c r="I679" s="129"/>
      <c r="J679" s="129"/>
      <c r="K679" s="129"/>
      <c r="L679" s="129"/>
      <c r="M679" s="129"/>
      <c r="N679" s="129"/>
      <c r="O679" s="129"/>
      <c r="P679" s="129"/>
      <c r="Q679" s="129"/>
      <c r="R679" s="129"/>
      <c r="S679" s="129"/>
      <c r="T679" s="129"/>
      <c r="U679" s="129"/>
      <c r="V679" s="129"/>
      <c r="W679" s="129"/>
      <c r="X679" s="129"/>
      <c r="Y679" s="129"/>
      <c r="Z679" s="129"/>
      <c r="AA679" s="129"/>
      <c r="AB679" s="129"/>
      <c r="AC679" s="129"/>
      <c r="AD679" s="129"/>
      <c r="AE679" s="129"/>
      <c r="AF679" s="129"/>
      <c r="AG679" s="129"/>
      <c r="AH679" s="129"/>
      <c r="AI679" s="129"/>
      <c r="AJ679" s="129"/>
      <c r="AK679" s="129"/>
      <c r="AL679" s="129"/>
      <c r="AM679" s="129"/>
      <c r="AN679" s="129"/>
      <c r="AO679" s="129"/>
      <c r="AP679" s="129"/>
      <c r="AQ679" s="129"/>
    </row>
    <row r="680" spans="1:43" ht="12.75" customHeight="1">
      <c r="A680" s="129"/>
      <c r="B680" s="129"/>
      <c r="C680" s="129"/>
      <c r="D680" s="129"/>
      <c r="E680" s="129"/>
      <c r="F680" s="129"/>
      <c r="G680" s="129"/>
      <c r="H680" s="129"/>
      <c r="I680" s="129"/>
      <c r="J680" s="129"/>
      <c r="K680" s="129"/>
      <c r="L680" s="129"/>
      <c r="M680" s="129"/>
      <c r="N680" s="129"/>
      <c r="O680" s="129"/>
      <c r="P680" s="129"/>
      <c r="Q680" s="129"/>
      <c r="R680" s="129"/>
      <c r="S680" s="129"/>
      <c r="T680" s="129"/>
      <c r="U680" s="129"/>
      <c r="V680" s="129"/>
      <c r="W680" s="129"/>
      <c r="X680" s="129"/>
      <c r="Y680" s="129"/>
      <c r="Z680" s="129"/>
      <c r="AA680" s="129"/>
      <c r="AB680" s="129"/>
      <c r="AC680" s="129"/>
      <c r="AD680" s="129"/>
      <c r="AE680" s="129"/>
      <c r="AF680" s="129"/>
      <c r="AG680" s="129"/>
      <c r="AH680" s="129"/>
      <c r="AI680" s="129"/>
      <c r="AJ680" s="129"/>
      <c r="AK680" s="129"/>
      <c r="AL680" s="129"/>
      <c r="AM680" s="129"/>
      <c r="AN680" s="129"/>
      <c r="AO680" s="129"/>
      <c r="AP680" s="129"/>
      <c r="AQ680" s="129"/>
    </row>
    <row r="681" spans="1:43" ht="12.75" customHeight="1">
      <c r="A681" s="129"/>
      <c r="B681" s="129"/>
      <c r="C681" s="129"/>
      <c r="D681" s="129"/>
      <c r="E681" s="129"/>
      <c r="F681" s="129"/>
      <c r="G681" s="129"/>
      <c r="H681" s="129"/>
      <c r="I681" s="129"/>
      <c r="J681" s="129"/>
      <c r="K681" s="129"/>
      <c r="L681" s="129"/>
      <c r="M681" s="129"/>
      <c r="N681" s="129"/>
      <c r="O681" s="129"/>
      <c r="P681" s="129"/>
      <c r="Q681" s="129"/>
      <c r="R681" s="129"/>
      <c r="S681" s="129"/>
      <c r="T681" s="129"/>
      <c r="U681" s="129"/>
      <c r="V681" s="129"/>
      <c r="W681" s="129"/>
      <c r="X681" s="129"/>
      <c r="Y681" s="129"/>
      <c r="Z681" s="129"/>
      <c r="AA681" s="129"/>
      <c r="AB681" s="129"/>
      <c r="AC681" s="129"/>
      <c r="AD681" s="129"/>
      <c r="AE681" s="129"/>
      <c r="AF681" s="129"/>
      <c r="AG681" s="129"/>
      <c r="AH681" s="129"/>
      <c r="AI681" s="129"/>
      <c r="AJ681" s="129"/>
      <c r="AK681" s="129"/>
      <c r="AL681" s="129"/>
      <c r="AM681" s="129"/>
      <c r="AN681" s="129"/>
      <c r="AO681" s="129"/>
      <c r="AP681" s="129"/>
      <c r="AQ681" s="129"/>
    </row>
    <row r="682" spans="1:43" ht="12.75" customHeight="1">
      <c r="A682" s="129"/>
      <c r="B682" s="129"/>
      <c r="C682" s="129"/>
      <c r="D682" s="129"/>
      <c r="E682" s="129"/>
      <c r="F682" s="129"/>
      <c r="G682" s="129"/>
      <c r="H682" s="129"/>
      <c r="I682" s="129"/>
      <c r="J682" s="129"/>
      <c r="K682" s="129"/>
      <c r="L682" s="129"/>
      <c r="M682" s="129"/>
      <c r="N682" s="129"/>
      <c r="O682" s="129"/>
      <c r="P682" s="129"/>
      <c r="Q682" s="129"/>
      <c r="R682" s="129"/>
      <c r="S682" s="129"/>
      <c r="T682" s="129"/>
      <c r="U682" s="129"/>
      <c r="V682" s="129"/>
      <c r="W682" s="129"/>
      <c r="X682" s="129"/>
      <c r="Y682" s="129"/>
      <c r="Z682" s="129"/>
      <c r="AA682" s="129"/>
      <c r="AB682" s="129"/>
      <c r="AC682" s="129"/>
      <c r="AD682" s="129"/>
      <c r="AE682" s="129"/>
      <c r="AF682" s="129"/>
      <c r="AG682" s="129"/>
      <c r="AH682" s="129"/>
      <c r="AI682" s="129"/>
      <c r="AJ682" s="129"/>
      <c r="AK682" s="129"/>
      <c r="AL682" s="129"/>
      <c r="AM682" s="129"/>
      <c r="AN682" s="129"/>
      <c r="AO682" s="129"/>
      <c r="AP682" s="129"/>
      <c r="AQ682" s="129"/>
    </row>
    <row r="683" spans="1:43" ht="12.75" customHeight="1">
      <c r="A683" s="129"/>
      <c r="B683" s="129"/>
      <c r="C683" s="129"/>
      <c r="D683" s="129"/>
      <c r="E683" s="129"/>
      <c r="F683" s="129"/>
      <c r="G683" s="129"/>
      <c r="H683" s="129"/>
      <c r="I683" s="129"/>
      <c r="J683" s="129"/>
      <c r="K683" s="129"/>
      <c r="L683" s="129"/>
      <c r="M683" s="129"/>
      <c r="N683" s="129"/>
      <c r="O683" s="129"/>
      <c r="P683" s="129"/>
      <c r="Q683" s="129"/>
      <c r="R683" s="129"/>
      <c r="S683" s="129"/>
      <c r="T683" s="129"/>
      <c r="U683" s="129"/>
      <c r="V683" s="129"/>
      <c r="W683" s="129"/>
      <c r="X683" s="129"/>
      <c r="Y683" s="129"/>
      <c r="Z683" s="129"/>
      <c r="AA683" s="129"/>
      <c r="AB683" s="129"/>
      <c r="AC683" s="129"/>
      <c r="AD683" s="129"/>
      <c r="AE683" s="129"/>
      <c r="AF683" s="129"/>
      <c r="AG683" s="129"/>
      <c r="AH683" s="129"/>
      <c r="AI683" s="129"/>
      <c r="AJ683" s="129"/>
      <c r="AK683" s="129"/>
      <c r="AL683" s="129"/>
      <c r="AM683" s="129"/>
      <c r="AN683" s="129"/>
      <c r="AO683" s="129"/>
      <c r="AP683" s="129"/>
      <c r="AQ683" s="129"/>
    </row>
    <row r="684" spans="1:43" ht="12.75" customHeight="1">
      <c r="A684" s="129"/>
      <c r="B684" s="129"/>
      <c r="C684" s="129"/>
      <c r="D684" s="129"/>
      <c r="E684" s="129"/>
      <c r="F684" s="129"/>
      <c r="G684" s="129"/>
      <c r="H684" s="129"/>
      <c r="I684" s="129"/>
      <c r="J684" s="129"/>
      <c r="K684" s="129"/>
      <c r="L684" s="129"/>
      <c r="M684" s="129"/>
      <c r="N684" s="129"/>
      <c r="O684" s="129"/>
      <c r="P684" s="129"/>
      <c r="Q684" s="129"/>
      <c r="R684" s="129"/>
      <c r="S684" s="129"/>
      <c r="T684" s="129"/>
      <c r="U684" s="129"/>
      <c r="V684" s="129"/>
      <c r="W684" s="129"/>
      <c r="X684" s="129"/>
      <c r="Y684" s="129"/>
      <c r="Z684" s="129"/>
      <c r="AA684" s="129"/>
      <c r="AB684" s="129"/>
      <c r="AC684" s="129"/>
      <c r="AD684" s="129"/>
      <c r="AE684" s="129"/>
      <c r="AF684" s="129"/>
      <c r="AG684" s="129"/>
      <c r="AH684" s="129"/>
      <c r="AI684" s="129"/>
      <c r="AJ684" s="129"/>
      <c r="AK684" s="129"/>
      <c r="AL684" s="129"/>
      <c r="AM684" s="129"/>
      <c r="AN684" s="129"/>
      <c r="AO684" s="129"/>
      <c r="AP684" s="129"/>
      <c r="AQ684" s="129"/>
    </row>
    <row r="685" spans="1:43" ht="12.75" customHeight="1">
      <c r="A685" s="129"/>
      <c r="B685" s="129"/>
      <c r="C685" s="129"/>
      <c r="D685" s="129"/>
      <c r="E685" s="129"/>
      <c r="F685" s="129"/>
      <c r="G685" s="129"/>
      <c r="H685" s="129"/>
      <c r="I685" s="129"/>
      <c r="J685" s="129"/>
      <c r="K685" s="129"/>
      <c r="L685" s="129"/>
      <c r="M685" s="129"/>
      <c r="N685" s="129"/>
      <c r="O685" s="129"/>
      <c r="P685" s="129"/>
      <c r="Q685" s="129"/>
      <c r="R685" s="129"/>
      <c r="S685" s="129"/>
      <c r="T685" s="129"/>
      <c r="U685" s="129"/>
      <c r="V685" s="129"/>
      <c r="W685" s="129"/>
      <c r="X685" s="129"/>
      <c r="Y685" s="129"/>
      <c r="Z685" s="129"/>
      <c r="AA685" s="129"/>
      <c r="AB685" s="129"/>
      <c r="AC685" s="129"/>
      <c r="AD685" s="129"/>
      <c r="AE685" s="129"/>
      <c r="AF685" s="129"/>
      <c r="AG685" s="129"/>
      <c r="AH685" s="129"/>
      <c r="AI685" s="129"/>
      <c r="AJ685" s="129"/>
      <c r="AK685" s="129"/>
      <c r="AL685" s="129"/>
      <c r="AM685" s="129"/>
      <c r="AN685" s="129"/>
      <c r="AO685" s="129"/>
      <c r="AP685" s="129"/>
      <c r="AQ685" s="129"/>
    </row>
    <row r="686" spans="1:43" ht="12.75" customHeight="1">
      <c r="A686" s="129"/>
      <c r="B686" s="129"/>
      <c r="C686" s="129"/>
      <c r="D686" s="129"/>
      <c r="E686" s="129"/>
      <c r="F686" s="129"/>
      <c r="G686" s="129"/>
      <c r="H686" s="129"/>
      <c r="I686" s="129"/>
      <c r="J686" s="129"/>
      <c r="K686" s="129"/>
      <c r="L686" s="129"/>
      <c r="M686" s="129"/>
      <c r="N686" s="129"/>
      <c r="O686" s="129"/>
      <c r="P686" s="129"/>
      <c r="Q686" s="129"/>
      <c r="R686" s="129"/>
      <c r="S686" s="129"/>
      <c r="T686" s="129"/>
      <c r="U686" s="129"/>
      <c r="V686" s="129"/>
      <c r="W686" s="129"/>
      <c r="X686" s="129"/>
      <c r="Y686" s="129"/>
      <c r="Z686" s="129"/>
      <c r="AA686" s="129"/>
      <c r="AB686" s="129"/>
      <c r="AC686" s="129"/>
      <c r="AD686" s="129"/>
      <c r="AE686" s="129"/>
      <c r="AF686" s="129"/>
      <c r="AG686" s="129"/>
      <c r="AH686" s="129"/>
      <c r="AI686" s="129"/>
      <c r="AJ686" s="129"/>
      <c r="AK686" s="129"/>
      <c r="AL686" s="129"/>
      <c r="AM686" s="129"/>
      <c r="AN686" s="129"/>
      <c r="AO686" s="129"/>
      <c r="AP686" s="129"/>
      <c r="AQ686" s="129"/>
    </row>
    <row r="687" spans="1:43" ht="12.75" customHeight="1">
      <c r="A687" s="129"/>
      <c r="B687" s="129"/>
      <c r="C687" s="129"/>
      <c r="D687" s="129"/>
      <c r="E687" s="129"/>
      <c r="F687" s="129"/>
      <c r="G687" s="129"/>
      <c r="H687" s="129"/>
      <c r="I687" s="129"/>
      <c r="J687" s="129"/>
      <c r="K687" s="129"/>
      <c r="L687" s="129"/>
      <c r="M687" s="129"/>
      <c r="N687" s="129"/>
      <c r="O687" s="129"/>
      <c r="P687" s="129"/>
      <c r="Q687" s="129"/>
      <c r="R687" s="129"/>
      <c r="S687" s="129"/>
      <c r="T687" s="129"/>
      <c r="U687" s="129"/>
      <c r="V687" s="129"/>
      <c r="W687" s="129"/>
      <c r="X687" s="129"/>
      <c r="Y687" s="129"/>
      <c r="Z687" s="129"/>
      <c r="AA687" s="129"/>
      <c r="AB687" s="129"/>
      <c r="AC687" s="129"/>
      <c r="AD687" s="129"/>
      <c r="AE687" s="129"/>
      <c r="AF687" s="129"/>
      <c r="AG687" s="129"/>
      <c r="AH687" s="129"/>
      <c r="AI687" s="129"/>
      <c r="AJ687" s="129"/>
      <c r="AK687" s="129"/>
      <c r="AL687" s="129"/>
      <c r="AM687" s="129"/>
      <c r="AN687" s="129"/>
      <c r="AO687" s="129"/>
      <c r="AP687" s="129"/>
      <c r="AQ687" s="129"/>
    </row>
    <row r="688" spans="1:43" ht="12.75" customHeight="1">
      <c r="A688" s="129"/>
      <c r="B688" s="129"/>
      <c r="C688" s="129"/>
      <c r="D688" s="129"/>
      <c r="E688" s="129"/>
      <c r="F688" s="129"/>
      <c r="G688" s="129"/>
      <c r="H688" s="129"/>
      <c r="I688" s="129"/>
      <c r="J688" s="129"/>
      <c r="K688" s="129"/>
      <c r="L688" s="129"/>
      <c r="M688" s="129"/>
      <c r="N688" s="129"/>
      <c r="O688" s="129"/>
      <c r="P688" s="129"/>
      <c r="Q688" s="129"/>
      <c r="R688" s="129"/>
      <c r="S688" s="129"/>
      <c r="T688" s="129"/>
      <c r="U688" s="129"/>
      <c r="V688" s="129"/>
      <c r="W688" s="129"/>
      <c r="X688" s="129"/>
      <c r="Y688" s="129"/>
      <c r="Z688" s="129"/>
      <c r="AA688" s="129"/>
      <c r="AB688" s="129"/>
      <c r="AC688" s="129"/>
      <c r="AD688" s="129"/>
      <c r="AE688" s="129"/>
      <c r="AF688" s="129"/>
      <c r="AG688" s="129"/>
      <c r="AH688" s="129"/>
      <c r="AI688" s="129"/>
      <c r="AJ688" s="129"/>
      <c r="AK688" s="129"/>
      <c r="AL688" s="129"/>
      <c r="AM688" s="129"/>
      <c r="AN688" s="129"/>
      <c r="AO688" s="129"/>
      <c r="AP688" s="129"/>
      <c r="AQ688" s="129"/>
    </row>
    <row r="689" spans="1:43" ht="12.75" customHeight="1">
      <c r="A689" s="129"/>
      <c r="B689" s="129"/>
      <c r="C689" s="129"/>
      <c r="D689" s="129"/>
      <c r="E689" s="129"/>
      <c r="F689" s="129"/>
      <c r="G689" s="129"/>
      <c r="H689" s="129"/>
      <c r="I689" s="129"/>
      <c r="J689" s="129"/>
      <c r="K689" s="129"/>
      <c r="L689" s="129"/>
      <c r="M689" s="129"/>
      <c r="N689" s="129"/>
      <c r="O689" s="129"/>
      <c r="P689" s="129"/>
      <c r="Q689" s="129"/>
      <c r="R689" s="129"/>
      <c r="S689" s="129"/>
      <c r="T689" s="129"/>
      <c r="U689" s="129"/>
      <c r="V689" s="129"/>
      <c r="W689" s="129"/>
      <c r="X689" s="129"/>
      <c r="Y689" s="129"/>
      <c r="Z689" s="129"/>
      <c r="AA689" s="129"/>
      <c r="AB689" s="129"/>
      <c r="AC689" s="129"/>
      <c r="AD689" s="129"/>
      <c r="AE689" s="129"/>
      <c r="AF689" s="129"/>
      <c r="AG689" s="129"/>
      <c r="AH689" s="129"/>
      <c r="AI689" s="129"/>
      <c r="AJ689" s="129"/>
      <c r="AK689" s="129"/>
      <c r="AL689" s="129"/>
      <c r="AM689" s="129"/>
      <c r="AN689" s="129"/>
      <c r="AO689" s="129"/>
      <c r="AP689" s="129"/>
      <c r="AQ689" s="129"/>
    </row>
    <row r="690" spans="1:43" ht="12.75" customHeight="1">
      <c r="A690" s="129"/>
      <c r="B690" s="129"/>
      <c r="C690" s="129"/>
      <c r="D690" s="129"/>
      <c r="E690" s="129"/>
      <c r="F690" s="129"/>
      <c r="G690" s="129"/>
      <c r="H690" s="129"/>
      <c r="I690" s="129"/>
      <c r="J690" s="129"/>
      <c r="K690" s="129"/>
      <c r="L690" s="129"/>
      <c r="M690" s="129"/>
      <c r="N690" s="129"/>
      <c r="O690" s="129"/>
      <c r="P690" s="129"/>
      <c r="Q690" s="129"/>
      <c r="R690" s="129"/>
      <c r="S690" s="129"/>
      <c r="T690" s="129"/>
      <c r="U690" s="129"/>
      <c r="V690" s="129"/>
      <c r="W690" s="129"/>
      <c r="X690" s="129"/>
      <c r="Y690" s="129"/>
      <c r="Z690" s="129"/>
      <c r="AA690" s="129"/>
      <c r="AB690" s="129"/>
      <c r="AC690" s="129"/>
      <c r="AD690" s="129"/>
      <c r="AE690" s="129"/>
      <c r="AF690" s="129"/>
      <c r="AG690" s="129"/>
      <c r="AH690" s="129"/>
      <c r="AI690" s="129"/>
      <c r="AJ690" s="129"/>
      <c r="AK690" s="129"/>
      <c r="AL690" s="129"/>
      <c r="AM690" s="129"/>
      <c r="AN690" s="129"/>
      <c r="AO690" s="129"/>
      <c r="AP690" s="129"/>
      <c r="AQ690" s="129"/>
    </row>
    <row r="691" spans="1:43" ht="12.75" customHeight="1">
      <c r="A691" s="129"/>
      <c r="B691" s="129"/>
      <c r="C691" s="129"/>
      <c r="D691" s="129"/>
      <c r="E691" s="129"/>
      <c r="F691" s="129"/>
      <c r="G691" s="129"/>
      <c r="H691" s="129"/>
      <c r="I691" s="129"/>
      <c r="J691" s="129"/>
      <c r="K691" s="129"/>
      <c r="L691" s="129"/>
      <c r="M691" s="129"/>
      <c r="N691" s="129"/>
      <c r="O691" s="129"/>
      <c r="P691" s="129"/>
      <c r="Q691" s="129"/>
      <c r="R691" s="129"/>
      <c r="S691" s="129"/>
      <c r="T691" s="129"/>
      <c r="U691" s="129"/>
      <c r="V691" s="129"/>
      <c r="W691" s="129"/>
      <c r="X691" s="129"/>
      <c r="Y691" s="129"/>
      <c r="Z691" s="129"/>
      <c r="AA691" s="129"/>
      <c r="AB691" s="129"/>
      <c r="AC691" s="129"/>
      <c r="AD691" s="129"/>
      <c r="AE691" s="129"/>
      <c r="AF691" s="129"/>
      <c r="AG691" s="129"/>
      <c r="AH691" s="129"/>
      <c r="AI691" s="129"/>
      <c r="AJ691" s="129"/>
      <c r="AK691" s="129"/>
      <c r="AL691" s="129"/>
      <c r="AM691" s="129"/>
      <c r="AN691" s="129"/>
      <c r="AO691" s="129"/>
      <c r="AP691" s="129"/>
      <c r="AQ691" s="129"/>
    </row>
    <row r="692" spans="1:43" ht="12.75" customHeight="1">
      <c r="A692" s="129"/>
      <c r="B692" s="129"/>
      <c r="C692" s="129"/>
      <c r="D692" s="129"/>
      <c r="E692" s="129"/>
      <c r="F692" s="129"/>
      <c r="G692" s="129"/>
      <c r="H692" s="129"/>
      <c r="I692" s="129"/>
      <c r="J692" s="129"/>
      <c r="K692" s="129"/>
      <c r="L692" s="129"/>
      <c r="M692" s="129"/>
      <c r="N692" s="129"/>
      <c r="O692" s="129"/>
      <c r="P692" s="129"/>
      <c r="Q692" s="129"/>
      <c r="R692" s="129"/>
      <c r="S692" s="129"/>
      <c r="T692" s="129"/>
      <c r="U692" s="129"/>
      <c r="V692" s="129"/>
      <c r="W692" s="129"/>
      <c r="X692" s="129"/>
      <c r="Y692" s="129"/>
      <c r="Z692" s="129"/>
      <c r="AA692" s="129"/>
      <c r="AB692" s="129"/>
      <c r="AC692" s="129"/>
      <c r="AD692" s="129"/>
      <c r="AE692" s="129"/>
      <c r="AF692" s="129"/>
      <c r="AG692" s="129"/>
      <c r="AH692" s="129"/>
      <c r="AI692" s="129"/>
      <c r="AJ692" s="129"/>
      <c r="AK692" s="129"/>
      <c r="AL692" s="129"/>
      <c r="AM692" s="129"/>
      <c r="AN692" s="129"/>
      <c r="AO692" s="129"/>
      <c r="AP692" s="129"/>
      <c r="AQ692" s="129"/>
    </row>
    <row r="693" spans="1:43" ht="12.75" customHeight="1">
      <c r="A693" s="129"/>
      <c r="B693" s="129"/>
      <c r="C693" s="129"/>
      <c r="D693" s="129"/>
      <c r="E693" s="129"/>
      <c r="F693" s="129"/>
      <c r="G693" s="129"/>
      <c r="H693" s="129"/>
      <c r="I693" s="129"/>
      <c r="J693" s="129"/>
      <c r="K693" s="129"/>
      <c r="L693" s="129"/>
      <c r="M693" s="129"/>
      <c r="N693" s="129"/>
      <c r="O693" s="129"/>
      <c r="P693" s="129"/>
      <c r="Q693" s="129"/>
      <c r="R693" s="129"/>
      <c r="S693" s="129"/>
      <c r="T693" s="129"/>
      <c r="U693" s="129"/>
      <c r="V693" s="129"/>
      <c r="W693" s="129"/>
      <c r="X693" s="129"/>
      <c r="Y693" s="129"/>
      <c r="Z693" s="129"/>
      <c r="AA693" s="129"/>
      <c r="AB693" s="129"/>
      <c r="AC693" s="129"/>
      <c r="AD693" s="129"/>
      <c r="AE693" s="129"/>
      <c r="AF693" s="129"/>
      <c r="AG693" s="129"/>
      <c r="AH693" s="129"/>
      <c r="AI693" s="129"/>
      <c r="AJ693" s="129"/>
      <c r="AK693" s="129"/>
      <c r="AL693" s="129"/>
      <c r="AM693" s="129"/>
      <c r="AN693" s="129"/>
      <c r="AO693" s="129"/>
      <c r="AP693" s="129"/>
      <c r="AQ693" s="129"/>
    </row>
    <row r="694" spans="1:43" ht="12.75" customHeight="1">
      <c r="A694" s="129"/>
      <c r="B694" s="129"/>
      <c r="C694" s="129"/>
      <c r="D694" s="129"/>
      <c r="E694" s="129"/>
      <c r="F694" s="129"/>
      <c r="G694" s="129"/>
      <c r="H694" s="129"/>
      <c r="I694" s="129"/>
      <c r="J694" s="129"/>
      <c r="K694" s="129"/>
      <c r="L694" s="129"/>
      <c r="M694" s="129"/>
      <c r="N694" s="129"/>
      <c r="O694" s="129"/>
      <c r="P694" s="129"/>
      <c r="Q694" s="129"/>
      <c r="R694" s="129"/>
      <c r="S694" s="129"/>
      <c r="T694" s="129"/>
      <c r="U694" s="129"/>
      <c r="V694" s="129"/>
      <c r="W694" s="129"/>
      <c r="X694" s="129"/>
      <c r="Y694" s="129"/>
      <c r="Z694" s="129"/>
      <c r="AA694" s="129"/>
      <c r="AB694" s="129"/>
      <c r="AC694" s="129"/>
      <c r="AD694" s="129"/>
      <c r="AE694" s="129"/>
      <c r="AF694" s="129"/>
      <c r="AG694" s="129"/>
      <c r="AH694" s="129"/>
      <c r="AI694" s="129"/>
      <c r="AJ694" s="129"/>
      <c r="AK694" s="129"/>
      <c r="AL694" s="129"/>
      <c r="AM694" s="129"/>
      <c r="AN694" s="129"/>
      <c r="AO694" s="129"/>
      <c r="AP694" s="129"/>
      <c r="AQ694" s="129"/>
    </row>
    <row r="695" spans="1:43" ht="12.75" customHeight="1">
      <c r="A695" s="129"/>
      <c r="B695" s="129"/>
      <c r="C695" s="129"/>
      <c r="D695" s="129"/>
      <c r="E695" s="129"/>
      <c r="F695" s="129"/>
      <c r="G695" s="129"/>
      <c r="H695" s="129"/>
      <c r="I695" s="129"/>
      <c r="J695" s="129"/>
      <c r="K695" s="129"/>
      <c r="L695" s="129"/>
      <c r="M695" s="129"/>
      <c r="N695" s="129"/>
      <c r="O695" s="129"/>
      <c r="P695" s="129"/>
      <c r="Q695" s="129"/>
      <c r="R695" s="129"/>
      <c r="S695" s="129"/>
      <c r="T695" s="129"/>
      <c r="U695" s="129"/>
      <c r="V695" s="129"/>
      <c r="W695" s="129"/>
      <c r="X695" s="129"/>
      <c r="Y695" s="129"/>
      <c r="Z695" s="129"/>
      <c r="AA695" s="129"/>
      <c r="AB695" s="129"/>
      <c r="AC695" s="129"/>
      <c r="AD695" s="129"/>
      <c r="AE695" s="129"/>
      <c r="AF695" s="129"/>
      <c r="AG695" s="129"/>
      <c r="AH695" s="129"/>
      <c r="AI695" s="129"/>
      <c r="AJ695" s="129"/>
      <c r="AK695" s="129"/>
      <c r="AL695" s="129"/>
      <c r="AM695" s="129"/>
      <c r="AN695" s="129"/>
      <c r="AO695" s="129"/>
      <c r="AP695" s="129"/>
      <c r="AQ695" s="129"/>
    </row>
    <row r="696" spans="1:43" ht="12.75" customHeight="1">
      <c r="A696" s="129"/>
      <c r="B696" s="129"/>
      <c r="C696" s="129"/>
      <c r="D696" s="129"/>
      <c r="E696" s="129"/>
      <c r="F696" s="129"/>
      <c r="G696" s="129"/>
      <c r="H696" s="129"/>
      <c r="I696" s="129"/>
      <c r="J696" s="129"/>
      <c r="K696" s="129"/>
      <c r="L696" s="129"/>
      <c r="M696" s="129"/>
      <c r="N696" s="129"/>
      <c r="O696" s="129"/>
      <c r="P696" s="129"/>
      <c r="Q696" s="129"/>
      <c r="R696" s="129"/>
      <c r="S696" s="129"/>
      <c r="T696" s="129"/>
      <c r="U696" s="129"/>
      <c r="V696" s="129"/>
      <c r="W696" s="129"/>
      <c r="X696" s="129"/>
      <c r="Y696" s="129"/>
      <c r="Z696" s="129"/>
      <c r="AA696" s="129"/>
      <c r="AB696" s="129"/>
      <c r="AC696" s="129"/>
      <c r="AD696" s="129"/>
      <c r="AE696" s="129"/>
      <c r="AF696" s="129"/>
      <c r="AG696" s="129"/>
      <c r="AH696" s="129"/>
      <c r="AI696" s="129"/>
      <c r="AJ696" s="129"/>
      <c r="AK696" s="129"/>
      <c r="AL696" s="129"/>
      <c r="AM696" s="129"/>
      <c r="AN696" s="129"/>
      <c r="AO696" s="129"/>
      <c r="AP696" s="129"/>
      <c r="AQ696" s="129"/>
    </row>
    <row r="697" spans="1:43" ht="12.75" customHeight="1">
      <c r="A697" s="129"/>
      <c r="B697" s="129"/>
      <c r="C697" s="129"/>
      <c r="D697" s="129"/>
      <c r="E697" s="129"/>
      <c r="F697" s="129"/>
      <c r="G697" s="129"/>
      <c r="H697" s="129"/>
      <c r="I697" s="129"/>
      <c r="J697" s="129"/>
      <c r="K697" s="129"/>
      <c r="L697" s="129"/>
      <c r="M697" s="129"/>
      <c r="N697" s="129"/>
      <c r="O697" s="129"/>
      <c r="P697" s="129"/>
      <c r="Q697" s="129"/>
      <c r="R697" s="129"/>
      <c r="S697" s="129"/>
      <c r="T697" s="129"/>
      <c r="U697" s="129"/>
      <c r="V697" s="129"/>
      <c r="W697" s="129"/>
      <c r="X697" s="129"/>
      <c r="Y697" s="129"/>
      <c r="Z697" s="129"/>
      <c r="AA697" s="129"/>
      <c r="AB697" s="129"/>
      <c r="AC697" s="129"/>
      <c r="AD697" s="129"/>
      <c r="AE697" s="129"/>
      <c r="AF697" s="129"/>
      <c r="AG697" s="129"/>
      <c r="AH697" s="129"/>
      <c r="AI697" s="129"/>
      <c r="AJ697" s="129"/>
      <c r="AK697" s="129"/>
      <c r="AL697" s="129"/>
      <c r="AM697" s="129"/>
      <c r="AN697" s="129"/>
      <c r="AO697" s="129"/>
      <c r="AP697" s="129"/>
      <c r="AQ697" s="129"/>
    </row>
    <row r="698" spans="1:43" ht="12.75" customHeight="1">
      <c r="A698" s="129"/>
      <c r="B698" s="129"/>
      <c r="C698" s="129"/>
      <c r="D698" s="129"/>
      <c r="E698" s="129"/>
      <c r="F698" s="129"/>
      <c r="G698" s="129"/>
      <c r="H698" s="129"/>
      <c r="I698" s="129"/>
      <c r="J698" s="129"/>
      <c r="K698" s="129"/>
      <c r="L698" s="129"/>
      <c r="M698" s="129"/>
      <c r="N698" s="129"/>
      <c r="O698" s="129"/>
      <c r="P698" s="129"/>
      <c r="Q698" s="129"/>
      <c r="R698" s="129"/>
      <c r="S698" s="129"/>
      <c r="T698" s="129"/>
      <c r="U698" s="129"/>
      <c r="V698" s="129"/>
      <c r="W698" s="129"/>
      <c r="X698" s="129"/>
      <c r="Y698" s="129"/>
      <c r="Z698" s="129"/>
      <c r="AA698" s="129"/>
      <c r="AB698" s="129"/>
      <c r="AC698" s="129"/>
      <c r="AD698" s="129"/>
      <c r="AE698" s="129"/>
      <c r="AF698" s="129"/>
      <c r="AG698" s="129"/>
      <c r="AH698" s="129"/>
      <c r="AI698" s="129"/>
      <c r="AJ698" s="129"/>
      <c r="AK698" s="129"/>
      <c r="AL698" s="129"/>
      <c r="AM698" s="129"/>
      <c r="AN698" s="129"/>
      <c r="AO698" s="129"/>
      <c r="AP698" s="129"/>
      <c r="AQ698" s="129"/>
    </row>
    <row r="699" spans="1:43" ht="12.75" customHeight="1">
      <c r="A699" s="129"/>
      <c r="B699" s="129"/>
      <c r="C699" s="129"/>
      <c r="D699" s="129"/>
      <c r="E699" s="129"/>
      <c r="F699" s="129"/>
      <c r="G699" s="129"/>
      <c r="H699" s="129"/>
      <c r="I699" s="129"/>
      <c r="J699" s="129"/>
      <c r="K699" s="129"/>
      <c r="L699" s="129"/>
      <c r="M699" s="129"/>
      <c r="N699" s="129"/>
      <c r="O699" s="129"/>
      <c r="P699" s="129"/>
      <c r="Q699" s="129"/>
      <c r="R699" s="129"/>
      <c r="S699" s="129"/>
      <c r="T699" s="129"/>
      <c r="U699" s="129"/>
      <c r="V699" s="129"/>
      <c r="W699" s="129"/>
      <c r="X699" s="129"/>
      <c r="Y699" s="129"/>
      <c r="Z699" s="129"/>
      <c r="AA699" s="129"/>
      <c r="AB699" s="129"/>
      <c r="AC699" s="129"/>
      <c r="AD699" s="129"/>
      <c r="AE699" s="129"/>
      <c r="AF699" s="129"/>
      <c r="AG699" s="129"/>
      <c r="AH699" s="129"/>
      <c r="AI699" s="129"/>
      <c r="AJ699" s="129"/>
      <c r="AK699" s="129"/>
      <c r="AL699" s="129"/>
      <c r="AM699" s="129"/>
      <c r="AN699" s="129"/>
      <c r="AO699" s="129"/>
      <c r="AP699" s="129"/>
      <c r="AQ699" s="129"/>
    </row>
    <row r="700" spans="1:43" ht="12.75" customHeight="1">
      <c r="A700" s="129"/>
      <c r="B700" s="129"/>
      <c r="C700" s="129"/>
      <c r="D700" s="129"/>
      <c r="E700" s="129"/>
      <c r="F700" s="129"/>
      <c r="G700" s="129"/>
      <c r="H700" s="129"/>
      <c r="I700" s="129"/>
      <c r="J700" s="129"/>
      <c r="K700" s="129"/>
      <c r="L700" s="129"/>
      <c r="M700" s="129"/>
      <c r="N700" s="129"/>
      <c r="O700" s="129"/>
      <c r="P700" s="129"/>
      <c r="Q700" s="129"/>
      <c r="R700" s="129"/>
      <c r="S700" s="129"/>
      <c r="T700" s="129"/>
      <c r="U700" s="129"/>
      <c r="V700" s="129"/>
      <c r="W700" s="129"/>
      <c r="X700" s="129"/>
      <c r="Y700" s="129"/>
      <c r="Z700" s="129"/>
      <c r="AA700" s="129"/>
      <c r="AB700" s="129"/>
      <c r="AC700" s="129"/>
      <c r="AD700" s="129"/>
      <c r="AE700" s="129"/>
      <c r="AF700" s="129"/>
      <c r="AG700" s="129"/>
      <c r="AH700" s="129"/>
      <c r="AI700" s="129"/>
      <c r="AJ700" s="129"/>
      <c r="AK700" s="129"/>
      <c r="AL700" s="129"/>
      <c r="AM700" s="129"/>
      <c r="AN700" s="129"/>
      <c r="AO700" s="129"/>
      <c r="AP700" s="129"/>
      <c r="AQ700" s="129"/>
    </row>
    <row r="701" spans="1:43" ht="12.75" customHeight="1">
      <c r="A701" s="129"/>
      <c r="B701" s="129"/>
      <c r="C701" s="129"/>
      <c r="D701" s="129"/>
      <c r="E701" s="129"/>
      <c r="F701" s="129"/>
      <c r="G701" s="129"/>
      <c r="H701" s="129"/>
      <c r="I701" s="129"/>
      <c r="J701" s="129"/>
      <c r="K701" s="129"/>
      <c r="L701" s="129"/>
      <c r="M701" s="129"/>
      <c r="N701" s="129"/>
      <c r="O701" s="129"/>
      <c r="P701" s="129"/>
      <c r="Q701" s="129"/>
      <c r="R701" s="129"/>
      <c r="S701" s="129"/>
      <c r="T701" s="129"/>
      <c r="U701" s="129"/>
      <c r="V701" s="129"/>
      <c r="W701" s="129"/>
      <c r="X701" s="129"/>
      <c r="Y701" s="129"/>
      <c r="Z701" s="129"/>
      <c r="AA701" s="129"/>
      <c r="AB701" s="129"/>
      <c r="AC701" s="129"/>
      <c r="AD701" s="129"/>
      <c r="AE701" s="129"/>
      <c r="AF701" s="129"/>
      <c r="AG701" s="129"/>
      <c r="AH701" s="129"/>
      <c r="AI701" s="129"/>
      <c r="AJ701" s="129"/>
      <c r="AK701" s="129"/>
      <c r="AL701" s="129"/>
      <c r="AM701" s="129"/>
      <c r="AN701" s="129"/>
      <c r="AO701" s="129"/>
      <c r="AP701" s="129"/>
      <c r="AQ701" s="129"/>
    </row>
    <row r="702" spans="1:43" ht="12.75" customHeight="1">
      <c r="A702" s="129"/>
      <c r="B702" s="129"/>
      <c r="C702" s="129"/>
      <c r="D702" s="129"/>
      <c r="E702" s="129"/>
      <c r="F702" s="129"/>
      <c r="G702" s="129"/>
      <c r="H702" s="129"/>
      <c r="I702" s="129"/>
      <c r="J702" s="129"/>
      <c r="K702" s="129"/>
      <c r="L702" s="129"/>
      <c r="M702" s="129"/>
      <c r="N702" s="129"/>
      <c r="O702" s="129"/>
      <c r="P702" s="129"/>
      <c r="Q702" s="129"/>
      <c r="R702" s="129"/>
      <c r="S702" s="129"/>
      <c r="T702" s="129"/>
      <c r="U702" s="129"/>
      <c r="V702" s="129"/>
      <c r="W702" s="129"/>
      <c r="X702" s="129"/>
      <c r="Y702" s="129"/>
      <c r="Z702" s="129"/>
      <c r="AA702" s="129"/>
      <c r="AB702" s="129"/>
      <c r="AC702" s="129"/>
      <c r="AD702" s="129"/>
      <c r="AE702" s="129"/>
      <c r="AF702" s="129"/>
      <c r="AG702" s="129"/>
      <c r="AH702" s="129"/>
      <c r="AI702" s="129"/>
      <c r="AJ702" s="129"/>
      <c r="AK702" s="129"/>
      <c r="AL702" s="129"/>
      <c r="AM702" s="129"/>
      <c r="AN702" s="129"/>
      <c r="AO702" s="129"/>
      <c r="AP702" s="129"/>
      <c r="AQ702" s="129"/>
    </row>
    <row r="703" spans="1:43" ht="12.75" customHeight="1">
      <c r="A703" s="129"/>
      <c r="B703" s="129"/>
      <c r="C703" s="129"/>
      <c r="D703" s="129"/>
      <c r="E703" s="129"/>
      <c r="F703" s="129"/>
      <c r="G703" s="129"/>
      <c r="H703" s="129"/>
      <c r="I703" s="129"/>
      <c r="J703" s="129"/>
      <c r="K703" s="129"/>
      <c r="L703" s="129"/>
      <c r="M703" s="129"/>
      <c r="N703" s="129"/>
      <c r="O703" s="129"/>
      <c r="P703" s="129"/>
      <c r="Q703" s="129"/>
      <c r="R703" s="129"/>
      <c r="S703" s="129"/>
      <c r="T703" s="129"/>
      <c r="U703" s="129"/>
      <c r="V703" s="129"/>
      <c r="W703" s="129"/>
      <c r="X703" s="129"/>
      <c r="Y703" s="129"/>
      <c r="Z703" s="129"/>
      <c r="AA703" s="129"/>
      <c r="AB703" s="129"/>
      <c r="AC703" s="129"/>
      <c r="AD703" s="129"/>
      <c r="AE703" s="129"/>
      <c r="AF703" s="129"/>
      <c r="AG703" s="129"/>
      <c r="AH703" s="129"/>
      <c r="AI703" s="129"/>
      <c r="AJ703" s="129"/>
      <c r="AK703" s="129"/>
      <c r="AL703" s="129"/>
      <c r="AM703" s="129"/>
      <c r="AN703" s="129"/>
      <c r="AO703" s="129"/>
      <c r="AP703" s="129"/>
      <c r="AQ703" s="129"/>
    </row>
    <row r="704" spans="1:43" ht="12.75" customHeight="1">
      <c r="A704" s="129"/>
      <c r="B704" s="129"/>
      <c r="C704" s="129"/>
      <c r="D704" s="129"/>
      <c r="E704" s="129"/>
      <c r="F704" s="129"/>
      <c r="G704" s="129"/>
      <c r="H704" s="129"/>
      <c r="I704" s="129"/>
      <c r="J704" s="129"/>
      <c r="K704" s="129"/>
      <c r="L704" s="129"/>
      <c r="M704" s="129"/>
      <c r="N704" s="129"/>
      <c r="O704" s="129"/>
      <c r="P704" s="129"/>
      <c r="Q704" s="129"/>
      <c r="R704" s="129"/>
      <c r="S704" s="129"/>
      <c r="T704" s="129"/>
      <c r="U704" s="129"/>
      <c r="V704" s="129"/>
      <c r="W704" s="129"/>
      <c r="X704" s="129"/>
      <c r="Y704" s="129"/>
      <c r="Z704" s="129"/>
      <c r="AA704" s="129"/>
      <c r="AB704" s="129"/>
      <c r="AC704" s="129"/>
      <c r="AD704" s="129"/>
      <c r="AE704" s="129"/>
      <c r="AF704" s="129"/>
      <c r="AG704" s="129"/>
      <c r="AH704" s="129"/>
      <c r="AI704" s="129"/>
      <c r="AJ704" s="129"/>
      <c r="AK704" s="129"/>
      <c r="AL704" s="129"/>
      <c r="AM704" s="129"/>
      <c r="AN704" s="129"/>
      <c r="AO704" s="129"/>
      <c r="AP704" s="129"/>
      <c r="AQ704" s="129"/>
    </row>
    <row r="705" spans="1:43" ht="12.75" customHeight="1">
      <c r="A705" s="129"/>
      <c r="B705" s="129"/>
      <c r="C705" s="129"/>
      <c r="D705" s="129"/>
      <c r="E705" s="129"/>
      <c r="F705" s="129"/>
      <c r="G705" s="129"/>
      <c r="H705" s="129"/>
      <c r="I705" s="129"/>
      <c r="J705" s="129"/>
      <c r="K705" s="129"/>
      <c r="L705" s="129"/>
      <c r="M705" s="129"/>
      <c r="N705" s="129"/>
      <c r="O705" s="129"/>
      <c r="P705" s="129"/>
      <c r="Q705" s="129"/>
      <c r="R705" s="129"/>
      <c r="S705" s="129"/>
      <c r="T705" s="129"/>
      <c r="U705" s="129"/>
      <c r="V705" s="129"/>
      <c r="W705" s="129"/>
      <c r="X705" s="129"/>
      <c r="Y705" s="129"/>
      <c r="Z705" s="129"/>
      <c r="AA705" s="129"/>
      <c r="AB705" s="129"/>
      <c r="AC705" s="129"/>
      <c r="AD705" s="129"/>
      <c r="AE705" s="129"/>
      <c r="AF705" s="129"/>
      <c r="AG705" s="129"/>
      <c r="AH705" s="129"/>
      <c r="AI705" s="129"/>
      <c r="AJ705" s="129"/>
      <c r="AK705" s="129"/>
      <c r="AL705" s="129"/>
      <c r="AM705" s="129"/>
      <c r="AN705" s="129"/>
      <c r="AO705" s="129"/>
      <c r="AP705" s="129"/>
      <c r="AQ705" s="129"/>
    </row>
    <row r="706" spans="1:43" ht="12.75" customHeight="1">
      <c r="A706" s="129"/>
      <c r="B706" s="129"/>
      <c r="C706" s="129"/>
      <c r="D706" s="129"/>
      <c r="E706" s="129"/>
      <c r="F706" s="129"/>
      <c r="G706" s="129"/>
      <c r="H706" s="129"/>
      <c r="I706" s="129"/>
      <c r="J706" s="129"/>
      <c r="K706" s="129"/>
      <c r="L706" s="129"/>
      <c r="M706" s="129"/>
      <c r="N706" s="129"/>
      <c r="O706" s="129"/>
      <c r="P706" s="129"/>
      <c r="Q706" s="129"/>
      <c r="R706" s="129"/>
      <c r="S706" s="129"/>
      <c r="T706" s="129"/>
      <c r="U706" s="129"/>
      <c r="V706" s="129"/>
      <c r="W706" s="129"/>
      <c r="X706" s="129"/>
      <c r="Y706" s="129"/>
      <c r="Z706" s="129"/>
      <c r="AA706" s="129"/>
      <c r="AB706" s="129"/>
      <c r="AC706" s="129"/>
      <c r="AD706" s="129"/>
      <c r="AE706" s="129"/>
      <c r="AF706" s="129"/>
      <c r="AG706" s="129"/>
      <c r="AH706" s="129"/>
      <c r="AI706" s="129"/>
      <c r="AJ706" s="129"/>
      <c r="AK706" s="129"/>
      <c r="AL706" s="129"/>
      <c r="AM706" s="129"/>
      <c r="AN706" s="129"/>
      <c r="AO706" s="129"/>
      <c r="AP706" s="129"/>
      <c r="AQ706" s="129"/>
    </row>
    <row r="707" spans="1:43" ht="12.75" customHeight="1">
      <c r="A707" s="129"/>
      <c r="B707" s="129"/>
      <c r="C707" s="129"/>
      <c r="D707" s="129"/>
      <c r="E707" s="129"/>
      <c r="F707" s="129"/>
      <c r="G707" s="129"/>
      <c r="H707" s="129"/>
      <c r="I707" s="129"/>
      <c r="J707" s="129"/>
      <c r="K707" s="129"/>
      <c r="L707" s="129"/>
      <c r="M707" s="129"/>
      <c r="N707" s="129"/>
      <c r="O707" s="129"/>
      <c r="P707" s="129"/>
      <c r="Q707" s="129"/>
      <c r="R707" s="129"/>
      <c r="S707" s="129"/>
      <c r="T707" s="129"/>
      <c r="U707" s="129"/>
      <c r="V707" s="129"/>
      <c r="W707" s="129"/>
      <c r="X707" s="129"/>
      <c r="Y707" s="129"/>
      <c r="Z707" s="129"/>
      <c r="AA707" s="129"/>
      <c r="AB707" s="129"/>
      <c r="AC707" s="129"/>
      <c r="AD707" s="129"/>
      <c r="AE707" s="129"/>
      <c r="AF707" s="129"/>
      <c r="AG707" s="129"/>
      <c r="AH707" s="129"/>
      <c r="AI707" s="129"/>
      <c r="AJ707" s="129"/>
      <c r="AK707" s="129"/>
      <c r="AL707" s="129"/>
      <c r="AM707" s="129"/>
      <c r="AN707" s="129"/>
      <c r="AO707" s="129"/>
      <c r="AP707" s="129"/>
      <c r="AQ707" s="129"/>
    </row>
    <row r="708" spans="1:43" ht="12.75" customHeight="1">
      <c r="A708" s="129"/>
      <c r="B708" s="129"/>
      <c r="C708" s="129"/>
      <c r="D708" s="129"/>
      <c r="E708" s="129"/>
      <c r="F708" s="129"/>
      <c r="G708" s="129"/>
      <c r="H708" s="129"/>
      <c r="I708" s="129"/>
      <c r="J708" s="129"/>
      <c r="K708" s="129"/>
      <c r="L708" s="129"/>
      <c r="M708" s="129"/>
      <c r="N708" s="129"/>
      <c r="O708" s="129"/>
      <c r="P708" s="129"/>
      <c r="Q708" s="129"/>
      <c r="R708" s="129"/>
      <c r="S708" s="129"/>
      <c r="T708" s="129"/>
      <c r="U708" s="129"/>
      <c r="V708" s="129"/>
      <c r="W708" s="129"/>
      <c r="X708" s="129"/>
      <c r="Y708" s="129"/>
      <c r="Z708" s="129"/>
      <c r="AA708" s="129"/>
      <c r="AB708" s="129"/>
      <c r="AC708" s="129"/>
      <c r="AD708" s="129"/>
      <c r="AE708" s="129"/>
      <c r="AF708" s="129"/>
      <c r="AG708" s="129"/>
      <c r="AH708" s="129"/>
      <c r="AI708" s="129"/>
      <c r="AJ708" s="129"/>
      <c r="AK708" s="129"/>
      <c r="AL708" s="129"/>
      <c r="AM708" s="129"/>
      <c r="AN708" s="129"/>
      <c r="AO708" s="129"/>
      <c r="AP708" s="129"/>
      <c r="AQ708" s="129"/>
    </row>
    <row r="709" spans="1:43" ht="12.75" customHeight="1">
      <c r="A709" s="129"/>
      <c r="B709" s="129"/>
      <c r="C709" s="129"/>
      <c r="D709" s="129"/>
      <c r="E709" s="129"/>
      <c r="F709" s="129"/>
      <c r="G709" s="129"/>
      <c r="H709" s="129"/>
      <c r="I709" s="129"/>
      <c r="J709" s="129"/>
      <c r="K709" s="129"/>
      <c r="L709" s="129"/>
      <c r="M709" s="129"/>
      <c r="N709" s="129"/>
      <c r="O709" s="129"/>
      <c r="P709" s="129"/>
      <c r="Q709" s="129"/>
      <c r="R709" s="129"/>
      <c r="S709" s="129"/>
      <c r="T709" s="129"/>
      <c r="U709" s="129"/>
      <c r="V709" s="129"/>
      <c r="W709" s="129"/>
      <c r="X709" s="129"/>
      <c r="Y709" s="129"/>
      <c r="Z709" s="129"/>
      <c r="AA709" s="129"/>
      <c r="AB709" s="129"/>
      <c r="AC709" s="129"/>
      <c r="AD709" s="129"/>
      <c r="AE709" s="129"/>
      <c r="AF709" s="129"/>
      <c r="AG709" s="129"/>
      <c r="AH709" s="129"/>
      <c r="AI709" s="129"/>
      <c r="AJ709" s="129"/>
      <c r="AK709" s="129"/>
      <c r="AL709" s="129"/>
      <c r="AM709" s="129"/>
      <c r="AN709" s="129"/>
      <c r="AO709" s="129"/>
      <c r="AP709" s="129"/>
      <c r="AQ709" s="129"/>
    </row>
    <row r="710" spans="1:43" ht="12.75" customHeight="1">
      <c r="A710" s="129"/>
      <c r="B710" s="129"/>
      <c r="C710" s="129"/>
      <c r="D710" s="129"/>
      <c r="E710" s="129"/>
      <c r="F710" s="129"/>
      <c r="G710" s="129"/>
      <c r="H710" s="129"/>
      <c r="I710" s="129"/>
      <c r="J710" s="129"/>
      <c r="K710" s="129"/>
      <c r="L710" s="129"/>
      <c r="M710" s="129"/>
      <c r="N710" s="129"/>
      <c r="O710" s="129"/>
      <c r="P710" s="129"/>
      <c r="Q710" s="129"/>
      <c r="R710" s="129"/>
      <c r="S710" s="129"/>
      <c r="T710" s="129"/>
      <c r="U710" s="129"/>
      <c r="V710" s="129"/>
      <c r="W710" s="129"/>
      <c r="X710" s="129"/>
      <c r="Y710" s="129"/>
      <c r="Z710" s="129"/>
      <c r="AA710" s="129"/>
      <c r="AB710" s="129"/>
      <c r="AC710" s="129"/>
      <c r="AD710" s="129"/>
      <c r="AE710" s="129"/>
      <c r="AF710" s="129"/>
      <c r="AG710" s="129"/>
      <c r="AH710" s="129"/>
      <c r="AI710" s="129"/>
      <c r="AJ710" s="129"/>
      <c r="AK710" s="129"/>
      <c r="AL710" s="129"/>
      <c r="AM710" s="129"/>
      <c r="AN710" s="129"/>
      <c r="AO710" s="129"/>
      <c r="AP710" s="129"/>
      <c r="AQ710" s="129"/>
    </row>
    <row r="711" spans="1:43" ht="12.75" customHeight="1">
      <c r="A711" s="129"/>
      <c r="B711" s="129"/>
      <c r="C711" s="129"/>
      <c r="D711" s="129"/>
      <c r="E711" s="129"/>
      <c r="F711" s="129"/>
      <c r="G711" s="129"/>
      <c r="H711" s="129"/>
      <c r="I711" s="129"/>
      <c r="J711" s="129"/>
      <c r="K711" s="129"/>
      <c r="L711" s="129"/>
      <c r="M711" s="129"/>
      <c r="N711" s="129"/>
      <c r="O711" s="129"/>
      <c r="P711" s="129"/>
      <c r="Q711" s="129"/>
      <c r="R711" s="129"/>
      <c r="S711" s="129"/>
      <c r="T711" s="129"/>
      <c r="U711" s="129"/>
      <c r="V711" s="129"/>
      <c r="W711" s="129"/>
      <c r="X711" s="129"/>
      <c r="Y711" s="129"/>
      <c r="Z711" s="129"/>
      <c r="AA711" s="129"/>
      <c r="AB711" s="129"/>
      <c r="AC711" s="129"/>
      <c r="AD711" s="129"/>
      <c r="AE711" s="129"/>
      <c r="AF711" s="129"/>
      <c r="AG711" s="129"/>
      <c r="AH711" s="129"/>
      <c r="AI711" s="129"/>
      <c r="AJ711" s="129"/>
      <c r="AK711" s="129"/>
      <c r="AL711" s="129"/>
      <c r="AM711" s="129"/>
      <c r="AN711" s="129"/>
      <c r="AO711" s="129"/>
      <c r="AP711" s="129"/>
      <c r="AQ711" s="129"/>
    </row>
    <row r="712" spans="1:43" ht="12.75" customHeight="1">
      <c r="A712" s="129"/>
      <c r="B712" s="129"/>
      <c r="C712" s="129"/>
      <c r="D712" s="129"/>
      <c r="E712" s="129"/>
      <c r="F712" s="129"/>
      <c r="G712" s="129"/>
      <c r="H712" s="129"/>
      <c r="I712" s="129"/>
      <c r="J712" s="129"/>
      <c r="K712" s="129"/>
      <c r="L712" s="129"/>
      <c r="M712" s="129"/>
      <c r="N712" s="129"/>
      <c r="O712" s="129"/>
      <c r="P712" s="129"/>
      <c r="Q712" s="129"/>
      <c r="R712" s="129"/>
      <c r="S712" s="129"/>
      <c r="T712" s="129"/>
      <c r="U712" s="129"/>
      <c r="V712" s="129"/>
      <c r="W712" s="129"/>
      <c r="X712" s="129"/>
      <c r="Y712" s="129"/>
      <c r="Z712" s="129"/>
      <c r="AA712" s="129"/>
      <c r="AB712" s="129"/>
      <c r="AC712" s="129"/>
      <c r="AD712" s="129"/>
      <c r="AE712" s="129"/>
      <c r="AF712" s="129"/>
      <c r="AG712" s="129"/>
      <c r="AH712" s="129"/>
      <c r="AI712" s="129"/>
      <c r="AJ712" s="129"/>
      <c r="AK712" s="129"/>
      <c r="AL712" s="129"/>
      <c r="AM712" s="129"/>
      <c r="AN712" s="129"/>
      <c r="AO712" s="129"/>
      <c r="AP712" s="129"/>
      <c r="AQ712" s="129"/>
    </row>
    <row r="713" spans="1:43" ht="12.75" customHeight="1">
      <c r="A713" s="129"/>
      <c r="B713" s="129"/>
      <c r="C713" s="129"/>
      <c r="D713" s="129"/>
      <c r="E713" s="129"/>
      <c r="F713" s="129"/>
      <c r="G713" s="129"/>
      <c r="H713" s="129"/>
      <c r="I713" s="129"/>
      <c r="J713" s="129"/>
      <c r="K713" s="129"/>
      <c r="L713" s="129"/>
      <c r="M713" s="129"/>
      <c r="N713" s="129"/>
      <c r="O713" s="129"/>
      <c r="P713" s="129"/>
      <c r="Q713" s="129"/>
      <c r="R713" s="129"/>
      <c r="S713" s="129"/>
      <c r="T713" s="129"/>
      <c r="U713" s="129"/>
      <c r="V713" s="129"/>
      <c r="W713" s="129"/>
      <c r="X713" s="129"/>
      <c r="Y713" s="129"/>
      <c r="Z713" s="129"/>
      <c r="AA713" s="129"/>
      <c r="AB713" s="129"/>
      <c r="AC713" s="129"/>
      <c r="AD713" s="129"/>
      <c r="AE713" s="129"/>
      <c r="AF713" s="129"/>
      <c r="AG713" s="129"/>
      <c r="AH713" s="129"/>
      <c r="AI713" s="129"/>
      <c r="AJ713" s="129"/>
      <c r="AK713" s="129"/>
      <c r="AL713" s="129"/>
      <c r="AM713" s="129"/>
      <c r="AN713" s="129"/>
      <c r="AO713" s="129"/>
      <c r="AP713" s="129"/>
      <c r="AQ713" s="129"/>
    </row>
    <row r="714" spans="1:43" ht="12.75" customHeight="1">
      <c r="A714" s="129"/>
      <c r="B714" s="129"/>
      <c r="C714" s="129"/>
      <c r="D714" s="129"/>
      <c r="E714" s="129"/>
      <c r="F714" s="129"/>
      <c r="G714" s="129"/>
      <c r="H714" s="129"/>
      <c r="I714" s="129"/>
      <c r="J714" s="129"/>
      <c r="K714" s="129"/>
      <c r="L714" s="129"/>
      <c r="M714" s="129"/>
      <c r="N714" s="129"/>
      <c r="O714" s="129"/>
      <c r="P714" s="129"/>
      <c r="Q714" s="129"/>
      <c r="R714" s="129"/>
      <c r="S714" s="129"/>
      <c r="T714" s="129"/>
      <c r="U714" s="129"/>
      <c r="V714" s="129"/>
      <c r="W714" s="129"/>
      <c r="X714" s="129"/>
      <c r="Y714" s="129"/>
      <c r="Z714" s="129"/>
      <c r="AA714" s="129"/>
      <c r="AB714" s="129"/>
      <c r="AC714" s="129"/>
      <c r="AD714" s="129"/>
      <c r="AE714" s="129"/>
      <c r="AF714" s="129"/>
      <c r="AG714" s="129"/>
      <c r="AH714" s="129"/>
      <c r="AI714" s="129"/>
      <c r="AJ714" s="129"/>
      <c r="AK714" s="129"/>
      <c r="AL714" s="129"/>
      <c r="AM714" s="129"/>
      <c r="AN714" s="129"/>
      <c r="AO714" s="129"/>
      <c r="AP714" s="129"/>
      <c r="AQ714" s="129"/>
    </row>
    <row r="715" spans="1:43" ht="12.75" customHeight="1">
      <c r="A715" s="129"/>
      <c r="B715" s="129"/>
      <c r="C715" s="129"/>
      <c r="D715" s="129"/>
      <c r="E715" s="129"/>
      <c r="F715" s="129"/>
      <c r="G715" s="129"/>
      <c r="H715" s="129"/>
      <c r="I715" s="129"/>
      <c r="J715" s="129"/>
      <c r="K715" s="129"/>
      <c r="L715" s="129"/>
      <c r="M715" s="129"/>
      <c r="N715" s="129"/>
      <c r="O715" s="129"/>
      <c r="P715" s="129"/>
      <c r="Q715" s="129"/>
      <c r="R715" s="129"/>
      <c r="S715" s="129"/>
      <c r="T715" s="129"/>
      <c r="U715" s="129"/>
      <c r="V715" s="129"/>
      <c r="W715" s="129"/>
      <c r="X715" s="129"/>
      <c r="Y715" s="129"/>
      <c r="Z715" s="129"/>
      <c r="AA715" s="129"/>
      <c r="AB715" s="129"/>
      <c r="AC715" s="129"/>
      <c r="AD715" s="129"/>
      <c r="AE715" s="129"/>
      <c r="AF715" s="129"/>
      <c r="AG715" s="129"/>
      <c r="AH715" s="129"/>
      <c r="AI715" s="129"/>
      <c r="AJ715" s="129"/>
      <c r="AK715" s="129"/>
      <c r="AL715" s="129"/>
      <c r="AM715" s="129"/>
      <c r="AN715" s="129"/>
      <c r="AO715" s="129"/>
      <c r="AP715" s="129"/>
      <c r="AQ715" s="129"/>
    </row>
    <row r="716" spans="1:43" ht="12.75" customHeight="1">
      <c r="A716" s="129"/>
      <c r="B716" s="129"/>
      <c r="C716" s="129"/>
      <c r="D716" s="129"/>
      <c r="E716" s="129"/>
      <c r="F716" s="129"/>
      <c r="G716" s="129"/>
      <c r="H716" s="129"/>
      <c r="I716" s="129"/>
      <c r="J716" s="129"/>
      <c r="K716" s="129"/>
      <c r="L716" s="129"/>
      <c r="M716" s="129"/>
      <c r="N716" s="129"/>
      <c r="O716" s="129"/>
      <c r="P716" s="129"/>
      <c r="Q716" s="129"/>
      <c r="R716" s="129"/>
      <c r="S716" s="129"/>
      <c r="T716" s="129"/>
      <c r="U716" s="129"/>
      <c r="V716" s="129"/>
      <c r="W716" s="129"/>
      <c r="X716" s="129"/>
      <c r="Y716" s="129"/>
      <c r="Z716" s="129"/>
      <c r="AA716" s="129"/>
      <c r="AB716" s="129"/>
      <c r="AC716" s="129"/>
      <c r="AD716" s="129"/>
      <c r="AE716" s="129"/>
      <c r="AF716" s="129"/>
      <c r="AG716" s="129"/>
      <c r="AH716" s="129"/>
      <c r="AI716" s="129"/>
      <c r="AJ716" s="129"/>
      <c r="AK716" s="129"/>
      <c r="AL716" s="129"/>
      <c r="AM716" s="129"/>
      <c r="AN716" s="129"/>
      <c r="AO716" s="129"/>
      <c r="AP716" s="129"/>
      <c r="AQ716" s="129"/>
    </row>
    <row r="717" spans="1:43" ht="12.75" customHeight="1">
      <c r="A717" s="129"/>
      <c r="B717" s="129"/>
      <c r="C717" s="129"/>
      <c r="D717" s="129"/>
      <c r="E717" s="129"/>
      <c r="F717" s="129"/>
      <c r="G717" s="129"/>
      <c r="H717" s="129"/>
      <c r="I717" s="129"/>
      <c r="J717" s="129"/>
      <c r="K717" s="129"/>
      <c r="L717" s="129"/>
      <c r="M717" s="129"/>
      <c r="N717" s="129"/>
      <c r="O717" s="129"/>
      <c r="P717" s="129"/>
      <c r="Q717" s="129"/>
      <c r="R717" s="129"/>
      <c r="S717" s="129"/>
      <c r="T717" s="129"/>
      <c r="U717" s="129"/>
      <c r="V717" s="129"/>
      <c r="W717" s="129"/>
      <c r="X717" s="129"/>
      <c r="Y717" s="129"/>
      <c r="Z717" s="129"/>
      <c r="AA717" s="129"/>
      <c r="AB717" s="129"/>
      <c r="AC717" s="129"/>
      <c r="AD717" s="129"/>
      <c r="AE717" s="129"/>
      <c r="AF717" s="129"/>
      <c r="AG717" s="129"/>
      <c r="AH717" s="129"/>
      <c r="AI717" s="129"/>
      <c r="AJ717" s="129"/>
      <c r="AK717" s="129"/>
      <c r="AL717" s="129"/>
      <c r="AM717" s="129"/>
      <c r="AN717" s="129"/>
      <c r="AO717" s="129"/>
      <c r="AP717" s="129"/>
      <c r="AQ717" s="129"/>
    </row>
    <row r="718" spans="1:43" ht="12.75" customHeight="1">
      <c r="A718" s="129"/>
      <c r="B718" s="129"/>
      <c r="C718" s="129"/>
      <c r="D718" s="129"/>
      <c r="E718" s="129"/>
      <c r="F718" s="129"/>
      <c r="G718" s="129"/>
      <c r="H718" s="129"/>
      <c r="I718" s="129"/>
      <c r="J718" s="129"/>
      <c r="K718" s="129"/>
      <c r="L718" s="129"/>
      <c r="M718" s="129"/>
      <c r="N718" s="129"/>
      <c r="O718" s="129"/>
      <c r="P718" s="129"/>
      <c r="Q718" s="129"/>
      <c r="R718" s="129"/>
      <c r="S718" s="129"/>
      <c r="T718" s="129"/>
      <c r="U718" s="129"/>
      <c r="V718" s="129"/>
      <c r="W718" s="129"/>
      <c r="X718" s="129"/>
      <c r="Y718" s="129"/>
      <c r="Z718" s="129"/>
      <c r="AA718" s="129"/>
      <c r="AB718" s="129"/>
      <c r="AC718" s="129"/>
      <c r="AD718" s="129"/>
      <c r="AE718" s="129"/>
      <c r="AF718" s="129"/>
      <c r="AG718" s="129"/>
      <c r="AH718" s="129"/>
      <c r="AI718" s="129"/>
      <c r="AJ718" s="129"/>
      <c r="AK718" s="129"/>
      <c r="AL718" s="129"/>
      <c r="AM718" s="129"/>
      <c r="AN718" s="129"/>
      <c r="AO718" s="129"/>
      <c r="AP718" s="129"/>
      <c r="AQ718" s="129"/>
    </row>
    <row r="719" spans="1:43" ht="12.75" customHeight="1">
      <c r="A719" s="129"/>
      <c r="B719" s="129"/>
      <c r="C719" s="129"/>
      <c r="D719" s="129"/>
      <c r="E719" s="129"/>
      <c r="F719" s="129"/>
      <c r="G719" s="129"/>
      <c r="H719" s="129"/>
      <c r="I719" s="129"/>
      <c r="J719" s="129"/>
      <c r="K719" s="129"/>
      <c r="L719" s="129"/>
      <c r="M719" s="129"/>
      <c r="N719" s="129"/>
      <c r="O719" s="129"/>
      <c r="P719" s="129"/>
      <c r="Q719" s="129"/>
      <c r="R719" s="129"/>
      <c r="S719" s="129"/>
      <c r="T719" s="129"/>
      <c r="U719" s="129"/>
      <c r="V719" s="129"/>
      <c r="W719" s="129"/>
      <c r="X719" s="129"/>
      <c r="Y719" s="129"/>
      <c r="Z719" s="129"/>
      <c r="AA719" s="129"/>
      <c r="AB719" s="129"/>
      <c r="AC719" s="129"/>
      <c r="AD719" s="129"/>
      <c r="AE719" s="129"/>
      <c r="AF719" s="129"/>
      <c r="AG719" s="129"/>
      <c r="AH719" s="129"/>
      <c r="AI719" s="129"/>
      <c r="AJ719" s="129"/>
      <c r="AK719" s="129"/>
      <c r="AL719" s="129"/>
      <c r="AM719" s="129"/>
      <c r="AN719" s="129"/>
      <c r="AO719" s="129"/>
      <c r="AP719" s="129"/>
      <c r="AQ719" s="129"/>
    </row>
    <row r="720" spans="1:43" ht="12.75" customHeight="1">
      <c r="A720" s="129"/>
      <c r="B720" s="129"/>
      <c r="C720" s="129"/>
      <c r="D720" s="129"/>
      <c r="E720" s="129"/>
      <c r="F720" s="129"/>
      <c r="G720" s="129"/>
      <c r="H720" s="129"/>
      <c r="I720" s="129"/>
      <c r="J720" s="129"/>
      <c r="K720" s="129"/>
      <c r="L720" s="129"/>
      <c r="M720" s="129"/>
      <c r="N720" s="129"/>
      <c r="O720" s="129"/>
      <c r="P720" s="129"/>
      <c r="Q720" s="129"/>
      <c r="R720" s="129"/>
      <c r="S720" s="129"/>
      <c r="T720" s="129"/>
      <c r="U720" s="129"/>
      <c r="V720" s="129"/>
      <c r="W720" s="129"/>
      <c r="X720" s="129"/>
      <c r="Y720" s="129"/>
      <c r="Z720" s="129"/>
      <c r="AA720" s="129"/>
      <c r="AB720" s="129"/>
      <c r="AC720" s="129"/>
      <c r="AD720" s="129"/>
      <c r="AE720" s="129"/>
      <c r="AF720" s="129"/>
      <c r="AG720" s="129"/>
      <c r="AH720" s="129"/>
      <c r="AI720" s="129"/>
      <c r="AJ720" s="129"/>
      <c r="AK720" s="129"/>
      <c r="AL720" s="129"/>
      <c r="AM720" s="129"/>
      <c r="AN720" s="129"/>
      <c r="AO720" s="129"/>
      <c r="AP720" s="129"/>
      <c r="AQ720" s="129"/>
    </row>
    <row r="721" spans="1:43" ht="12.75" customHeight="1">
      <c r="A721" s="129"/>
      <c r="B721" s="129"/>
      <c r="C721" s="129"/>
      <c r="D721" s="129"/>
      <c r="E721" s="129"/>
      <c r="F721" s="129"/>
      <c r="G721" s="129"/>
      <c r="H721" s="129"/>
      <c r="I721" s="129"/>
      <c r="J721" s="129"/>
      <c r="K721" s="129"/>
      <c r="L721" s="129"/>
      <c r="M721" s="129"/>
      <c r="N721" s="129"/>
      <c r="O721" s="129"/>
      <c r="P721" s="129"/>
      <c r="Q721" s="129"/>
      <c r="R721" s="129"/>
      <c r="S721" s="129"/>
      <c r="T721" s="129"/>
      <c r="U721" s="129"/>
      <c r="V721" s="129"/>
      <c r="W721" s="129"/>
      <c r="X721" s="129"/>
      <c r="Y721" s="129"/>
      <c r="Z721" s="129"/>
      <c r="AA721" s="129"/>
      <c r="AB721" s="129"/>
      <c r="AC721" s="129"/>
      <c r="AD721" s="129"/>
      <c r="AE721" s="129"/>
      <c r="AF721" s="129"/>
      <c r="AG721" s="129"/>
      <c r="AH721" s="129"/>
      <c r="AI721" s="129"/>
      <c r="AJ721" s="129"/>
      <c r="AK721" s="129"/>
      <c r="AL721" s="129"/>
      <c r="AM721" s="129"/>
      <c r="AN721" s="129"/>
      <c r="AO721" s="129"/>
      <c r="AP721" s="129"/>
      <c r="AQ721" s="129"/>
    </row>
    <row r="722" spans="1:43" ht="12.75" customHeight="1">
      <c r="A722" s="129"/>
      <c r="B722" s="129"/>
      <c r="C722" s="129"/>
      <c r="D722" s="129"/>
      <c r="E722" s="129"/>
      <c r="F722" s="129"/>
      <c r="G722" s="129"/>
      <c r="H722" s="129"/>
      <c r="I722" s="129"/>
      <c r="J722" s="129"/>
      <c r="K722" s="129"/>
      <c r="L722" s="129"/>
      <c r="M722" s="129"/>
      <c r="N722" s="129"/>
      <c r="O722" s="129"/>
      <c r="P722" s="129"/>
      <c r="Q722" s="129"/>
      <c r="R722" s="129"/>
      <c r="S722" s="129"/>
      <c r="T722" s="129"/>
      <c r="U722" s="129"/>
      <c r="V722" s="129"/>
      <c r="W722" s="129"/>
      <c r="X722" s="129"/>
      <c r="Y722" s="129"/>
      <c r="Z722" s="129"/>
      <c r="AA722" s="129"/>
      <c r="AB722" s="129"/>
      <c r="AC722" s="129"/>
      <c r="AD722" s="129"/>
      <c r="AE722" s="129"/>
      <c r="AF722" s="129"/>
      <c r="AG722" s="129"/>
      <c r="AH722" s="129"/>
      <c r="AI722" s="129"/>
      <c r="AJ722" s="129"/>
      <c r="AK722" s="129"/>
      <c r="AL722" s="129"/>
      <c r="AM722" s="129"/>
      <c r="AN722" s="129"/>
      <c r="AO722" s="129"/>
      <c r="AP722" s="129"/>
      <c r="AQ722" s="129"/>
    </row>
    <row r="723" spans="1:43" ht="12.75" customHeight="1">
      <c r="A723" s="129"/>
      <c r="B723" s="129"/>
      <c r="C723" s="129"/>
      <c r="D723" s="129"/>
      <c r="E723" s="129"/>
      <c r="F723" s="129"/>
      <c r="G723" s="129"/>
      <c r="H723" s="129"/>
      <c r="I723" s="129"/>
      <c r="J723" s="129"/>
      <c r="K723" s="129"/>
      <c r="L723" s="129"/>
      <c r="M723" s="129"/>
      <c r="N723" s="129"/>
      <c r="O723" s="129"/>
      <c r="P723" s="129"/>
      <c r="Q723" s="129"/>
      <c r="R723" s="129"/>
      <c r="S723" s="129"/>
      <c r="T723" s="129"/>
      <c r="U723" s="129"/>
      <c r="V723" s="129"/>
      <c r="W723" s="129"/>
      <c r="X723" s="129"/>
      <c r="Y723" s="129"/>
      <c r="Z723" s="129"/>
      <c r="AA723" s="129"/>
      <c r="AB723" s="129"/>
      <c r="AC723" s="129"/>
      <c r="AD723" s="129"/>
      <c r="AE723" s="129"/>
      <c r="AF723" s="129"/>
      <c r="AG723" s="129"/>
      <c r="AH723" s="129"/>
      <c r="AI723" s="129"/>
      <c r="AJ723" s="129"/>
      <c r="AK723" s="129"/>
      <c r="AL723" s="129"/>
      <c r="AM723" s="129"/>
      <c r="AN723" s="129"/>
      <c r="AO723" s="129"/>
      <c r="AP723" s="129"/>
      <c r="AQ723" s="129"/>
    </row>
    <row r="724" spans="1:43" ht="12.75" customHeight="1">
      <c r="A724" s="129"/>
      <c r="B724" s="129"/>
      <c r="C724" s="129"/>
      <c r="D724" s="129"/>
      <c r="E724" s="129"/>
      <c r="F724" s="129"/>
      <c r="G724" s="129"/>
      <c r="H724" s="129"/>
      <c r="I724" s="129"/>
      <c r="J724" s="129"/>
      <c r="K724" s="129"/>
      <c r="L724" s="129"/>
      <c r="M724" s="129"/>
      <c r="N724" s="129"/>
      <c r="O724" s="129"/>
      <c r="P724" s="129"/>
      <c r="Q724" s="129"/>
      <c r="R724" s="129"/>
      <c r="S724" s="129"/>
      <c r="T724" s="129"/>
      <c r="U724" s="129"/>
      <c r="V724" s="129"/>
      <c r="W724" s="129"/>
      <c r="X724" s="129"/>
      <c r="Y724" s="129"/>
      <c r="Z724" s="129"/>
      <c r="AA724" s="129"/>
      <c r="AB724" s="129"/>
      <c r="AC724" s="129"/>
      <c r="AD724" s="129"/>
      <c r="AE724" s="129"/>
      <c r="AF724" s="129"/>
      <c r="AG724" s="129"/>
      <c r="AH724" s="129"/>
      <c r="AI724" s="129"/>
      <c r="AJ724" s="129"/>
      <c r="AK724" s="129"/>
      <c r="AL724" s="129"/>
      <c r="AM724" s="129"/>
      <c r="AN724" s="129"/>
      <c r="AO724" s="129"/>
      <c r="AP724" s="129"/>
      <c r="AQ724" s="129"/>
    </row>
    <row r="725" spans="1:43" ht="12.75" customHeight="1">
      <c r="A725" s="129"/>
      <c r="B725" s="129"/>
      <c r="C725" s="129"/>
      <c r="D725" s="129"/>
      <c r="E725" s="129"/>
      <c r="F725" s="129"/>
      <c r="G725" s="129"/>
      <c r="H725" s="129"/>
      <c r="I725" s="129"/>
      <c r="J725" s="129"/>
      <c r="K725" s="129"/>
      <c r="L725" s="129"/>
      <c r="M725" s="129"/>
      <c r="N725" s="129"/>
      <c r="O725" s="129"/>
      <c r="P725" s="129"/>
      <c r="Q725" s="129"/>
      <c r="R725" s="129"/>
      <c r="S725" s="129"/>
      <c r="T725" s="129"/>
      <c r="U725" s="129"/>
      <c r="V725" s="129"/>
      <c r="W725" s="129"/>
      <c r="X725" s="129"/>
      <c r="Y725" s="129"/>
      <c r="Z725" s="129"/>
      <c r="AA725" s="129"/>
      <c r="AB725" s="129"/>
      <c r="AC725" s="129"/>
      <c r="AD725" s="129"/>
      <c r="AE725" s="129"/>
      <c r="AF725" s="129"/>
      <c r="AG725" s="129"/>
      <c r="AH725" s="129"/>
      <c r="AI725" s="129"/>
      <c r="AJ725" s="129"/>
      <c r="AK725" s="129"/>
      <c r="AL725" s="129"/>
      <c r="AM725" s="129"/>
      <c r="AN725" s="129"/>
      <c r="AO725" s="129"/>
      <c r="AP725" s="129"/>
      <c r="AQ725" s="129"/>
    </row>
    <row r="726" spans="1:43" ht="12.75" customHeight="1">
      <c r="A726" s="129"/>
      <c r="B726" s="129"/>
      <c r="C726" s="129"/>
      <c r="D726" s="129"/>
      <c r="E726" s="129"/>
      <c r="F726" s="129"/>
      <c r="G726" s="129"/>
      <c r="H726" s="129"/>
      <c r="I726" s="129"/>
      <c r="J726" s="129"/>
      <c r="K726" s="129"/>
      <c r="L726" s="129"/>
      <c r="M726" s="129"/>
      <c r="N726" s="129"/>
      <c r="O726" s="129"/>
      <c r="P726" s="129"/>
      <c r="Q726" s="129"/>
      <c r="R726" s="129"/>
      <c r="S726" s="129"/>
      <c r="T726" s="129"/>
      <c r="U726" s="129"/>
      <c r="V726" s="129"/>
      <c r="W726" s="129"/>
      <c r="X726" s="129"/>
      <c r="Y726" s="129"/>
      <c r="Z726" s="129"/>
      <c r="AA726" s="129"/>
      <c r="AB726" s="129"/>
      <c r="AC726" s="129"/>
      <c r="AD726" s="129"/>
      <c r="AE726" s="129"/>
      <c r="AF726" s="129"/>
      <c r="AG726" s="129"/>
      <c r="AH726" s="129"/>
      <c r="AI726" s="129"/>
      <c r="AJ726" s="129"/>
      <c r="AK726" s="129"/>
      <c r="AL726" s="129"/>
      <c r="AM726" s="129"/>
      <c r="AN726" s="129"/>
      <c r="AO726" s="129"/>
      <c r="AP726" s="129"/>
      <c r="AQ726" s="129"/>
    </row>
    <row r="727" spans="1:43" ht="12.75" customHeight="1">
      <c r="A727" s="129"/>
      <c r="B727" s="129"/>
      <c r="C727" s="129"/>
      <c r="D727" s="129"/>
      <c r="E727" s="129"/>
      <c r="F727" s="129"/>
      <c r="G727" s="129"/>
      <c r="H727" s="129"/>
      <c r="I727" s="129"/>
      <c r="J727" s="129"/>
      <c r="K727" s="129"/>
      <c r="L727" s="129"/>
      <c r="M727" s="129"/>
      <c r="N727" s="129"/>
      <c r="O727" s="129"/>
      <c r="P727" s="129"/>
      <c r="Q727" s="129"/>
      <c r="R727" s="129"/>
      <c r="S727" s="129"/>
      <c r="T727" s="129"/>
      <c r="U727" s="129"/>
      <c r="V727" s="129"/>
      <c r="W727" s="129"/>
      <c r="X727" s="129"/>
      <c r="Y727" s="129"/>
      <c r="Z727" s="129"/>
      <c r="AA727" s="129"/>
      <c r="AB727" s="129"/>
      <c r="AC727" s="129"/>
      <c r="AD727" s="129"/>
      <c r="AE727" s="129"/>
      <c r="AF727" s="129"/>
      <c r="AG727" s="129"/>
      <c r="AH727" s="129"/>
      <c r="AI727" s="129"/>
      <c r="AJ727" s="129"/>
      <c r="AK727" s="129"/>
      <c r="AL727" s="129"/>
      <c r="AM727" s="129"/>
      <c r="AN727" s="129"/>
      <c r="AO727" s="129"/>
      <c r="AP727" s="129"/>
      <c r="AQ727" s="129"/>
    </row>
    <row r="728" spans="1:43" ht="12.75" customHeight="1">
      <c r="A728" s="129"/>
      <c r="B728" s="129"/>
      <c r="C728" s="129"/>
      <c r="D728" s="129"/>
      <c r="E728" s="129"/>
      <c r="F728" s="129"/>
      <c r="G728" s="129"/>
      <c r="H728" s="129"/>
      <c r="I728" s="129"/>
      <c r="J728" s="129"/>
      <c r="K728" s="129"/>
      <c r="L728" s="129"/>
      <c r="M728" s="129"/>
      <c r="N728" s="129"/>
      <c r="O728" s="129"/>
      <c r="P728" s="129"/>
      <c r="Q728" s="129"/>
      <c r="R728" s="129"/>
      <c r="S728" s="129"/>
      <c r="T728" s="129"/>
      <c r="U728" s="129"/>
      <c r="V728" s="129"/>
      <c r="W728" s="129"/>
      <c r="X728" s="129"/>
      <c r="Y728" s="129"/>
      <c r="Z728" s="129"/>
      <c r="AA728" s="129"/>
      <c r="AB728" s="129"/>
      <c r="AC728" s="129"/>
      <c r="AD728" s="129"/>
      <c r="AE728" s="129"/>
      <c r="AF728" s="129"/>
      <c r="AG728" s="129"/>
      <c r="AH728" s="129"/>
      <c r="AI728" s="129"/>
      <c r="AJ728" s="129"/>
      <c r="AK728" s="129"/>
      <c r="AL728" s="129"/>
      <c r="AM728" s="129"/>
      <c r="AN728" s="129"/>
      <c r="AO728" s="129"/>
      <c r="AP728" s="129"/>
      <c r="AQ728" s="129"/>
    </row>
    <row r="729" spans="1:43" ht="12.75" customHeight="1">
      <c r="A729" s="129"/>
      <c r="B729" s="129"/>
      <c r="C729" s="129"/>
      <c r="D729" s="129"/>
      <c r="E729" s="129"/>
      <c r="F729" s="129"/>
      <c r="G729" s="129"/>
      <c r="H729" s="129"/>
      <c r="I729" s="129"/>
      <c r="J729" s="129"/>
      <c r="K729" s="129"/>
      <c r="L729" s="129"/>
      <c r="M729" s="129"/>
      <c r="N729" s="129"/>
      <c r="O729" s="129"/>
      <c r="P729" s="129"/>
      <c r="Q729" s="129"/>
      <c r="R729" s="129"/>
      <c r="S729" s="129"/>
      <c r="T729" s="129"/>
      <c r="U729" s="129"/>
      <c r="V729" s="129"/>
      <c r="W729" s="129"/>
      <c r="X729" s="129"/>
      <c r="Y729" s="129"/>
      <c r="Z729" s="129"/>
      <c r="AA729" s="129"/>
      <c r="AB729" s="129"/>
      <c r="AC729" s="129"/>
      <c r="AD729" s="129"/>
      <c r="AE729" s="129"/>
      <c r="AF729" s="129"/>
      <c r="AG729" s="129"/>
      <c r="AH729" s="129"/>
      <c r="AI729" s="129"/>
      <c r="AJ729" s="129"/>
      <c r="AK729" s="129"/>
      <c r="AL729" s="129"/>
      <c r="AM729" s="129"/>
      <c r="AN729" s="129"/>
      <c r="AO729" s="129"/>
      <c r="AP729" s="129"/>
      <c r="AQ729" s="129"/>
    </row>
    <row r="730" spans="1:43" ht="12.75" customHeight="1">
      <c r="A730" s="129"/>
      <c r="B730" s="129"/>
      <c r="C730" s="129"/>
      <c r="D730" s="129"/>
      <c r="E730" s="129"/>
      <c r="F730" s="129"/>
      <c r="G730" s="129"/>
      <c r="H730" s="129"/>
      <c r="I730" s="129"/>
      <c r="J730" s="129"/>
      <c r="K730" s="129"/>
      <c r="L730" s="129"/>
      <c r="M730" s="129"/>
      <c r="N730" s="129"/>
      <c r="O730" s="129"/>
      <c r="P730" s="129"/>
      <c r="Q730" s="129"/>
      <c r="R730" s="129"/>
      <c r="S730" s="129"/>
      <c r="T730" s="129"/>
      <c r="U730" s="129"/>
      <c r="V730" s="129"/>
      <c r="W730" s="129"/>
      <c r="X730" s="129"/>
      <c r="Y730" s="129"/>
      <c r="Z730" s="129"/>
      <c r="AA730" s="129"/>
      <c r="AB730" s="129"/>
      <c r="AC730" s="129"/>
      <c r="AD730" s="129"/>
      <c r="AE730" s="129"/>
      <c r="AF730" s="129"/>
      <c r="AG730" s="129"/>
      <c r="AH730" s="129"/>
      <c r="AI730" s="129"/>
      <c r="AJ730" s="129"/>
      <c r="AK730" s="129"/>
      <c r="AL730" s="129"/>
      <c r="AM730" s="129"/>
      <c r="AN730" s="129"/>
      <c r="AO730" s="129"/>
      <c r="AP730" s="129"/>
      <c r="AQ730" s="129"/>
    </row>
    <row r="731" spans="1:43" ht="12.75" customHeight="1">
      <c r="A731" s="129"/>
      <c r="B731" s="129"/>
      <c r="C731" s="129"/>
      <c r="D731" s="129"/>
      <c r="E731" s="129"/>
      <c r="F731" s="129"/>
      <c r="G731" s="129"/>
      <c r="H731" s="129"/>
      <c r="I731" s="129"/>
      <c r="J731" s="129"/>
      <c r="K731" s="129"/>
      <c r="L731" s="129"/>
      <c r="M731" s="129"/>
      <c r="N731" s="129"/>
      <c r="O731" s="129"/>
      <c r="P731" s="129"/>
      <c r="Q731" s="129"/>
      <c r="R731" s="129"/>
      <c r="S731" s="129"/>
      <c r="T731" s="129"/>
      <c r="U731" s="129"/>
      <c r="V731" s="129"/>
      <c r="W731" s="129"/>
      <c r="X731" s="129"/>
      <c r="Y731" s="129"/>
      <c r="Z731" s="129"/>
      <c r="AA731" s="129"/>
      <c r="AB731" s="129"/>
      <c r="AC731" s="129"/>
      <c r="AD731" s="129"/>
      <c r="AE731" s="129"/>
      <c r="AF731" s="129"/>
      <c r="AG731" s="129"/>
      <c r="AH731" s="129"/>
      <c r="AI731" s="129"/>
      <c r="AJ731" s="129"/>
      <c r="AK731" s="129"/>
      <c r="AL731" s="129"/>
      <c r="AM731" s="129"/>
      <c r="AN731" s="129"/>
      <c r="AO731" s="129"/>
      <c r="AP731" s="129"/>
      <c r="AQ731" s="129"/>
    </row>
    <row r="732" spans="1:43" ht="12.75" customHeight="1">
      <c r="A732" s="129"/>
      <c r="B732" s="129"/>
      <c r="C732" s="129"/>
      <c r="D732" s="129"/>
      <c r="E732" s="129"/>
      <c r="F732" s="129"/>
      <c r="G732" s="129"/>
      <c r="H732" s="129"/>
      <c r="I732" s="129"/>
      <c r="J732" s="129"/>
      <c r="K732" s="129"/>
      <c r="L732" s="129"/>
      <c r="M732" s="129"/>
      <c r="N732" s="129"/>
      <c r="O732" s="129"/>
      <c r="P732" s="129"/>
      <c r="Q732" s="129"/>
      <c r="R732" s="129"/>
      <c r="S732" s="129"/>
      <c r="T732" s="129"/>
      <c r="U732" s="129"/>
      <c r="V732" s="129"/>
      <c r="W732" s="129"/>
      <c r="X732" s="129"/>
      <c r="Y732" s="129"/>
      <c r="Z732" s="129"/>
      <c r="AA732" s="129"/>
      <c r="AB732" s="129"/>
      <c r="AC732" s="129"/>
      <c r="AD732" s="129"/>
      <c r="AE732" s="129"/>
      <c r="AF732" s="129"/>
      <c r="AG732" s="129"/>
      <c r="AH732" s="129"/>
      <c r="AI732" s="129"/>
      <c r="AJ732" s="129"/>
      <c r="AK732" s="129"/>
      <c r="AL732" s="129"/>
      <c r="AM732" s="129"/>
      <c r="AN732" s="129"/>
      <c r="AO732" s="129"/>
      <c r="AP732" s="129"/>
      <c r="AQ732" s="129"/>
    </row>
    <row r="733" spans="1:43" ht="12.75" customHeight="1">
      <c r="A733" s="129"/>
      <c r="B733" s="129"/>
      <c r="C733" s="129"/>
      <c r="D733" s="129"/>
      <c r="E733" s="129"/>
      <c r="F733" s="129"/>
      <c r="G733" s="129"/>
      <c r="H733" s="129"/>
      <c r="I733" s="129"/>
      <c r="J733" s="129"/>
      <c r="K733" s="129"/>
      <c r="L733" s="129"/>
      <c r="M733" s="129"/>
      <c r="N733" s="129"/>
      <c r="O733" s="129"/>
      <c r="P733" s="129"/>
      <c r="Q733" s="129"/>
      <c r="R733" s="129"/>
      <c r="S733" s="129"/>
      <c r="T733" s="129"/>
      <c r="U733" s="129"/>
      <c r="V733" s="129"/>
      <c r="W733" s="129"/>
      <c r="X733" s="129"/>
      <c r="Y733" s="129"/>
      <c r="Z733" s="129"/>
      <c r="AA733" s="129"/>
      <c r="AB733" s="129"/>
      <c r="AC733" s="129"/>
      <c r="AD733" s="129"/>
      <c r="AE733" s="129"/>
      <c r="AF733" s="129"/>
      <c r="AG733" s="129"/>
      <c r="AH733" s="129"/>
      <c r="AI733" s="129"/>
      <c r="AJ733" s="129"/>
      <c r="AK733" s="129"/>
      <c r="AL733" s="129"/>
      <c r="AM733" s="129"/>
      <c r="AN733" s="129"/>
      <c r="AO733" s="129"/>
      <c r="AP733" s="129"/>
      <c r="AQ733" s="129"/>
    </row>
    <row r="734" spans="1:43" ht="12.75" customHeight="1">
      <c r="A734" s="129"/>
      <c r="B734" s="129"/>
      <c r="C734" s="129"/>
      <c r="D734" s="129"/>
      <c r="E734" s="129"/>
      <c r="F734" s="129"/>
      <c r="G734" s="129"/>
      <c r="H734" s="129"/>
      <c r="I734" s="129"/>
      <c r="J734" s="129"/>
      <c r="K734" s="129"/>
      <c r="L734" s="129"/>
      <c r="M734" s="129"/>
      <c r="N734" s="129"/>
      <c r="O734" s="129"/>
      <c r="P734" s="129"/>
      <c r="Q734" s="129"/>
      <c r="R734" s="129"/>
      <c r="S734" s="129"/>
      <c r="T734" s="129"/>
      <c r="U734" s="129"/>
      <c r="V734" s="129"/>
      <c r="W734" s="129"/>
      <c r="X734" s="129"/>
      <c r="Y734" s="129"/>
      <c r="Z734" s="129"/>
      <c r="AA734" s="129"/>
      <c r="AB734" s="129"/>
      <c r="AC734" s="129"/>
      <c r="AD734" s="129"/>
      <c r="AE734" s="129"/>
      <c r="AF734" s="129"/>
      <c r="AG734" s="129"/>
      <c r="AH734" s="129"/>
      <c r="AI734" s="129"/>
      <c r="AJ734" s="129"/>
      <c r="AK734" s="129"/>
      <c r="AL734" s="129"/>
      <c r="AM734" s="129"/>
      <c r="AN734" s="129"/>
      <c r="AO734" s="129"/>
      <c r="AP734" s="129"/>
      <c r="AQ734" s="129"/>
    </row>
    <row r="735" spans="1:43" ht="12.75" customHeight="1">
      <c r="A735" s="129"/>
      <c r="B735" s="129"/>
      <c r="C735" s="129"/>
      <c r="D735" s="129"/>
      <c r="E735" s="129"/>
      <c r="F735" s="129"/>
      <c r="G735" s="129"/>
      <c r="H735" s="129"/>
      <c r="I735" s="129"/>
      <c r="J735" s="129"/>
      <c r="K735" s="129"/>
      <c r="L735" s="129"/>
      <c r="M735" s="129"/>
      <c r="N735" s="129"/>
      <c r="O735" s="129"/>
      <c r="P735" s="129"/>
      <c r="Q735" s="129"/>
      <c r="R735" s="129"/>
      <c r="S735" s="129"/>
      <c r="T735" s="129"/>
      <c r="U735" s="129"/>
      <c r="V735" s="129"/>
      <c r="W735" s="129"/>
      <c r="X735" s="129"/>
      <c r="Y735" s="129"/>
      <c r="Z735" s="129"/>
      <c r="AA735" s="129"/>
      <c r="AB735" s="129"/>
      <c r="AC735" s="129"/>
      <c r="AD735" s="129"/>
      <c r="AE735" s="129"/>
      <c r="AF735" s="129"/>
      <c r="AG735" s="129"/>
      <c r="AH735" s="129"/>
      <c r="AI735" s="129"/>
      <c r="AJ735" s="129"/>
      <c r="AK735" s="129"/>
      <c r="AL735" s="129"/>
      <c r="AM735" s="129"/>
      <c r="AN735" s="129"/>
      <c r="AO735" s="129"/>
      <c r="AP735" s="129"/>
      <c r="AQ735" s="129"/>
    </row>
    <row r="736" spans="1:43" ht="12.75" customHeight="1">
      <c r="A736" s="129"/>
      <c r="B736" s="129"/>
      <c r="C736" s="129"/>
      <c r="D736" s="129"/>
      <c r="E736" s="129"/>
      <c r="F736" s="129"/>
      <c r="G736" s="129"/>
      <c r="H736" s="129"/>
      <c r="I736" s="129"/>
      <c r="J736" s="129"/>
      <c r="K736" s="129"/>
      <c r="L736" s="129"/>
      <c r="M736" s="129"/>
      <c r="N736" s="129"/>
      <c r="O736" s="129"/>
      <c r="P736" s="129"/>
      <c r="Q736" s="129"/>
      <c r="R736" s="129"/>
      <c r="S736" s="129"/>
      <c r="T736" s="129"/>
      <c r="U736" s="129"/>
      <c r="V736" s="129"/>
      <c r="W736" s="129"/>
      <c r="X736" s="129"/>
      <c r="Y736" s="129"/>
      <c r="Z736" s="129"/>
      <c r="AA736" s="129"/>
      <c r="AB736" s="129"/>
      <c r="AC736" s="129"/>
      <c r="AD736" s="129"/>
      <c r="AE736" s="129"/>
      <c r="AF736" s="129"/>
      <c r="AG736" s="129"/>
      <c r="AH736" s="129"/>
      <c r="AI736" s="129"/>
      <c r="AJ736" s="129"/>
      <c r="AK736" s="129"/>
      <c r="AL736" s="129"/>
      <c r="AM736" s="129"/>
      <c r="AN736" s="129"/>
      <c r="AO736" s="129"/>
      <c r="AP736" s="129"/>
      <c r="AQ736" s="129"/>
    </row>
    <row r="737" spans="1:43" ht="12.75" customHeight="1">
      <c r="A737" s="129"/>
      <c r="B737" s="129"/>
      <c r="C737" s="129"/>
      <c r="D737" s="129"/>
      <c r="E737" s="129"/>
      <c r="F737" s="129"/>
      <c r="G737" s="129"/>
      <c r="H737" s="129"/>
      <c r="I737" s="129"/>
      <c r="J737" s="129"/>
      <c r="K737" s="129"/>
      <c r="L737" s="129"/>
      <c r="M737" s="129"/>
      <c r="N737" s="129"/>
      <c r="O737" s="129"/>
      <c r="P737" s="129"/>
      <c r="Q737" s="129"/>
      <c r="R737" s="129"/>
      <c r="S737" s="129"/>
      <c r="T737" s="129"/>
      <c r="U737" s="129"/>
      <c r="V737" s="129"/>
      <c r="W737" s="129"/>
      <c r="X737" s="129"/>
      <c r="Y737" s="129"/>
      <c r="Z737" s="129"/>
      <c r="AA737" s="129"/>
      <c r="AB737" s="129"/>
      <c r="AC737" s="129"/>
      <c r="AD737" s="129"/>
      <c r="AE737" s="129"/>
      <c r="AF737" s="129"/>
      <c r="AG737" s="129"/>
      <c r="AH737" s="129"/>
      <c r="AI737" s="129"/>
      <c r="AJ737" s="129"/>
      <c r="AK737" s="129"/>
      <c r="AL737" s="129"/>
      <c r="AM737" s="129"/>
      <c r="AN737" s="129"/>
      <c r="AO737" s="129"/>
      <c r="AP737" s="129"/>
      <c r="AQ737" s="129"/>
    </row>
    <row r="738" spans="1:43" ht="12.75" customHeight="1">
      <c r="A738" s="129"/>
      <c r="B738" s="129"/>
      <c r="C738" s="129"/>
      <c r="D738" s="129"/>
      <c r="E738" s="129"/>
      <c r="F738" s="129"/>
      <c r="G738" s="129"/>
      <c r="H738" s="129"/>
      <c r="I738" s="129"/>
      <c r="J738" s="129"/>
      <c r="K738" s="129"/>
      <c r="L738" s="129"/>
      <c r="M738" s="129"/>
      <c r="N738" s="129"/>
      <c r="O738" s="129"/>
      <c r="P738" s="129"/>
      <c r="Q738" s="129"/>
      <c r="R738" s="129"/>
      <c r="S738" s="129"/>
      <c r="T738" s="129"/>
      <c r="U738" s="129"/>
      <c r="V738" s="129"/>
      <c r="W738" s="129"/>
      <c r="X738" s="129"/>
      <c r="Y738" s="129"/>
      <c r="Z738" s="129"/>
      <c r="AA738" s="129"/>
      <c r="AB738" s="129"/>
      <c r="AC738" s="129"/>
      <c r="AD738" s="129"/>
      <c r="AE738" s="129"/>
      <c r="AF738" s="129"/>
      <c r="AG738" s="129"/>
      <c r="AH738" s="129"/>
      <c r="AI738" s="129"/>
      <c r="AJ738" s="129"/>
      <c r="AK738" s="129"/>
      <c r="AL738" s="129"/>
      <c r="AM738" s="129"/>
      <c r="AN738" s="129"/>
      <c r="AO738" s="129"/>
      <c r="AP738" s="129"/>
      <c r="AQ738" s="129"/>
    </row>
    <row r="739" spans="1:43" ht="12.75" customHeight="1">
      <c r="A739" s="129"/>
      <c r="B739" s="129"/>
      <c r="C739" s="129"/>
      <c r="D739" s="129"/>
      <c r="E739" s="129"/>
      <c r="F739" s="129"/>
      <c r="G739" s="129"/>
      <c r="H739" s="129"/>
      <c r="I739" s="129"/>
      <c r="J739" s="129"/>
      <c r="K739" s="129"/>
      <c r="L739" s="129"/>
      <c r="M739" s="129"/>
      <c r="N739" s="129"/>
      <c r="O739" s="129"/>
      <c r="P739" s="129"/>
      <c r="Q739" s="129"/>
      <c r="R739" s="129"/>
      <c r="S739" s="129"/>
      <c r="T739" s="129"/>
      <c r="U739" s="129"/>
      <c r="V739" s="129"/>
      <c r="W739" s="129"/>
      <c r="X739" s="129"/>
      <c r="Y739" s="129"/>
      <c r="Z739" s="129"/>
      <c r="AA739" s="129"/>
      <c r="AB739" s="129"/>
      <c r="AC739" s="129"/>
      <c r="AD739" s="129"/>
      <c r="AE739" s="129"/>
      <c r="AF739" s="129"/>
      <c r="AG739" s="129"/>
      <c r="AH739" s="129"/>
      <c r="AI739" s="129"/>
      <c r="AJ739" s="129"/>
      <c r="AK739" s="129"/>
      <c r="AL739" s="129"/>
      <c r="AM739" s="129"/>
      <c r="AN739" s="129"/>
      <c r="AO739" s="129"/>
      <c r="AP739" s="129"/>
      <c r="AQ739" s="129"/>
    </row>
    <row r="740" spans="1:43" ht="12.75" customHeight="1">
      <c r="A740" s="129"/>
      <c r="B740" s="129"/>
      <c r="C740" s="129"/>
      <c r="D740" s="129"/>
      <c r="E740" s="129"/>
      <c r="F740" s="129"/>
      <c r="G740" s="129"/>
      <c r="H740" s="129"/>
      <c r="I740" s="129"/>
      <c r="J740" s="129"/>
      <c r="K740" s="129"/>
      <c r="L740" s="129"/>
      <c r="M740" s="129"/>
      <c r="N740" s="129"/>
      <c r="O740" s="129"/>
      <c r="P740" s="129"/>
      <c r="Q740" s="129"/>
      <c r="R740" s="129"/>
      <c r="S740" s="129"/>
      <c r="T740" s="129"/>
      <c r="U740" s="129"/>
      <c r="V740" s="129"/>
      <c r="W740" s="129"/>
      <c r="X740" s="129"/>
      <c r="Y740" s="129"/>
      <c r="Z740" s="129"/>
      <c r="AA740" s="129"/>
      <c r="AB740" s="129"/>
      <c r="AC740" s="129"/>
      <c r="AD740" s="129"/>
      <c r="AE740" s="129"/>
      <c r="AF740" s="129"/>
      <c r="AG740" s="129"/>
      <c r="AH740" s="129"/>
      <c r="AI740" s="129"/>
      <c r="AJ740" s="129"/>
      <c r="AK740" s="129"/>
      <c r="AL740" s="129"/>
      <c r="AM740" s="129"/>
      <c r="AN740" s="129"/>
      <c r="AO740" s="129"/>
      <c r="AP740" s="129"/>
      <c r="AQ740" s="129"/>
    </row>
    <row r="741" spans="1:43" ht="12.75" customHeight="1">
      <c r="A741" s="129"/>
      <c r="B741" s="129"/>
      <c r="C741" s="129"/>
      <c r="D741" s="129"/>
      <c r="E741" s="129"/>
      <c r="F741" s="129"/>
      <c r="G741" s="129"/>
      <c r="H741" s="129"/>
      <c r="I741" s="129"/>
      <c r="J741" s="129"/>
      <c r="K741" s="129"/>
      <c r="L741" s="129"/>
      <c r="M741" s="129"/>
      <c r="N741" s="129"/>
      <c r="O741" s="129"/>
      <c r="P741" s="129"/>
      <c r="Q741" s="129"/>
      <c r="R741" s="129"/>
      <c r="S741" s="129"/>
      <c r="T741" s="129"/>
      <c r="U741" s="129"/>
      <c r="V741" s="129"/>
      <c r="W741" s="129"/>
      <c r="X741" s="129"/>
      <c r="Y741" s="129"/>
      <c r="Z741" s="129"/>
      <c r="AA741" s="129"/>
      <c r="AB741" s="129"/>
      <c r="AC741" s="129"/>
      <c r="AD741" s="129"/>
      <c r="AE741" s="129"/>
      <c r="AF741" s="129"/>
      <c r="AG741" s="129"/>
      <c r="AH741" s="129"/>
      <c r="AI741" s="129"/>
      <c r="AJ741" s="129"/>
      <c r="AK741" s="129"/>
      <c r="AL741" s="129"/>
      <c r="AM741" s="129"/>
      <c r="AN741" s="129"/>
      <c r="AO741" s="129"/>
      <c r="AP741" s="129"/>
      <c r="AQ741" s="129"/>
    </row>
    <row r="742" spans="1:43" ht="12.75" customHeight="1">
      <c r="A742" s="129"/>
      <c r="B742" s="129"/>
      <c r="C742" s="129"/>
      <c r="D742" s="129"/>
      <c r="E742" s="129"/>
      <c r="F742" s="129"/>
      <c r="G742" s="129"/>
      <c r="H742" s="129"/>
      <c r="I742" s="129"/>
      <c r="J742" s="129"/>
      <c r="K742" s="129"/>
      <c r="L742" s="129"/>
      <c r="M742" s="129"/>
      <c r="N742" s="129"/>
      <c r="O742" s="129"/>
      <c r="P742" s="129"/>
      <c r="Q742" s="129"/>
      <c r="R742" s="129"/>
      <c r="S742" s="129"/>
      <c r="T742" s="129"/>
      <c r="U742" s="129"/>
      <c r="V742" s="129"/>
      <c r="W742" s="129"/>
      <c r="X742" s="129"/>
      <c r="Y742" s="129"/>
      <c r="Z742" s="129"/>
      <c r="AA742" s="129"/>
      <c r="AB742" s="129"/>
      <c r="AC742" s="129"/>
      <c r="AD742" s="129"/>
      <c r="AE742" s="129"/>
      <c r="AF742" s="129"/>
      <c r="AG742" s="129"/>
      <c r="AH742" s="129"/>
      <c r="AI742" s="129"/>
      <c r="AJ742" s="129"/>
      <c r="AK742" s="129"/>
      <c r="AL742" s="129"/>
      <c r="AM742" s="129"/>
      <c r="AN742" s="129"/>
      <c r="AO742" s="129"/>
      <c r="AP742" s="129"/>
      <c r="AQ742" s="129"/>
    </row>
    <row r="743" spans="1:43" ht="12.75" customHeight="1">
      <c r="A743" s="129"/>
      <c r="B743" s="129"/>
      <c r="C743" s="129"/>
      <c r="D743" s="129"/>
      <c r="E743" s="129"/>
      <c r="F743" s="129"/>
      <c r="G743" s="129"/>
      <c r="H743" s="129"/>
      <c r="I743" s="129"/>
      <c r="J743" s="129"/>
      <c r="K743" s="129"/>
      <c r="L743" s="129"/>
      <c r="M743" s="129"/>
      <c r="N743" s="129"/>
      <c r="O743" s="129"/>
      <c r="P743" s="129"/>
      <c r="Q743" s="129"/>
      <c r="R743" s="129"/>
      <c r="S743" s="129"/>
      <c r="T743" s="129"/>
      <c r="U743" s="129"/>
      <c r="V743" s="129"/>
      <c r="W743" s="129"/>
      <c r="X743" s="129"/>
      <c r="Y743" s="129"/>
      <c r="Z743" s="129"/>
      <c r="AA743" s="129"/>
      <c r="AB743" s="129"/>
      <c r="AC743" s="129"/>
      <c r="AD743" s="129"/>
      <c r="AE743" s="129"/>
      <c r="AF743" s="129"/>
      <c r="AG743" s="129"/>
      <c r="AH743" s="129"/>
      <c r="AI743" s="129"/>
      <c r="AJ743" s="129"/>
      <c r="AK743" s="129"/>
      <c r="AL743" s="129"/>
      <c r="AM743" s="129"/>
      <c r="AN743" s="129"/>
      <c r="AO743" s="129"/>
      <c r="AP743" s="129"/>
      <c r="AQ743" s="129"/>
    </row>
    <row r="744" spans="1:43" ht="12.75" customHeight="1">
      <c r="A744" s="129"/>
      <c r="B744" s="129"/>
      <c r="C744" s="129"/>
      <c r="D744" s="129"/>
      <c r="E744" s="129"/>
      <c r="F744" s="129"/>
      <c r="G744" s="129"/>
      <c r="H744" s="129"/>
      <c r="I744" s="129"/>
      <c r="J744" s="129"/>
      <c r="K744" s="129"/>
      <c r="L744" s="129"/>
      <c r="M744" s="129"/>
      <c r="N744" s="129"/>
      <c r="O744" s="129"/>
      <c r="P744" s="129"/>
      <c r="Q744" s="129"/>
      <c r="R744" s="129"/>
      <c r="S744" s="129"/>
      <c r="T744" s="129"/>
      <c r="U744" s="129"/>
      <c r="V744" s="129"/>
      <c r="W744" s="129"/>
      <c r="X744" s="129"/>
      <c r="Y744" s="129"/>
      <c r="Z744" s="129"/>
      <c r="AA744" s="129"/>
      <c r="AB744" s="129"/>
      <c r="AC744" s="129"/>
      <c r="AD744" s="129"/>
      <c r="AE744" s="129"/>
      <c r="AF744" s="129"/>
      <c r="AG744" s="129"/>
      <c r="AH744" s="129"/>
      <c r="AI744" s="129"/>
      <c r="AJ744" s="129"/>
      <c r="AK744" s="129"/>
      <c r="AL744" s="129"/>
      <c r="AM744" s="129"/>
      <c r="AN744" s="129"/>
      <c r="AO744" s="129"/>
      <c r="AP744" s="129"/>
      <c r="AQ744" s="129"/>
    </row>
    <row r="745" spans="1:43" ht="12.75" customHeight="1">
      <c r="A745" s="129"/>
      <c r="B745" s="129"/>
      <c r="C745" s="129"/>
      <c r="D745" s="129"/>
      <c r="E745" s="129"/>
      <c r="F745" s="129"/>
      <c r="G745" s="129"/>
      <c r="H745" s="129"/>
      <c r="I745" s="129"/>
      <c r="J745" s="129"/>
      <c r="K745" s="129"/>
      <c r="L745" s="129"/>
      <c r="M745" s="129"/>
      <c r="N745" s="129"/>
      <c r="O745" s="129"/>
      <c r="P745" s="129"/>
      <c r="Q745" s="129"/>
      <c r="R745" s="129"/>
      <c r="S745" s="129"/>
      <c r="T745" s="129"/>
      <c r="U745" s="129"/>
      <c r="V745" s="129"/>
      <c r="W745" s="129"/>
      <c r="X745" s="129"/>
      <c r="Y745" s="129"/>
      <c r="Z745" s="129"/>
      <c r="AA745" s="129"/>
      <c r="AB745" s="129"/>
      <c r="AC745" s="129"/>
      <c r="AD745" s="129"/>
      <c r="AE745" s="129"/>
      <c r="AF745" s="129"/>
      <c r="AG745" s="129"/>
      <c r="AH745" s="129"/>
      <c r="AI745" s="129"/>
      <c r="AJ745" s="129"/>
      <c r="AK745" s="129"/>
      <c r="AL745" s="129"/>
      <c r="AM745" s="129"/>
      <c r="AN745" s="129"/>
      <c r="AO745" s="129"/>
      <c r="AP745" s="129"/>
      <c r="AQ745" s="129"/>
    </row>
    <row r="746" spans="1:43" ht="12.75" customHeight="1">
      <c r="A746" s="129"/>
      <c r="B746" s="129"/>
      <c r="C746" s="129"/>
      <c r="D746" s="129"/>
      <c r="E746" s="129"/>
      <c r="F746" s="129"/>
      <c r="G746" s="129"/>
      <c r="H746" s="129"/>
      <c r="I746" s="129"/>
      <c r="J746" s="129"/>
      <c r="K746" s="129"/>
      <c r="L746" s="129"/>
      <c r="M746" s="129"/>
      <c r="N746" s="129"/>
      <c r="O746" s="129"/>
      <c r="P746" s="129"/>
      <c r="Q746" s="129"/>
      <c r="R746" s="129"/>
      <c r="S746" s="129"/>
      <c r="T746" s="129"/>
      <c r="U746" s="129"/>
      <c r="V746" s="129"/>
      <c r="W746" s="129"/>
      <c r="X746" s="129"/>
      <c r="Y746" s="129"/>
      <c r="Z746" s="129"/>
      <c r="AA746" s="129"/>
      <c r="AB746" s="129"/>
      <c r="AC746" s="129"/>
      <c r="AD746" s="129"/>
      <c r="AE746" s="129"/>
      <c r="AF746" s="129"/>
      <c r="AG746" s="129"/>
      <c r="AH746" s="129"/>
      <c r="AI746" s="129"/>
      <c r="AJ746" s="129"/>
      <c r="AK746" s="129"/>
      <c r="AL746" s="129"/>
      <c r="AM746" s="129"/>
      <c r="AN746" s="129"/>
      <c r="AO746" s="129"/>
      <c r="AP746" s="129"/>
      <c r="AQ746" s="129"/>
    </row>
    <row r="747" spans="1:43" ht="12.75" customHeight="1">
      <c r="A747" s="129"/>
      <c r="B747" s="129"/>
      <c r="C747" s="129"/>
      <c r="D747" s="129"/>
      <c r="E747" s="129"/>
      <c r="F747" s="129"/>
      <c r="G747" s="129"/>
      <c r="H747" s="129"/>
      <c r="I747" s="129"/>
      <c r="J747" s="129"/>
      <c r="K747" s="129"/>
      <c r="L747" s="129"/>
      <c r="M747" s="129"/>
      <c r="N747" s="129"/>
      <c r="O747" s="129"/>
      <c r="P747" s="129"/>
      <c r="Q747" s="129"/>
      <c r="R747" s="129"/>
      <c r="S747" s="129"/>
      <c r="T747" s="129"/>
      <c r="U747" s="129"/>
      <c r="V747" s="129"/>
      <c r="W747" s="129"/>
      <c r="X747" s="129"/>
      <c r="Y747" s="129"/>
      <c r="Z747" s="129"/>
      <c r="AA747" s="129"/>
      <c r="AB747" s="129"/>
      <c r="AC747" s="129"/>
      <c r="AD747" s="129"/>
      <c r="AE747" s="129"/>
      <c r="AF747" s="129"/>
      <c r="AG747" s="129"/>
      <c r="AH747" s="129"/>
      <c r="AI747" s="129"/>
      <c r="AJ747" s="129"/>
      <c r="AK747" s="129"/>
      <c r="AL747" s="129"/>
      <c r="AM747" s="129"/>
      <c r="AN747" s="129"/>
      <c r="AO747" s="129"/>
      <c r="AP747" s="129"/>
      <c r="AQ747" s="129"/>
    </row>
    <row r="748" spans="1:43" ht="12.75" customHeight="1">
      <c r="A748" s="129"/>
      <c r="B748" s="129"/>
      <c r="C748" s="129"/>
      <c r="D748" s="129"/>
      <c r="E748" s="129"/>
      <c r="F748" s="129"/>
      <c r="G748" s="129"/>
      <c r="H748" s="129"/>
      <c r="I748" s="129"/>
      <c r="J748" s="129"/>
      <c r="K748" s="129"/>
      <c r="L748" s="129"/>
      <c r="M748" s="129"/>
      <c r="N748" s="129"/>
      <c r="O748" s="129"/>
      <c r="P748" s="129"/>
      <c r="Q748" s="129"/>
      <c r="R748" s="129"/>
      <c r="S748" s="129"/>
      <c r="T748" s="129"/>
      <c r="U748" s="129"/>
      <c r="V748" s="129"/>
      <c r="W748" s="129"/>
      <c r="X748" s="129"/>
      <c r="Y748" s="129"/>
      <c r="Z748" s="129"/>
      <c r="AA748" s="129"/>
      <c r="AB748" s="129"/>
      <c r="AC748" s="129"/>
      <c r="AD748" s="129"/>
      <c r="AE748" s="129"/>
      <c r="AF748" s="129"/>
      <c r="AG748" s="129"/>
      <c r="AH748" s="129"/>
      <c r="AI748" s="129"/>
      <c r="AJ748" s="129"/>
      <c r="AK748" s="129"/>
      <c r="AL748" s="129"/>
      <c r="AM748" s="129"/>
      <c r="AN748" s="129"/>
      <c r="AO748" s="129"/>
      <c r="AP748" s="129"/>
      <c r="AQ748" s="129"/>
    </row>
    <row r="749" spans="1:43" ht="12.75" customHeight="1">
      <c r="A749" s="129"/>
      <c r="B749" s="129"/>
      <c r="C749" s="129"/>
      <c r="D749" s="129"/>
      <c r="E749" s="129"/>
      <c r="F749" s="129"/>
      <c r="G749" s="129"/>
      <c r="H749" s="129"/>
      <c r="I749" s="129"/>
      <c r="J749" s="129"/>
      <c r="K749" s="129"/>
      <c r="L749" s="129"/>
      <c r="M749" s="129"/>
      <c r="N749" s="129"/>
      <c r="O749" s="129"/>
      <c r="P749" s="129"/>
      <c r="Q749" s="129"/>
      <c r="R749" s="129"/>
      <c r="S749" s="129"/>
      <c r="T749" s="129"/>
      <c r="U749" s="129"/>
      <c r="V749" s="129"/>
      <c r="W749" s="129"/>
      <c r="X749" s="129"/>
      <c r="Y749" s="129"/>
      <c r="Z749" s="129"/>
      <c r="AA749" s="129"/>
      <c r="AB749" s="129"/>
      <c r="AC749" s="129"/>
      <c r="AD749" s="129"/>
      <c r="AE749" s="129"/>
      <c r="AF749" s="129"/>
      <c r="AG749" s="129"/>
      <c r="AH749" s="129"/>
      <c r="AI749" s="129"/>
      <c r="AJ749" s="129"/>
      <c r="AK749" s="129"/>
      <c r="AL749" s="129"/>
      <c r="AM749" s="129"/>
      <c r="AN749" s="129"/>
      <c r="AO749" s="129"/>
      <c r="AP749" s="129"/>
      <c r="AQ749" s="129"/>
    </row>
    <row r="750" spans="1:43" ht="12.75" customHeight="1">
      <c r="A750" s="129"/>
      <c r="B750" s="129"/>
      <c r="C750" s="129"/>
      <c r="D750" s="129"/>
      <c r="E750" s="129"/>
      <c r="F750" s="129"/>
      <c r="G750" s="129"/>
      <c r="H750" s="129"/>
      <c r="I750" s="129"/>
      <c r="J750" s="129"/>
      <c r="K750" s="129"/>
      <c r="L750" s="129"/>
      <c r="M750" s="129"/>
      <c r="N750" s="129"/>
      <c r="O750" s="129"/>
      <c r="P750" s="129"/>
      <c r="Q750" s="129"/>
      <c r="R750" s="129"/>
      <c r="S750" s="129"/>
      <c r="T750" s="129"/>
      <c r="U750" s="129"/>
      <c r="V750" s="129"/>
      <c r="W750" s="129"/>
      <c r="X750" s="129"/>
      <c r="Y750" s="129"/>
      <c r="Z750" s="129"/>
      <c r="AA750" s="129"/>
      <c r="AB750" s="129"/>
      <c r="AC750" s="129"/>
      <c r="AD750" s="129"/>
      <c r="AE750" s="129"/>
      <c r="AF750" s="129"/>
      <c r="AG750" s="129"/>
      <c r="AH750" s="129"/>
      <c r="AI750" s="129"/>
      <c r="AJ750" s="129"/>
      <c r="AK750" s="129"/>
      <c r="AL750" s="129"/>
      <c r="AM750" s="129"/>
      <c r="AN750" s="129"/>
      <c r="AO750" s="129"/>
      <c r="AP750" s="129"/>
      <c r="AQ750" s="129"/>
    </row>
    <row r="751" spans="1:43" ht="12.75" customHeight="1">
      <c r="A751" s="129"/>
      <c r="B751" s="129"/>
      <c r="C751" s="129"/>
      <c r="D751" s="129"/>
      <c r="E751" s="129"/>
      <c r="F751" s="129"/>
      <c r="G751" s="129"/>
      <c r="H751" s="129"/>
      <c r="I751" s="129"/>
      <c r="J751" s="129"/>
      <c r="K751" s="129"/>
      <c r="L751" s="129"/>
      <c r="M751" s="129"/>
      <c r="N751" s="129"/>
      <c r="O751" s="129"/>
      <c r="P751" s="129"/>
      <c r="Q751" s="129"/>
      <c r="R751" s="129"/>
      <c r="S751" s="129"/>
      <c r="T751" s="129"/>
      <c r="U751" s="129"/>
      <c r="V751" s="129"/>
      <c r="W751" s="129"/>
      <c r="X751" s="129"/>
      <c r="Y751" s="129"/>
      <c r="Z751" s="129"/>
      <c r="AA751" s="129"/>
      <c r="AB751" s="129"/>
      <c r="AC751" s="129"/>
      <c r="AD751" s="129"/>
      <c r="AE751" s="129"/>
      <c r="AF751" s="129"/>
      <c r="AG751" s="129"/>
      <c r="AH751" s="129"/>
      <c r="AI751" s="129"/>
      <c r="AJ751" s="129"/>
      <c r="AK751" s="129"/>
      <c r="AL751" s="129"/>
      <c r="AM751" s="129"/>
      <c r="AN751" s="129"/>
      <c r="AO751" s="129"/>
      <c r="AP751" s="129"/>
      <c r="AQ751" s="129"/>
    </row>
    <row r="752" spans="1:43" ht="12.75" customHeight="1">
      <c r="A752" s="129"/>
      <c r="B752" s="129"/>
      <c r="C752" s="129"/>
      <c r="D752" s="129"/>
      <c r="E752" s="129"/>
      <c r="F752" s="129"/>
      <c r="G752" s="129"/>
      <c r="H752" s="129"/>
      <c r="I752" s="129"/>
      <c r="J752" s="129"/>
      <c r="K752" s="129"/>
      <c r="L752" s="129"/>
      <c r="M752" s="129"/>
      <c r="N752" s="129"/>
      <c r="O752" s="129"/>
      <c r="P752" s="129"/>
      <c r="Q752" s="129"/>
      <c r="R752" s="129"/>
      <c r="S752" s="129"/>
      <c r="T752" s="129"/>
      <c r="U752" s="129"/>
      <c r="V752" s="129"/>
      <c r="W752" s="129"/>
      <c r="X752" s="129"/>
      <c r="Y752" s="129"/>
      <c r="Z752" s="129"/>
      <c r="AA752" s="129"/>
      <c r="AB752" s="129"/>
      <c r="AC752" s="129"/>
      <c r="AD752" s="129"/>
      <c r="AE752" s="129"/>
      <c r="AF752" s="129"/>
      <c r="AG752" s="129"/>
      <c r="AH752" s="129"/>
      <c r="AI752" s="129"/>
      <c r="AJ752" s="129"/>
      <c r="AK752" s="129"/>
      <c r="AL752" s="129"/>
      <c r="AM752" s="129"/>
      <c r="AN752" s="129"/>
      <c r="AO752" s="129"/>
      <c r="AP752" s="129"/>
      <c r="AQ752" s="129"/>
    </row>
    <row r="753" spans="1:43" ht="12.75" customHeight="1">
      <c r="A753" s="129"/>
      <c r="B753" s="129"/>
      <c r="C753" s="129"/>
      <c r="D753" s="129"/>
      <c r="E753" s="129"/>
      <c r="F753" s="129"/>
      <c r="G753" s="129"/>
      <c r="H753" s="129"/>
      <c r="I753" s="129"/>
      <c r="J753" s="129"/>
      <c r="K753" s="129"/>
      <c r="L753" s="129"/>
      <c r="M753" s="129"/>
      <c r="N753" s="129"/>
      <c r="O753" s="129"/>
      <c r="P753" s="129"/>
      <c r="Q753" s="129"/>
      <c r="R753" s="129"/>
      <c r="S753" s="129"/>
      <c r="T753" s="129"/>
      <c r="U753" s="129"/>
      <c r="V753" s="129"/>
      <c r="W753" s="129"/>
      <c r="X753" s="129"/>
      <c r="Y753" s="129"/>
      <c r="Z753" s="129"/>
      <c r="AA753" s="129"/>
      <c r="AB753" s="129"/>
      <c r="AC753" s="129"/>
      <c r="AD753" s="129"/>
      <c r="AE753" s="129"/>
      <c r="AF753" s="129"/>
      <c r="AG753" s="129"/>
      <c r="AH753" s="129"/>
      <c r="AI753" s="129"/>
      <c r="AJ753" s="129"/>
      <c r="AK753" s="129"/>
      <c r="AL753" s="129"/>
      <c r="AM753" s="129"/>
      <c r="AN753" s="129"/>
      <c r="AO753" s="129"/>
      <c r="AP753" s="129"/>
      <c r="AQ753" s="129"/>
    </row>
    <row r="754" spans="1:43" ht="12.75" customHeight="1">
      <c r="A754" s="129"/>
      <c r="B754" s="129"/>
      <c r="C754" s="129"/>
      <c r="D754" s="129"/>
      <c r="E754" s="129"/>
      <c r="F754" s="129"/>
      <c r="G754" s="129"/>
      <c r="H754" s="129"/>
      <c r="I754" s="129"/>
      <c r="J754" s="129"/>
      <c r="K754" s="129"/>
      <c r="L754" s="129"/>
      <c r="M754" s="129"/>
      <c r="N754" s="129"/>
      <c r="O754" s="129"/>
      <c r="P754" s="129"/>
      <c r="Q754" s="129"/>
      <c r="R754" s="129"/>
      <c r="S754" s="129"/>
      <c r="T754" s="129"/>
      <c r="U754" s="129"/>
      <c r="V754" s="129"/>
      <c r="W754" s="129"/>
      <c r="X754" s="129"/>
      <c r="Y754" s="129"/>
      <c r="Z754" s="129"/>
      <c r="AA754" s="129"/>
      <c r="AB754" s="129"/>
      <c r="AC754" s="129"/>
      <c r="AD754" s="129"/>
      <c r="AE754" s="129"/>
      <c r="AF754" s="129"/>
      <c r="AG754" s="129"/>
      <c r="AH754" s="129"/>
      <c r="AI754" s="129"/>
      <c r="AJ754" s="129"/>
      <c r="AK754" s="129"/>
      <c r="AL754" s="129"/>
      <c r="AM754" s="129"/>
      <c r="AN754" s="129"/>
      <c r="AO754" s="129"/>
      <c r="AP754" s="129"/>
      <c r="AQ754" s="129"/>
    </row>
    <row r="755" spans="1:43" ht="12.75" customHeight="1">
      <c r="A755" s="129"/>
      <c r="B755" s="129"/>
      <c r="C755" s="129"/>
      <c r="D755" s="129"/>
      <c r="E755" s="129"/>
      <c r="F755" s="129"/>
      <c r="G755" s="129"/>
      <c r="H755" s="129"/>
      <c r="I755" s="129"/>
      <c r="J755" s="129"/>
      <c r="K755" s="129"/>
      <c r="L755" s="129"/>
      <c r="M755" s="129"/>
      <c r="N755" s="129"/>
      <c r="O755" s="129"/>
      <c r="P755" s="129"/>
      <c r="Q755" s="129"/>
      <c r="R755" s="129"/>
      <c r="S755" s="129"/>
      <c r="T755" s="129"/>
      <c r="U755" s="129"/>
      <c r="V755" s="129"/>
      <c r="W755" s="129"/>
      <c r="X755" s="129"/>
      <c r="Y755" s="129"/>
      <c r="Z755" s="129"/>
      <c r="AA755" s="129"/>
      <c r="AB755" s="129"/>
      <c r="AC755" s="129"/>
      <c r="AD755" s="129"/>
      <c r="AE755" s="129"/>
      <c r="AF755" s="129"/>
      <c r="AG755" s="129"/>
      <c r="AH755" s="129"/>
      <c r="AI755" s="129"/>
      <c r="AJ755" s="129"/>
      <c r="AK755" s="129"/>
      <c r="AL755" s="129"/>
      <c r="AM755" s="129"/>
      <c r="AN755" s="129"/>
      <c r="AO755" s="129"/>
      <c r="AP755" s="129"/>
      <c r="AQ755" s="129"/>
    </row>
    <row r="756" spans="1:43" ht="12.75" customHeight="1">
      <c r="A756" s="129"/>
      <c r="B756" s="129"/>
      <c r="C756" s="129"/>
      <c r="D756" s="129"/>
      <c r="E756" s="129"/>
      <c r="F756" s="129"/>
      <c r="G756" s="129"/>
      <c r="H756" s="129"/>
      <c r="I756" s="129"/>
      <c r="J756" s="129"/>
      <c r="K756" s="129"/>
      <c r="L756" s="129"/>
      <c r="M756" s="129"/>
      <c r="N756" s="129"/>
      <c r="O756" s="129"/>
      <c r="P756" s="129"/>
      <c r="Q756" s="129"/>
      <c r="R756" s="129"/>
      <c r="S756" s="129"/>
      <c r="T756" s="129"/>
      <c r="U756" s="129"/>
      <c r="V756" s="129"/>
      <c r="W756" s="129"/>
      <c r="X756" s="129"/>
      <c r="Y756" s="129"/>
      <c r="Z756" s="129"/>
      <c r="AA756" s="129"/>
      <c r="AB756" s="129"/>
      <c r="AC756" s="129"/>
      <c r="AD756" s="129"/>
      <c r="AE756" s="129"/>
      <c r="AF756" s="129"/>
      <c r="AG756" s="129"/>
      <c r="AH756" s="129"/>
      <c r="AI756" s="129"/>
      <c r="AJ756" s="129"/>
      <c r="AK756" s="129"/>
      <c r="AL756" s="129"/>
      <c r="AM756" s="129"/>
      <c r="AN756" s="129"/>
      <c r="AO756" s="129"/>
      <c r="AP756" s="129"/>
      <c r="AQ756" s="129"/>
    </row>
    <row r="757" spans="1:43" ht="12.75" customHeight="1">
      <c r="A757" s="129"/>
      <c r="B757" s="129"/>
      <c r="C757" s="129"/>
      <c r="D757" s="129"/>
      <c r="E757" s="129"/>
      <c r="F757" s="129"/>
      <c r="G757" s="129"/>
      <c r="H757" s="129"/>
      <c r="I757" s="129"/>
      <c r="J757" s="129"/>
      <c r="K757" s="129"/>
      <c r="L757" s="129"/>
      <c r="M757" s="129"/>
      <c r="N757" s="129"/>
      <c r="O757" s="129"/>
      <c r="P757" s="129"/>
      <c r="Q757" s="129"/>
      <c r="R757" s="129"/>
      <c r="S757" s="129"/>
      <c r="T757" s="129"/>
      <c r="U757" s="129"/>
      <c r="V757" s="129"/>
      <c r="W757" s="129"/>
      <c r="X757" s="129"/>
      <c r="Y757" s="129"/>
      <c r="Z757" s="129"/>
      <c r="AA757" s="129"/>
      <c r="AB757" s="129"/>
      <c r="AC757" s="129"/>
      <c r="AD757" s="129"/>
      <c r="AE757" s="129"/>
      <c r="AF757" s="129"/>
      <c r="AG757" s="129"/>
      <c r="AH757" s="129"/>
      <c r="AI757" s="129"/>
      <c r="AJ757" s="129"/>
      <c r="AK757" s="129"/>
      <c r="AL757" s="129"/>
      <c r="AM757" s="129"/>
      <c r="AN757" s="129"/>
      <c r="AO757" s="129"/>
      <c r="AP757" s="129"/>
      <c r="AQ757" s="129"/>
    </row>
    <row r="758" spans="1:43" ht="12.75" customHeight="1">
      <c r="A758" s="129"/>
      <c r="B758" s="129"/>
      <c r="C758" s="129"/>
      <c r="D758" s="129"/>
      <c r="E758" s="129"/>
      <c r="F758" s="129"/>
      <c r="G758" s="129"/>
      <c r="H758" s="129"/>
      <c r="I758" s="129"/>
      <c r="J758" s="129"/>
      <c r="K758" s="129"/>
      <c r="L758" s="129"/>
      <c r="M758" s="129"/>
      <c r="N758" s="129"/>
      <c r="O758" s="129"/>
      <c r="P758" s="129"/>
      <c r="Q758" s="129"/>
      <c r="R758" s="129"/>
      <c r="S758" s="129"/>
      <c r="T758" s="129"/>
      <c r="U758" s="129"/>
      <c r="V758" s="129"/>
      <c r="W758" s="129"/>
      <c r="X758" s="129"/>
      <c r="Y758" s="129"/>
      <c r="Z758" s="129"/>
      <c r="AA758" s="129"/>
      <c r="AB758" s="129"/>
      <c r="AC758" s="129"/>
      <c r="AD758" s="129"/>
      <c r="AE758" s="129"/>
      <c r="AF758" s="129"/>
      <c r="AG758" s="129"/>
      <c r="AH758" s="129"/>
      <c r="AI758" s="129"/>
      <c r="AJ758" s="129"/>
      <c r="AK758" s="129"/>
      <c r="AL758" s="129"/>
      <c r="AM758" s="129"/>
      <c r="AN758" s="129"/>
      <c r="AO758" s="129"/>
      <c r="AP758" s="129"/>
      <c r="AQ758" s="129"/>
    </row>
    <row r="759" spans="1:43" ht="12.75" customHeight="1">
      <c r="A759" s="129"/>
      <c r="B759" s="129"/>
      <c r="C759" s="129"/>
      <c r="D759" s="129"/>
      <c r="E759" s="129"/>
      <c r="F759" s="129"/>
      <c r="G759" s="129"/>
      <c r="H759" s="129"/>
      <c r="I759" s="129"/>
      <c r="J759" s="129"/>
      <c r="K759" s="129"/>
      <c r="L759" s="129"/>
      <c r="M759" s="129"/>
      <c r="N759" s="129"/>
      <c r="O759" s="129"/>
      <c r="P759" s="129"/>
      <c r="Q759" s="129"/>
      <c r="R759" s="129"/>
      <c r="S759" s="129"/>
      <c r="T759" s="129"/>
      <c r="U759" s="129"/>
      <c r="V759" s="129"/>
      <c r="W759" s="129"/>
      <c r="X759" s="129"/>
      <c r="Y759" s="129"/>
      <c r="Z759" s="129"/>
      <c r="AA759" s="129"/>
      <c r="AB759" s="129"/>
      <c r="AC759" s="129"/>
      <c r="AD759" s="129"/>
      <c r="AE759" s="129"/>
      <c r="AF759" s="129"/>
      <c r="AG759" s="129"/>
      <c r="AH759" s="129"/>
      <c r="AI759" s="129"/>
      <c r="AJ759" s="129"/>
      <c r="AK759" s="129"/>
      <c r="AL759" s="129"/>
      <c r="AM759" s="129"/>
      <c r="AN759" s="129"/>
      <c r="AO759" s="129"/>
      <c r="AP759" s="129"/>
      <c r="AQ759" s="129"/>
    </row>
    <row r="760" spans="1:43" ht="12.75" customHeight="1">
      <c r="A760" s="129"/>
      <c r="B760" s="129"/>
      <c r="C760" s="129"/>
      <c r="D760" s="129"/>
      <c r="E760" s="129"/>
      <c r="F760" s="129"/>
      <c r="G760" s="129"/>
      <c r="H760" s="129"/>
      <c r="I760" s="129"/>
      <c r="J760" s="129"/>
      <c r="K760" s="129"/>
      <c r="L760" s="129"/>
      <c r="M760" s="129"/>
      <c r="N760" s="129"/>
      <c r="O760" s="129"/>
      <c r="P760" s="129"/>
      <c r="Q760" s="129"/>
      <c r="R760" s="129"/>
      <c r="S760" s="129"/>
      <c r="T760" s="129"/>
      <c r="U760" s="129"/>
      <c r="V760" s="129"/>
      <c r="W760" s="129"/>
      <c r="X760" s="129"/>
      <c r="Y760" s="129"/>
      <c r="Z760" s="129"/>
      <c r="AA760" s="129"/>
      <c r="AB760" s="129"/>
      <c r="AC760" s="129"/>
      <c r="AD760" s="129"/>
      <c r="AE760" s="129"/>
      <c r="AF760" s="129"/>
      <c r="AG760" s="129"/>
      <c r="AH760" s="129"/>
      <c r="AI760" s="129"/>
      <c r="AJ760" s="129"/>
      <c r="AK760" s="129"/>
      <c r="AL760" s="129"/>
      <c r="AM760" s="129"/>
      <c r="AN760" s="129"/>
      <c r="AO760" s="129"/>
      <c r="AP760" s="129"/>
      <c r="AQ760" s="129"/>
    </row>
    <row r="761" spans="1:43" ht="12.75" customHeight="1">
      <c r="A761" s="129"/>
      <c r="B761" s="129"/>
      <c r="C761" s="129"/>
      <c r="D761" s="129"/>
      <c r="E761" s="129"/>
      <c r="F761" s="129"/>
      <c r="G761" s="129"/>
      <c r="H761" s="129"/>
      <c r="I761" s="129"/>
      <c r="J761" s="129"/>
      <c r="K761" s="129"/>
      <c r="L761" s="129"/>
      <c r="M761" s="129"/>
      <c r="N761" s="129"/>
      <c r="O761" s="129"/>
      <c r="P761" s="129"/>
      <c r="Q761" s="129"/>
      <c r="R761" s="129"/>
      <c r="S761" s="129"/>
      <c r="T761" s="129"/>
      <c r="U761" s="129"/>
      <c r="V761" s="129"/>
      <c r="W761" s="129"/>
      <c r="X761" s="129"/>
      <c r="Y761" s="129"/>
      <c r="Z761" s="129"/>
      <c r="AA761" s="129"/>
      <c r="AB761" s="129"/>
      <c r="AC761" s="129"/>
      <c r="AD761" s="129"/>
      <c r="AE761" s="129"/>
      <c r="AF761" s="129"/>
      <c r="AG761" s="129"/>
      <c r="AH761" s="129"/>
      <c r="AI761" s="129"/>
      <c r="AJ761" s="129"/>
      <c r="AK761" s="129"/>
      <c r="AL761" s="129"/>
      <c r="AM761" s="129"/>
      <c r="AN761" s="129"/>
      <c r="AO761" s="129"/>
      <c r="AP761" s="129"/>
      <c r="AQ761" s="129"/>
    </row>
    <row r="762" spans="1:43" ht="12.75" customHeight="1">
      <c r="A762" s="129"/>
      <c r="B762" s="129"/>
      <c r="C762" s="129"/>
      <c r="D762" s="129"/>
      <c r="E762" s="129"/>
      <c r="F762" s="129"/>
      <c r="G762" s="129"/>
      <c r="H762" s="129"/>
      <c r="I762" s="129"/>
      <c r="J762" s="129"/>
      <c r="K762" s="129"/>
      <c r="L762" s="129"/>
      <c r="M762" s="129"/>
      <c r="N762" s="129"/>
      <c r="O762" s="129"/>
      <c r="P762" s="129"/>
      <c r="Q762" s="129"/>
      <c r="R762" s="129"/>
      <c r="S762" s="129"/>
      <c r="T762" s="129"/>
      <c r="U762" s="129"/>
      <c r="V762" s="129"/>
      <c r="W762" s="129"/>
      <c r="X762" s="129"/>
      <c r="Y762" s="129"/>
      <c r="Z762" s="129"/>
      <c r="AA762" s="129"/>
      <c r="AB762" s="129"/>
      <c r="AC762" s="129"/>
      <c r="AD762" s="129"/>
      <c r="AE762" s="129"/>
      <c r="AF762" s="129"/>
      <c r="AG762" s="129"/>
      <c r="AH762" s="129"/>
      <c r="AI762" s="129"/>
      <c r="AJ762" s="129"/>
      <c r="AK762" s="129"/>
      <c r="AL762" s="129"/>
      <c r="AM762" s="129"/>
      <c r="AN762" s="129"/>
      <c r="AO762" s="129"/>
      <c r="AP762" s="129"/>
      <c r="AQ762" s="129"/>
    </row>
    <row r="763" spans="1:43" ht="12.75" customHeight="1">
      <c r="A763" s="129"/>
      <c r="B763" s="129"/>
      <c r="C763" s="129"/>
      <c r="D763" s="129"/>
      <c r="E763" s="129"/>
      <c r="F763" s="129"/>
      <c r="G763" s="129"/>
      <c r="H763" s="129"/>
      <c r="I763" s="129"/>
      <c r="J763" s="129"/>
      <c r="K763" s="129"/>
      <c r="L763" s="129"/>
      <c r="M763" s="129"/>
      <c r="N763" s="129"/>
      <c r="O763" s="129"/>
      <c r="P763" s="129"/>
      <c r="Q763" s="129"/>
      <c r="R763" s="129"/>
      <c r="S763" s="129"/>
      <c r="T763" s="129"/>
      <c r="U763" s="129"/>
      <c r="V763" s="129"/>
      <c r="W763" s="129"/>
      <c r="X763" s="129"/>
      <c r="Y763" s="129"/>
      <c r="Z763" s="129"/>
      <c r="AA763" s="129"/>
      <c r="AB763" s="129"/>
      <c r="AC763" s="129"/>
      <c r="AD763" s="129"/>
      <c r="AE763" s="129"/>
      <c r="AF763" s="129"/>
      <c r="AG763" s="129"/>
      <c r="AH763" s="129"/>
      <c r="AI763" s="129"/>
      <c r="AJ763" s="129"/>
      <c r="AK763" s="129"/>
      <c r="AL763" s="129"/>
      <c r="AM763" s="129"/>
      <c r="AN763" s="129"/>
      <c r="AO763" s="129"/>
      <c r="AP763" s="129"/>
      <c r="AQ763" s="129"/>
    </row>
    <row r="764" spans="1:43" ht="12.75" customHeight="1">
      <c r="A764" s="129"/>
      <c r="B764" s="129"/>
      <c r="C764" s="129"/>
      <c r="D764" s="129"/>
      <c r="E764" s="129"/>
      <c r="F764" s="129"/>
      <c r="G764" s="129"/>
      <c r="H764" s="129"/>
      <c r="I764" s="129"/>
      <c r="J764" s="129"/>
      <c r="K764" s="129"/>
      <c r="L764" s="129"/>
      <c r="M764" s="129"/>
      <c r="N764" s="129"/>
      <c r="O764" s="129"/>
      <c r="P764" s="129"/>
      <c r="Q764" s="129"/>
      <c r="R764" s="129"/>
      <c r="S764" s="129"/>
      <c r="T764" s="129"/>
      <c r="U764" s="129"/>
      <c r="V764" s="129"/>
      <c r="W764" s="129"/>
      <c r="X764" s="129"/>
      <c r="Y764" s="129"/>
      <c r="Z764" s="129"/>
      <c r="AA764" s="129"/>
      <c r="AB764" s="129"/>
      <c r="AC764" s="129"/>
      <c r="AD764" s="129"/>
      <c r="AE764" s="129"/>
      <c r="AF764" s="129"/>
      <c r="AG764" s="129"/>
      <c r="AH764" s="129"/>
      <c r="AI764" s="129"/>
      <c r="AJ764" s="129"/>
      <c r="AK764" s="129"/>
      <c r="AL764" s="129"/>
      <c r="AM764" s="129"/>
      <c r="AN764" s="129"/>
      <c r="AO764" s="129"/>
      <c r="AP764" s="129"/>
      <c r="AQ764" s="129"/>
    </row>
    <row r="765" spans="1:43" ht="12.75" customHeight="1">
      <c r="A765" s="129"/>
      <c r="B765" s="129"/>
      <c r="C765" s="129"/>
      <c r="D765" s="129"/>
      <c r="E765" s="129"/>
      <c r="F765" s="129"/>
      <c r="G765" s="129"/>
      <c r="H765" s="129"/>
      <c r="I765" s="129"/>
      <c r="J765" s="129"/>
      <c r="K765" s="129"/>
      <c r="L765" s="129"/>
      <c r="M765" s="129"/>
      <c r="N765" s="129"/>
      <c r="O765" s="129"/>
      <c r="P765" s="129"/>
      <c r="Q765" s="129"/>
      <c r="R765" s="129"/>
      <c r="S765" s="129"/>
      <c r="T765" s="129"/>
      <c r="U765" s="129"/>
      <c r="V765" s="129"/>
      <c r="W765" s="129"/>
      <c r="X765" s="129"/>
      <c r="Y765" s="129"/>
      <c r="Z765" s="129"/>
      <c r="AA765" s="129"/>
      <c r="AB765" s="129"/>
      <c r="AC765" s="129"/>
      <c r="AD765" s="129"/>
      <c r="AE765" s="129"/>
      <c r="AF765" s="129"/>
      <c r="AG765" s="129"/>
      <c r="AH765" s="129"/>
      <c r="AI765" s="129"/>
      <c r="AJ765" s="129"/>
      <c r="AK765" s="129"/>
      <c r="AL765" s="129"/>
      <c r="AM765" s="129"/>
      <c r="AN765" s="129"/>
      <c r="AO765" s="129"/>
      <c r="AP765" s="129"/>
      <c r="AQ765" s="129"/>
    </row>
    <row r="766" spans="1:43" ht="12.75" customHeight="1">
      <c r="A766" s="129"/>
      <c r="B766" s="129"/>
      <c r="C766" s="129"/>
      <c r="D766" s="129"/>
      <c r="E766" s="129"/>
      <c r="F766" s="129"/>
      <c r="G766" s="129"/>
      <c r="H766" s="129"/>
      <c r="I766" s="129"/>
      <c r="J766" s="129"/>
      <c r="K766" s="129"/>
      <c r="L766" s="129"/>
      <c r="M766" s="129"/>
      <c r="N766" s="129"/>
      <c r="O766" s="129"/>
      <c r="P766" s="129"/>
      <c r="Q766" s="129"/>
      <c r="R766" s="129"/>
      <c r="S766" s="129"/>
      <c r="T766" s="129"/>
      <c r="U766" s="129"/>
      <c r="V766" s="129"/>
      <c r="W766" s="129"/>
      <c r="X766" s="129"/>
      <c r="Y766" s="129"/>
      <c r="Z766" s="129"/>
      <c r="AA766" s="129"/>
      <c r="AB766" s="129"/>
      <c r="AC766" s="129"/>
      <c r="AD766" s="129"/>
      <c r="AE766" s="129"/>
      <c r="AF766" s="129"/>
      <c r="AG766" s="129"/>
      <c r="AH766" s="129"/>
      <c r="AI766" s="129"/>
      <c r="AJ766" s="129"/>
      <c r="AK766" s="129"/>
      <c r="AL766" s="129"/>
      <c r="AM766" s="129"/>
      <c r="AN766" s="129"/>
      <c r="AO766" s="129"/>
      <c r="AP766" s="129"/>
      <c r="AQ766" s="129"/>
    </row>
    <row r="767" spans="1:43" ht="12.75" customHeight="1">
      <c r="A767" s="129"/>
      <c r="B767" s="129"/>
      <c r="C767" s="129"/>
      <c r="D767" s="129"/>
      <c r="E767" s="129"/>
      <c r="F767" s="129"/>
      <c r="G767" s="129"/>
      <c r="H767" s="129"/>
      <c r="I767" s="129"/>
      <c r="J767" s="129"/>
      <c r="K767" s="129"/>
      <c r="L767" s="129"/>
      <c r="M767" s="129"/>
      <c r="N767" s="129"/>
      <c r="O767" s="129"/>
      <c r="P767" s="129"/>
      <c r="Q767" s="129"/>
      <c r="R767" s="129"/>
      <c r="S767" s="129"/>
      <c r="T767" s="129"/>
      <c r="U767" s="129"/>
      <c r="V767" s="129"/>
      <c r="W767" s="129"/>
      <c r="X767" s="129"/>
      <c r="Y767" s="129"/>
      <c r="Z767" s="129"/>
      <c r="AA767" s="129"/>
      <c r="AB767" s="129"/>
      <c r="AC767" s="129"/>
      <c r="AD767" s="129"/>
      <c r="AE767" s="129"/>
      <c r="AF767" s="129"/>
      <c r="AG767" s="129"/>
      <c r="AH767" s="129"/>
      <c r="AI767" s="129"/>
      <c r="AJ767" s="129"/>
      <c r="AK767" s="129"/>
      <c r="AL767" s="129"/>
      <c r="AM767" s="129"/>
      <c r="AN767" s="129"/>
      <c r="AO767" s="129"/>
      <c r="AP767" s="129"/>
      <c r="AQ767" s="129"/>
    </row>
    <row r="768" spans="1:43" ht="12.75" customHeight="1">
      <c r="A768" s="129"/>
      <c r="B768" s="129"/>
      <c r="C768" s="129"/>
      <c r="D768" s="129"/>
      <c r="E768" s="129"/>
      <c r="F768" s="129"/>
      <c r="G768" s="129"/>
      <c r="H768" s="129"/>
      <c r="I768" s="129"/>
      <c r="J768" s="129"/>
      <c r="K768" s="129"/>
      <c r="L768" s="129"/>
      <c r="M768" s="129"/>
      <c r="N768" s="129"/>
      <c r="O768" s="129"/>
      <c r="P768" s="129"/>
      <c r="Q768" s="129"/>
      <c r="R768" s="129"/>
      <c r="S768" s="129"/>
      <c r="T768" s="129"/>
      <c r="U768" s="129"/>
      <c r="V768" s="129"/>
      <c r="W768" s="129"/>
      <c r="X768" s="129"/>
      <c r="Y768" s="129"/>
      <c r="Z768" s="129"/>
      <c r="AA768" s="129"/>
      <c r="AB768" s="129"/>
      <c r="AC768" s="129"/>
      <c r="AD768" s="129"/>
      <c r="AE768" s="129"/>
      <c r="AF768" s="129"/>
      <c r="AG768" s="129"/>
      <c r="AH768" s="129"/>
      <c r="AI768" s="129"/>
      <c r="AJ768" s="129"/>
      <c r="AK768" s="129"/>
      <c r="AL768" s="129"/>
      <c r="AM768" s="129"/>
      <c r="AN768" s="129"/>
      <c r="AO768" s="129"/>
      <c r="AP768" s="129"/>
      <c r="AQ768" s="129"/>
    </row>
    <row r="769" spans="1:43" ht="12.75" customHeight="1">
      <c r="A769" s="129"/>
      <c r="B769" s="129"/>
      <c r="C769" s="129"/>
      <c r="D769" s="129"/>
      <c r="E769" s="129"/>
      <c r="F769" s="129"/>
      <c r="G769" s="129"/>
      <c r="H769" s="129"/>
      <c r="I769" s="129"/>
      <c r="J769" s="129"/>
      <c r="K769" s="129"/>
      <c r="L769" s="129"/>
      <c r="M769" s="129"/>
      <c r="N769" s="129"/>
      <c r="O769" s="129"/>
      <c r="P769" s="129"/>
      <c r="Q769" s="129"/>
      <c r="R769" s="129"/>
      <c r="S769" s="129"/>
      <c r="T769" s="129"/>
      <c r="U769" s="129"/>
      <c r="V769" s="129"/>
      <c r="W769" s="129"/>
      <c r="X769" s="129"/>
      <c r="Y769" s="129"/>
      <c r="Z769" s="129"/>
      <c r="AA769" s="129"/>
      <c r="AB769" s="129"/>
      <c r="AC769" s="129"/>
      <c r="AD769" s="129"/>
      <c r="AE769" s="129"/>
      <c r="AF769" s="129"/>
      <c r="AG769" s="129"/>
      <c r="AH769" s="129"/>
      <c r="AI769" s="129"/>
      <c r="AJ769" s="129"/>
      <c r="AK769" s="129"/>
      <c r="AL769" s="129"/>
      <c r="AM769" s="129"/>
      <c r="AN769" s="129"/>
      <c r="AO769" s="129"/>
      <c r="AP769" s="129"/>
      <c r="AQ769" s="129"/>
    </row>
    <row r="770" spans="1:43" ht="12.75" customHeight="1">
      <c r="A770" s="129"/>
      <c r="B770" s="129"/>
      <c r="C770" s="129"/>
      <c r="D770" s="129"/>
      <c r="E770" s="129"/>
      <c r="F770" s="129"/>
      <c r="G770" s="129"/>
      <c r="H770" s="129"/>
      <c r="I770" s="129"/>
      <c r="J770" s="129"/>
      <c r="K770" s="129"/>
      <c r="L770" s="129"/>
      <c r="M770" s="129"/>
      <c r="N770" s="129"/>
      <c r="O770" s="129"/>
      <c r="P770" s="129"/>
      <c r="Q770" s="129"/>
      <c r="R770" s="129"/>
      <c r="S770" s="129"/>
      <c r="T770" s="129"/>
      <c r="U770" s="129"/>
      <c r="V770" s="129"/>
      <c r="W770" s="129"/>
      <c r="X770" s="129"/>
      <c r="Y770" s="129"/>
      <c r="Z770" s="129"/>
      <c r="AA770" s="129"/>
      <c r="AB770" s="129"/>
      <c r="AC770" s="129"/>
      <c r="AD770" s="129"/>
      <c r="AE770" s="129"/>
      <c r="AF770" s="129"/>
      <c r="AG770" s="129"/>
      <c r="AH770" s="129"/>
      <c r="AI770" s="129"/>
      <c r="AJ770" s="129"/>
      <c r="AK770" s="129"/>
      <c r="AL770" s="129"/>
      <c r="AM770" s="129"/>
      <c r="AN770" s="129"/>
      <c r="AO770" s="129"/>
      <c r="AP770" s="129"/>
      <c r="AQ770" s="129"/>
    </row>
    <row r="771" spans="1:43" ht="12.75" customHeight="1">
      <c r="A771" s="129"/>
      <c r="B771" s="129"/>
      <c r="C771" s="129"/>
      <c r="D771" s="129"/>
      <c r="E771" s="129"/>
      <c r="F771" s="129"/>
      <c r="G771" s="129"/>
      <c r="H771" s="129"/>
      <c r="I771" s="129"/>
      <c r="J771" s="129"/>
      <c r="K771" s="129"/>
      <c r="L771" s="129"/>
      <c r="M771" s="129"/>
      <c r="N771" s="129"/>
      <c r="O771" s="129"/>
      <c r="P771" s="129"/>
      <c r="Q771" s="129"/>
      <c r="R771" s="129"/>
      <c r="S771" s="129"/>
      <c r="T771" s="129"/>
      <c r="U771" s="129"/>
      <c r="V771" s="129"/>
      <c r="W771" s="129"/>
      <c r="X771" s="129"/>
      <c r="Y771" s="129"/>
      <c r="Z771" s="129"/>
      <c r="AA771" s="129"/>
      <c r="AB771" s="129"/>
      <c r="AC771" s="129"/>
      <c r="AD771" s="129"/>
      <c r="AE771" s="129"/>
      <c r="AF771" s="129"/>
      <c r="AG771" s="129"/>
      <c r="AH771" s="129"/>
      <c r="AI771" s="129"/>
      <c r="AJ771" s="129"/>
      <c r="AK771" s="129"/>
      <c r="AL771" s="129"/>
      <c r="AM771" s="129"/>
      <c r="AN771" s="129"/>
      <c r="AO771" s="129"/>
      <c r="AP771" s="129"/>
      <c r="AQ771" s="129"/>
    </row>
    <row r="772" spans="1:43" ht="12.75" customHeight="1">
      <c r="A772" s="129"/>
      <c r="B772" s="129"/>
      <c r="C772" s="129"/>
      <c r="D772" s="129"/>
      <c r="E772" s="129"/>
      <c r="F772" s="129"/>
      <c r="G772" s="129"/>
      <c r="H772" s="129"/>
      <c r="I772" s="129"/>
      <c r="J772" s="129"/>
      <c r="K772" s="129"/>
      <c r="L772" s="129"/>
      <c r="M772" s="129"/>
      <c r="N772" s="129"/>
      <c r="O772" s="129"/>
      <c r="P772" s="129"/>
      <c r="Q772" s="129"/>
      <c r="R772" s="129"/>
      <c r="S772" s="129"/>
      <c r="T772" s="129"/>
      <c r="U772" s="129"/>
      <c r="V772" s="129"/>
      <c r="W772" s="129"/>
      <c r="X772" s="129"/>
      <c r="Y772" s="129"/>
      <c r="Z772" s="129"/>
      <c r="AA772" s="129"/>
      <c r="AB772" s="129"/>
      <c r="AC772" s="129"/>
      <c r="AD772" s="129"/>
      <c r="AE772" s="129"/>
      <c r="AF772" s="129"/>
      <c r="AG772" s="129"/>
      <c r="AH772" s="129"/>
      <c r="AI772" s="129"/>
      <c r="AJ772" s="129"/>
      <c r="AK772" s="129"/>
      <c r="AL772" s="129"/>
      <c r="AM772" s="129"/>
      <c r="AN772" s="129"/>
      <c r="AO772" s="129"/>
      <c r="AP772" s="129"/>
      <c r="AQ772" s="129"/>
    </row>
    <row r="773" spans="1:43" ht="12.75" customHeight="1">
      <c r="A773" s="129"/>
      <c r="B773" s="129"/>
      <c r="C773" s="129"/>
      <c r="D773" s="129"/>
      <c r="E773" s="129"/>
      <c r="F773" s="129"/>
      <c r="G773" s="129"/>
      <c r="H773" s="129"/>
      <c r="I773" s="129"/>
      <c r="J773" s="129"/>
      <c r="K773" s="129"/>
      <c r="L773" s="129"/>
      <c r="M773" s="129"/>
      <c r="N773" s="129"/>
      <c r="O773" s="129"/>
      <c r="P773" s="129"/>
      <c r="Q773" s="129"/>
      <c r="R773" s="129"/>
      <c r="S773" s="129"/>
      <c r="T773" s="129"/>
      <c r="U773" s="129"/>
      <c r="V773" s="129"/>
      <c r="W773" s="129"/>
      <c r="X773" s="129"/>
      <c r="Y773" s="129"/>
      <c r="Z773" s="129"/>
      <c r="AA773" s="129"/>
      <c r="AB773" s="129"/>
      <c r="AC773" s="129"/>
      <c r="AD773" s="129"/>
      <c r="AE773" s="129"/>
      <c r="AF773" s="129"/>
      <c r="AG773" s="129"/>
      <c r="AH773" s="129"/>
      <c r="AI773" s="129"/>
      <c r="AJ773" s="129"/>
      <c r="AK773" s="129"/>
      <c r="AL773" s="129"/>
      <c r="AM773" s="129"/>
      <c r="AN773" s="129"/>
      <c r="AO773" s="129"/>
      <c r="AP773" s="129"/>
      <c r="AQ773" s="129"/>
    </row>
    <row r="774" spans="1:43" ht="12.75" customHeight="1">
      <c r="A774" s="129"/>
      <c r="B774" s="129"/>
      <c r="C774" s="129"/>
      <c r="D774" s="129"/>
      <c r="E774" s="129"/>
      <c r="F774" s="129"/>
      <c r="G774" s="129"/>
      <c r="H774" s="129"/>
      <c r="I774" s="129"/>
      <c r="J774" s="129"/>
      <c r="K774" s="129"/>
      <c r="L774" s="129"/>
      <c r="M774" s="129"/>
      <c r="N774" s="129"/>
      <c r="O774" s="129"/>
      <c r="P774" s="129"/>
      <c r="Q774" s="129"/>
      <c r="R774" s="129"/>
      <c r="S774" s="129"/>
      <c r="T774" s="129"/>
      <c r="U774" s="129"/>
      <c r="V774" s="129"/>
      <c r="W774" s="129"/>
      <c r="X774" s="129"/>
      <c r="Y774" s="129"/>
      <c r="Z774" s="129"/>
      <c r="AA774" s="129"/>
      <c r="AB774" s="129"/>
      <c r="AC774" s="129"/>
      <c r="AD774" s="129"/>
      <c r="AE774" s="129"/>
      <c r="AF774" s="129"/>
      <c r="AG774" s="129"/>
      <c r="AH774" s="129"/>
      <c r="AI774" s="129"/>
      <c r="AJ774" s="129"/>
      <c r="AK774" s="129"/>
      <c r="AL774" s="129"/>
      <c r="AM774" s="129"/>
      <c r="AN774" s="129"/>
      <c r="AO774" s="129"/>
      <c r="AP774" s="129"/>
      <c r="AQ774" s="129"/>
    </row>
    <row r="775" spans="1:43" ht="12.75" customHeight="1">
      <c r="A775" s="129"/>
      <c r="B775" s="129"/>
      <c r="C775" s="129"/>
      <c r="D775" s="129"/>
      <c r="E775" s="129"/>
      <c r="F775" s="129"/>
      <c r="G775" s="129"/>
      <c r="H775" s="129"/>
      <c r="I775" s="129"/>
      <c r="J775" s="129"/>
      <c r="K775" s="129"/>
      <c r="L775" s="129"/>
      <c r="M775" s="129"/>
      <c r="N775" s="129"/>
      <c r="O775" s="129"/>
      <c r="P775" s="129"/>
      <c r="Q775" s="129"/>
      <c r="R775" s="129"/>
      <c r="S775" s="129"/>
      <c r="T775" s="129"/>
      <c r="U775" s="129"/>
      <c r="V775" s="129"/>
      <c r="W775" s="129"/>
      <c r="X775" s="129"/>
      <c r="Y775" s="129"/>
      <c r="Z775" s="129"/>
      <c r="AA775" s="129"/>
      <c r="AB775" s="129"/>
      <c r="AC775" s="129"/>
      <c r="AD775" s="129"/>
      <c r="AE775" s="129"/>
      <c r="AF775" s="129"/>
      <c r="AG775" s="129"/>
      <c r="AH775" s="129"/>
      <c r="AI775" s="129"/>
      <c r="AJ775" s="129"/>
      <c r="AK775" s="129"/>
      <c r="AL775" s="129"/>
      <c r="AM775" s="129"/>
      <c r="AN775" s="129"/>
      <c r="AO775" s="129"/>
      <c r="AP775" s="129"/>
      <c r="AQ775" s="129"/>
    </row>
    <row r="776" spans="1:43" ht="12.75" customHeight="1">
      <c r="A776" s="129"/>
      <c r="B776" s="129"/>
      <c r="C776" s="129"/>
      <c r="D776" s="129"/>
      <c r="E776" s="129"/>
      <c r="F776" s="129"/>
      <c r="G776" s="129"/>
      <c r="H776" s="129"/>
      <c r="I776" s="129"/>
      <c r="J776" s="129"/>
      <c r="K776" s="129"/>
      <c r="L776" s="129"/>
      <c r="M776" s="129"/>
      <c r="N776" s="129"/>
      <c r="O776" s="129"/>
      <c r="P776" s="129"/>
      <c r="Q776" s="129"/>
      <c r="R776" s="129"/>
      <c r="S776" s="129"/>
      <c r="T776" s="129"/>
      <c r="U776" s="129"/>
      <c r="V776" s="129"/>
      <c r="W776" s="129"/>
      <c r="X776" s="129"/>
      <c r="Y776" s="129"/>
      <c r="Z776" s="129"/>
      <c r="AA776" s="129"/>
      <c r="AB776" s="129"/>
      <c r="AC776" s="129"/>
      <c r="AD776" s="129"/>
      <c r="AE776" s="129"/>
      <c r="AF776" s="129"/>
      <c r="AG776" s="129"/>
      <c r="AH776" s="129"/>
      <c r="AI776" s="129"/>
      <c r="AJ776" s="129"/>
      <c r="AK776" s="129"/>
      <c r="AL776" s="129"/>
      <c r="AM776" s="129"/>
      <c r="AN776" s="129"/>
      <c r="AO776" s="129"/>
      <c r="AP776" s="129"/>
      <c r="AQ776" s="129"/>
    </row>
    <row r="777" spans="1:43" ht="12.75" customHeight="1">
      <c r="A777" s="129"/>
      <c r="B777" s="129"/>
      <c r="C777" s="129"/>
      <c r="D777" s="129"/>
      <c r="E777" s="129"/>
      <c r="F777" s="129"/>
      <c r="G777" s="129"/>
      <c r="H777" s="129"/>
      <c r="I777" s="129"/>
      <c r="J777" s="129"/>
      <c r="K777" s="129"/>
      <c r="L777" s="129"/>
      <c r="M777" s="129"/>
      <c r="N777" s="129"/>
      <c r="O777" s="129"/>
      <c r="P777" s="129"/>
      <c r="Q777" s="129"/>
      <c r="R777" s="129"/>
      <c r="S777" s="129"/>
      <c r="T777" s="129"/>
      <c r="U777" s="129"/>
      <c r="V777" s="129"/>
      <c r="W777" s="129"/>
      <c r="X777" s="129"/>
      <c r="Y777" s="129"/>
      <c r="Z777" s="129"/>
      <c r="AA777" s="129"/>
      <c r="AB777" s="129"/>
      <c r="AC777" s="129"/>
      <c r="AD777" s="129"/>
      <c r="AE777" s="129"/>
      <c r="AF777" s="129"/>
      <c r="AG777" s="129"/>
      <c r="AH777" s="129"/>
      <c r="AI777" s="129"/>
      <c r="AJ777" s="129"/>
      <c r="AK777" s="129"/>
      <c r="AL777" s="129"/>
      <c r="AM777" s="129"/>
      <c r="AN777" s="129"/>
      <c r="AO777" s="129"/>
      <c r="AP777" s="129"/>
      <c r="AQ777" s="129"/>
    </row>
    <row r="778" spans="1:43" ht="12.75" customHeight="1">
      <c r="A778" s="129"/>
      <c r="B778" s="129"/>
      <c r="C778" s="129"/>
      <c r="D778" s="129"/>
      <c r="E778" s="129"/>
      <c r="F778" s="129"/>
      <c r="G778" s="129"/>
      <c r="H778" s="129"/>
      <c r="I778" s="129"/>
      <c r="J778" s="129"/>
      <c r="K778" s="129"/>
      <c r="L778" s="129"/>
      <c r="M778" s="129"/>
      <c r="N778" s="129"/>
      <c r="O778" s="129"/>
      <c r="P778" s="129"/>
      <c r="Q778" s="129"/>
      <c r="R778" s="129"/>
      <c r="S778" s="129"/>
      <c r="T778" s="129"/>
      <c r="U778" s="129"/>
      <c r="V778" s="129"/>
      <c r="W778" s="129"/>
      <c r="X778" s="129"/>
      <c r="Y778" s="129"/>
      <c r="Z778" s="129"/>
      <c r="AA778" s="129"/>
      <c r="AB778" s="129"/>
      <c r="AC778" s="129"/>
      <c r="AD778" s="129"/>
      <c r="AE778" s="129"/>
      <c r="AF778" s="129"/>
      <c r="AG778" s="129"/>
      <c r="AH778" s="129"/>
      <c r="AI778" s="129"/>
      <c r="AJ778" s="129"/>
      <c r="AK778" s="129"/>
      <c r="AL778" s="129"/>
      <c r="AM778" s="129"/>
      <c r="AN778" s="129"/>
      <c r="AO778" s="129"/>
      <c r="AP778" s="129"/>
      <c r="AQ778" s="129"/>
    </row>
    <row r="779" spans="1:43" ht="12.75" customHeight="1">
      <c r="A779" s="129"/>
      <c r="B779" s="129"/>
      <c r="C779" s="129"/>
      <c r="D779" s="129"/>
      <c r="E779" s="129"/>
      <c r="F779" s="129"/>
      <c r="G779" s="129"/>
      <c r="H779" s="129"/>
      <c r="I779" s="129"/>
      <c r="J779" s="129"/>
      <c r="K779" s="129"/>
      <c r="L779" s="129"/>
      <c r="M779" s="129"/>
      <c r="N779" s="129"/>
      <c r="O779" s="129"/>
      <c r="P779" s="129"/>
      <c r="Q779" s="129"/>
      <c r="R779" s="129"/>
      <c r="S779" s="129"/>
      <c r="T779" s="129"/>
      <c r="U779" s="129"/>
      <c r="V779" s="129"/>
      <c r="W779" s="129"/>
      <c r="X779" s="129"/>
      <c r="Y779" s="129"/>
      <c r="Z779" s="129"/>
      <c r="AA779" s="129"/>
      <c r="AB779" s="129"/>
      <c r="AC779" s="129"/>
      <c r="AD779" s="129"/>
      <c r="AE779" s="129"/>
      <c r="AF779" s="129"/>
      <c r="AG779" s="129"/>
      <c r="AH779" s="129"/>
      <c r="AI779" s="129"/>
      <c r="AJ779" s="129"/>
      <c r="AK779" s="129"/>
      <c r="AL779" s="129"/>
      <c r="AM779" s="129"/>
      <c r="AN779" s="129"/>
      <c r="AO779" s="129"/>
      <c r="AP779" s="129"/>
      <c r="AQ779" s="129"/>
    </row>
    <row r="780" spans="1:43" ht="12.75" customHeight="1">
      <c r="A780" s="129"/>
      <c r="B780" s="129"/>
      <c r="C780" s="129"/>
      <c r="D780" s="129"/>
      <c r="E780" s="129"/>
      <c r="F780" s="129"/>
      <c r="G780" s="129"/>
      <c r="H780" s="129"/>
      <c r="I780" s="129"/>
      <c r="J780" s="129"/>
      <c r="K780" s="129"/>
      <c r="L780" s="129"/>
      <c r="M780" s="129"/>
      <c r="N780" s="129"/>
      <c r="O780" s="129"/>
      <c r="P780" s="129"/>
      <c r="Q780" s="129"/>
      <c r="R780" s="129"/>
      <c r="S780" s="129"/>
      <c r="T780" s="129"/>
      <c r="U780" s="129"/>
      <c r="V780" s="129"/>
      <c r="W780" s="129"/>
      <c r="X780" s="129"/>
      <c r="Y780" s="129"/>
      <c r="Z780" s="129"/>
      <c r="AA780" s="129"/>
      <c r="AB780" s="129"/>
      <c r="AC780" s="129"/>
      <c r="AD780" s="129"/>
      <c r="AE780" s="129"/>
      <c r="AF780" s="129"/>
      <c r="AG780" s="129"/>
      <c r="AH780" s="129"/>
      <c r="AI780" s="129"/>
      <c r="AJ780" s="129"/>
      <c r="AK780" s="129"/>
      <c r="AL780" s="129"/>
      <c r="AM780" s="129"/>
      <c r="AN780" s="129"/>
      <c r="AO780" s="129"/>
      <c r="AP780" s="129"/>
      <c r="AQ780" s="129"/>
    </row>
    <row r="781" spans="1:43" ht="12.75" customHeight="1">
      <c r="A781" s="129"/>
      <c r="B781" s="129"/>
      <c r="C781" s="129"/>
      <c r="D781" s="129"/>
      <c r="E781" s="129"/>
      <c r="F781" s="129"/>
      <c r="G781" s="129"/>
      <c r="H781" s="129"/>
      <c r="I781" s="129"/>
      <c r="J781" s="129"/>
      <c r="K781" s="129"/>
      <c r="L781" s="129"/>
      <c r="M781" s="129"/>
      <c r="N781" s="129"/>
      <c r="O781" s="129"/>
      <c r="P781" s="129"/>
      <c r="Q781" s="129"/>
      <c r="R781" s="129"/>
      <c r="S781" s="129"/>
      <c r="T781" s="129"/>
      <c r="U781" s="129"/>
      <c r="V781" s="129"/>
      <c r="W781" s="129"/>
      <c r="X781" s="129"/>
      <c r="Y781" s="129"/>
      <c r="Z781" s="129"/>
      <c r="AA781" s="129"/>
      <c r="AB781" s="129"/>
      <c r="AC781" s="129"/>
      <c r="AD781" s="129"/>
      <c r="AE781" s="129"/>
      <c r="AF781" s="129"/>
      <c r="AG781" s="129"/>
      <c r="AH781" s="129"/>
      <c r="AI781" s="129"/>
      <c r="AJ781" s="129"/>
      <c r="AK781" s="129"/>
      <c r="AL781" s="129"/>
      <c r="AM781" s="129"/>
      <c r="AN781" s="129"/>
      <c r="AO781" s="129"/>
      <c r="AP781" s="129"/>
      <c r="AQ781" s="129"/>
    </row>
    <row r="782" spans="1:43" ht="12.75" customHeight="1">
      <c r="A782" s="129"/>
      <c r="B782" s="129"/>
      <c r="C782" s="129"/>
      <c r="D782" s="129"/>
      <c r="E782" s="129"/>
      <c r="F782" s="129"/>
      <c r="G782" s="129"/>
      <c r="H782" s="129"/>
      <c r="I782" s="129"/>
      <c r="J782" s="129"/>
      <c r="K782" s="129"/>
      <c r="L782" s="129"/>
      <c r="M782" s="129"/>
      <c r="N782" s="129"/>
      <c r="O782" s="129"/>
      <c r="P782" s="129"/>
      <c r="Q782" s="129"/>
      <c r="R782" s="129"/>
      <c r="S782" s="129"/>
      <c r="T782" s="129"/>
      <c r="U782" s="129"/>
      <c r="V782" s="129"/>
      <c r="W782" s="129"/>
      <c r="X782" s="129"/>
      <c r="Y782" s="129"/>
      <c r="Z782" s="129"/>
      <c r="AA782" s="129"/>
      <c r="AB782" s="129"/>
      <c r="AC782" s="129"/>
      <c r="AD782" s="129"/>
      <c r="AE782" s="129"/>
      <c r="AF782" s="129"/>
      <c r="AG782" s="129"/>
      <c r="AH782" s="129"/>
      <c r="AI782" s="129"/>
      <c r="AJ782" s="129"/>
      <c r="AK782" s="129"/>
      <c r="AL782" s="129"/>
      <c r="AM782" s="129"/>
      <c r="AN782" s="129"/>
      <c r="AO782" s="129"/>
      <c r="AP782" s="129"/>
      <c r="AQ782" s="129"/>
    </row>
    <row r="783" spans="1:43" ht="12.75" customHeight="1">
      <c r="A783" s="129"/>
      <c r="B783" s="129"/>
      <c r="C783" s="129"/>
      <c r="D783" s="129"/>
      <c r="E783" s="129"/>
      <c r="F783" s="129"/>
      <c r="G783" s="129"/>
      <c r="H783" s="129"/>
      <c r="I783" s="129"/>
      <c r="J783" s="129"/>
      <c r="K783" s="129"/>
      <c r="L783" s="129"/>
      <c r="M783" s="129"/>
      <c r="N783" s="129"/>
      <c r="O783" s="129"/>
      <c r="P783" s="129"/>
      <c r="Q783" s="129"/>
      <c r="R783" s="129"/>
      <c r="S783" s="129"/>
      <c r="T783" s="129"/>
      <c r="U783" s="129"/>
      <c r="V783" s="129"/>
      <c r="W783" s="129"/>
      <c r="X783" s="129"/>
      <c r="Y783" s="129"/>
      <c r="Z783" s="129"/>
      <c r="AA783" s="129"/>
      <c r="AB783" s="129"/>
      <c r="AC783" s="129"/>
      <c r="AD783" s="129"/>
      <c r="AE783" s="129"/>
      <c r="AF783" s="129"/>
      <c r="AG783" s="129"/>
      <c r="AH783" s="129"/>
      <c r="AI783" s="129"/>
      <c r="AJ783" s="129"/>
      <c r="AK783" s="129"/>
      <c r="AL783" s="129"/>
      <c r="AM783" s="129"/>
      <c r="AN783" s="129"/>
      <c r="AO783" s="129"/>
      <c r="AP783" s="129"/>
      <c r="AQ783" s="129"/>
    </row>
    <row r="784" spans="1:43" ht="12.75" customHeight="1">
      <c r="A784" s="129"/>
      <c r="B784" s="129"/>
      <c r="C784" s="129"/>
      <c r="D784" s="129"/>
      <c r="E784" s="129"/>
      <c r="F784" s="129"/>
      <c r="G784" s="129"/>
      <c r="H784" s="129"/>
      <c r="I784" s="129"/>
      <c r="J784" s="129"/>
      <c r="K784" s="129"/>
      <c r="L784" s="129"/>
      <c r="M784" s="129"/>
      <c r="N784" s="129"/>
      <c r="O784" s="129"/>
      <c r="P784" s="129"/>
      <c r="Q784" s="129"/>
      <c r="R784" s="129"/>
      <c r="S784" s="129"/>
      <c r="T784" s="129"/>
      <c r="U784" s="129"/>
      <c r="V784" s="129"/>
      <c r="W784" s="129"/>
      <c r="X784" s="129"/>
      <c r="Y784" s="129"/>
      <c r="Z784" s="129"/>
      <c r="AA784" s="129"/>
      <c r="AB784" s="129"/>
      <c r="AC784" s="129"/>
      <c r="AD784" s="129"/>
      <c r="AE784" s="129"/>
      <c r="AF784" s="129"/>
      <c r="AG784" s="129"/>
      <c r="AH784" s="129"/>
      <c r="AI784" s="129"/>
      <c r="AJ784" s="129"/>
      <c r="AK784" s="129"/>
      <c r="AL784" s="129"/>
      <c r="AM784" s="129"/>
      <c r="AN784" s="129"/>
      <c r="AO784" s="129"/>
      <c r="AP784" s="129"/>
      <c r="AQ784" s="129"/>
    </row>
    <row r="785" spans="1:43" ht="12.75" customHeight="1">
      <c r="A785" s="129"/>
      <c r="B785" s="129"/>
      <c r="C785" s="129"/>
      <c r="D785" s="129"/>
      <c r="E785" s="129"/>
      <c r="F785" s="129"/>
      <c r="G785" s="129"/>
      <c r="H785" s="129"/>
      <c r="I785" s="129"/>
      <c r="J785" s="129"/>
      <c r="K785" s="129"/>
      <c r="L785" s="129"/>
      <c r="M785" s="129"/>
      <c r="N785" s="129"/>
      <c r="O785" s="129"/>
      <c r="P785" s="129"/>
      <c r="Q785" s="129"/>
      <c r="R785" s="129"/>
      <c r="S785" s="129"/>
      <c r="T785" s="129"/>
      <c r="U785" s="129"/>
      <c r="V785" s="129"/>
      <c r="W785" s="129"/>
      <c r="X785" s="129"/>
      <c r="Y785" s="129"/>
      <c r="Z785" s="129"/>
      <c r="AA785" s="129"/>
      <c r="AB785" s="129"/>
      <c r="AC785" s="129"/>
      <c r="AD785" s="129"/>
      <c r="AE785" s="129"/>
      <c r="AF785" s="129"/>
      <c r="AG785" s="129"/>
      <c r="AH785" s="129"/>
      <c r="AI785" s="129"/>
      <c r="AJ785" s="129"/>
      <c r="AK785" s="129"/>
      <c r="AL785" s="129"/>
      <c r="AM785" s="129"/>
      <c r="AN785" s="129"/>
      <c r="AO785" s="129"/>
      <c r="AP785" s="129"/>
      <c r="AQ785" s="129"/>
    </row>
    <row r="786" spans="1:43" ht="12.75" customHeight="1">
      <c r="A786" s="129"/>
      <c r="B786" s="129"/>
      <c r="C786" s="129"/>
      <c r="D786" s="129"/>
      <c r="E786" s="129"/>
      <c r="F786" s="129"/>
      <c r="G786" s="129"/>
      <c r="H786" s="129"/>
      <c r="I786" s="129"/>
      <c r="J786" s="129"/>
      <c r="K786" s="129"/>
      <c r="L786" s="129"/>
      <c r="M786" s="129"/>
      <c r="N786" s="129"/>
      <c r="O786" s="129"/>
      <c r="P786" s="129"/>
      <c r="Q786" s="129"/>
      <c r="R786" s="129"/>
      <c r="S786" s="129"/>
      <c r="T786" s="129"/>
      <c r="U786" s="129"/>
      <c r="V786" s="129"/>
      <c r="W786" s="129"/>
      <c r="X786" s="129"/>
      <c r="Y786" s="129"/>
      <c r="Z786" s="129"/>
      <c r="AA786" s="129"/>
      <c r="AB786" s="129"/>
      <c r="AC786" s="129"/>
      <c r="AD786" s="129"/>
      <c r="AE786" s="129"/>
      <c r="AF786" s="129"/>
      <c r="AG786" s="129"/>
      <c r="AH786" s="129"/>
      <c r="AI786" s="129"/>
      <c r="AJ786" s="129"/>
      <c r="AK786" s="129"/>
      <c r="AL786" s="129"/>
      <c r="AM786" s="129"/>
      <c r="AN786" s="129"/>
      <c r="AO786" s="129"/>
      <c r="AP786" s="129"/>
      <c r="AQ786" s="129"/>
    </row>
    <row r="787" spans="1:43" ht="12.75" customHeight="1">
      <c r="A787" s="129"/>
      <c r="B787" s="129"/>
      <c r="C787" s="129"/>
      <c r="D787" s="129"/>
      <c r="E787" s="129"/>
      <c r="F787" s="129"/>
      <c r="G787" s="129"/>
      <c r="H787" s="129"/>
      <c r="I787" s="129"/>
      <c r="J787" s="129"/>
      <c r="K787" s="129"/>
      <c r="L787" s="129"/>
      <c r="M787" s="129"/>
      <c r="N787" s="129"/>
      <c r="O787" s="129"/>
      <c r="P787" s="129"/>
      <c r="Q787" s="129"/>
      <c r="R787" s="129"/>
      <c r="S787" s="129"/>
      <c r="T787" s="129"/>
      <c r="U787" s="129"/>
      <c r="V787" s="129"/>
      <c r="W787" s="129"/>
      <c r="X787" s="129"/>
      <c r="Y787" s="129"/>
      <c r="Z787" s="129"/>
      <c r="AA787" s="129"/>
      <c r="AB787" s="129"/>
      <c r="AC787" s="129"/>
      <c r="AD787" s="129"/>
      <c r="AE787" s="129"/>
      <c r="AF787" s="129"/>
      <c r="AG787" s="129"/>
      <c r="AH787" s="129"/>
      <c r="AI787" s="129"/>
      <c r="AJ787" s="129"/>
      <c r="AK787" s="129"/>
      <c r="AL787" s="129"/>
      <c r="AM787" s="129"/>
      <c r="AN787" s="129"/>
      <c r="AO787" s="129"/>
      <c r="AP787" s="129"/>
      <c r="AQ787" s="129"/>
    </row>
    <row r="788" spans="1:43" ht="12.75" customHeight="1">
      <c r="A788" s="129"/>
      <c r="B788" s="129"/>
      <c r="C788" s="129"/>
      <c r="D788" s="129"/>
      <c r="E788" s="129"/>
      <c r="F788" s="129"/>
      <c r="G788" s="129"/>
      <c r="H788" s="129"/>
      <c r="I788" s="129"/>
      <c r="J788" s="129"/>
      <c r="K788" s="129"/>
      <c r="L788" s="129"/>
      <c r="M788" s="129"/>
      <c r="N788" s="129"/>
      <c r="O788" s="129"/>
      <c r="P788" s="129"/>
      <c r="Q788" s="129"/>
      <c r="R788" s="129"/>
      <c r="S788" s="129"/>
      <c r="T788" s="129"/>
      <c r="U788" s="129"/>
      <c r="V788" s="129"/>
      <c r="W788" s="129"/>
      <c r="X788" s="129"/>
      <c r="Y788" s="129"/>
      <c r="Z788" s="129"/>
      <c r="AA788" s="129"/>
      <c r="AB788" s="129"/>
      <c r="AC788" s="129"/>
      <c r="AD788" s="129"/>
      <c r="AE788" s="129"/>
      <c r="AF788" s="129"/>
      <c r="AG788" s="129"/>
      <c r="AH788" s="129"/>
      <c r="AI788" s="129"/>
      <c r="AJ788" s="129"/>
      <c r="AK788" s="129"/>
      <c r="AL788" s="129"/>
      <c r="AM788" s="129"/>
      <c r="AN788" s="129"/>
      <c r="AO788" s="129"/>
      <c r="AP788" s="129"/>
      <c r="AQ788" s="129"/>
    </row>
    <row r="789" spans="1:43" ht="12.75" customHeight="1">
      <c r="A789" s="129"/>
      <c r="B789" s="129"/>
      <c r="C789" s="129"/>
      <c r="D789" s="129"/>
      <c r="E789" s="129"/>
      <c r="F789" s="129"/>
      <c r="G789" s="129"/>
      <c r="H789" s="129"/>
      <c r="I789" s="129"/>
      <c r="J789" s="129"/>
      <c r="K789" s="129"/>
      <c r="L789" s="129"/>
      <c r="M789" s="129"/>
      <c r="N789" s="129"/>
      <c r="O789" s="129"/>
      <c r="P789" s="129"/>
      <c r="Q789" s="129"/>
      <c r="R789" s="129"/>
      <c r="S789" s="129"/>
      <c r="T789" s="129"/>
      <c r="U789" s="129"/>
      <c r="V789" s="129"/>
      <c r="W789" s="129"/>
      <c r="X789" s="129"/>
      <c r="Y789" s="129"/>
      <c r="Z789" s="129"/>
      <c r="AA789" s="129"/>
      <c r="AB789" s="129"/>
      <c r="AC789" s="129"/>
      <c r="AD789" s="129"/>
      <c r="AE789" s="129"/>
      <c r="AF789" s="129"/>
      <c r="AG789" s="129"/>
      <c r="AH789" s="129"/>
      <c r="AI789" s="129"/>
      <c r="AJ789" s="129"/>
      <c r="AK789" s="129"/>
      <c r="AL789" s="129"/>
      <c r="AM789" s="129"/>
      <c r="AN789" s="129"/>
      <c r="AO789" s="129"/>
      <c r="AP789" s="129"/>
      <c r="AQ789" s="129"/>
    </row>
    <row r="790" spans="1:43" ht="12.75" customHeight="1">
      <c r="A790" s="129"/>
      <c r="B790" s="129"/>
      <c r="C790" s="129"/>
      <c r="D790" s="129"/>
      <c r="E790" s="129"/>
      <c r="F790" s="129"/>
      <c r="G790" s="129"/>
      <c r="H790" s="129"/>
      <c r="I790" s="129"/>
      <c r="J790" s="129"/>
      <c r="K790" s="129"/>
      <c r="L790" s="129"/>
      <c r="M790" s="129"/>
      <c r="N790" s="129"/>
      <c r="O790" s="129"/>
      <c r="P790" s="129"/>
      <c r="Q790" s="129"/>
      <c r="R790" s="129"/>
      <c r="S790" s="129"/>
      <c r="T790" s="129"/>
      <c r="U790" s="129"/>
      <c r="V790" s="129"/>
      <c r="W790" s="129"/>
      <c r="X790" s="129"/>
      <c r="Y790" s="129"/>
      <c r="Z790" s="129"/>
      <c r="AA790" s="129"/>
      <c r="AB790" s="129"/>
      <c r="AC790" s="129"/>
      <c r="AD790" s="129"/>
      <c r="AE790" s="129"/>
      <c r="AF790" s="129"/>
      <c r="AG790" s="129"/>
      <c r="AH790" s="129"/>
      <c r="AI790" s="129"/>
      <c r="AJ790" s="129"/>
      <c r="AK790" s="129"/>
      <c r="AL790" s="129"/>
      <c r="AM790" s="129"/>
      <c r="AN790" s="129"/>
      <c r="AO790" s="129"/>
      <c r="AP790" s="129"/>
      <c r="AQ790" s="129"/>
    </row>
    <row r="791" spans="1:43" ht="12.75" customHeight="1">
      <c r="A791" s="129"/>
      <c r="B791" s="129"/>
      <c r="C791" s="129"/>
      <c r="D791" s="129"/>
      <c r="E791" s="129"/>
      <c r="F791" s="129"/>
      <c r="G791" s="129"/>
      <c r="H791" s="129"/>
      <c r="I791" s="129"/>
      <c r="J791" s="129"/>
      <c r="K791" s="129"/>
      <c r="L791" s="129"/>
      <c r="M791" s="129"/>
      <c r="N791" s="129"/>
      <c r="O791" s="129"/>
      <c r="P791" s="129"/>
      <c r="Q791" s="129"/>
      <c r="R791" s="129"/>
      <c r="S791" s="129"/>
      <c r="T791" s="129"/>
      <c r="U791" s="129"/>
      <c r="V791" s="129"/>
      <c r="W791" s="129"/>
      <c r="X791" s="129"/>
      <c r="Y791" s="129"/>
      <c r="Z791" s="129"/>
      <c r="AA791" s="129"/>
      <c r="AB791" s="129"/>
      <c r="AC791" s="129"/>
      <c r="AD791" s="129"/>
      <c r="AE791" s="129"/>
      <c r="AF791" s="129"/>
      <c r="AG791" s="129"/>
      <c r="AH791" s="129"/>
      <c r="AI791" s="129"/>
      <c r="AJ791" s="129"/>
      <c r="AK791" s="129"/>
      <c r="AL791" s="129"/>
      <c r="AM791" s="129"/>
      <c r="AN791" s="129"/>
      <c r="AO791" s="129"/>
      <c r="AP791" s="129"/>
      <c r="AQ791" s="129"/>
    </row>
    <row r="792" spans="1:43" ht="12.75" customHeight="1">
      <c r="A792" s="129"/>
      <c r="B792" s="129"/>
      <c r="C792" s="129"/>
      <c r="D792" s="129"/>
      <c r="E792" s="129"/>
      <c r="F792" s="129"/>
      <c r="G792" s="129"/>
      <c r="H792" s="129"/>
      <c r="I792" s="129"/>
      <c r="J792" s="129"/>
      <c r="K792" s="129"/>
      <c r="L792" s="129"/>
      <c r="M792" s="129"/>
      <c r="N792" s="129"/>
      <c r="O792" s="129"/>
      <c r="P792" s="129"/>
      <c r="Q792" s="129"/>
      <c r="R792" s="129"/>
      <c r="S792" s="129"/>
      <c r="T792" s="129"/>
      <c r="U792" s="129"/>
      <c r="V792" s="129"/>
      <c r="W792" s="129"/>
      <c r="X792" s="129"/>
      <c r="Y792" s="129"/>
      <c r="Z792" s="129"/>
      <c r="AA792" s="129"/>
      <c r="AB792" s="129"/>
      <c r="AC792" s="129"/>
      <c r="AD792" s="129"/>
      <c r="AE792" s="129"/>
      <c r="AF792" s="129"/>
      <c r="AG792" s="129"/>
      <c r="AH792" s="129"/>
      <c r="AI792" s="129"/>
      <c r="AJ792" s="129"/>
      <c r="AK792" s="129"/>
      <c r="AL792" s="129"/>
      <c r="AM792" s="129"/>
      <c r="AN792" s="129"/>
      <c r="AO792" s="129"/>
      <c r="AP792" s="129"/>
      <c r="AQ792" s="129"/>
    </row>
    <row r="793" spans="1:43" ht="12.75" customHeight="1">
      <c r="A793" s="129"/>
      <c r="B793" s="129"/>
      <c r="C793" s="129"/>
      <c r="D793" s="129"/>
      <c r="E793" s="129"/>
      <c r="F793" s="129"/>
      <c r="G793" s="129"/>
      <c r="H793" s="129"/>
      <c r="I793" s="129"/>
      <c r="J793" s="129"/>
      <c r="K793" s="129"/>
      <c r="L793" s="129"/>
      <c r="M793" s="129"/>
      <c r="N793" s="129"/>
      <c r="O793" s="129"/>
      <c r="P793" s="129"/>
      <c r="Q793" s="129"/>
      <c r="R793" s="129"/>
      <c r="S793" s="129"/>
      <c r="T793" s="129"/>
      <c r="U793" s="129"/>
      <c r="V793" s="129"/>
      <c r="W793" s="129"/>
      <c r="X793" s="129"/>
      <c r="Y793" s="129"/>
      <c r="Z793" s="129"/>
      <c r="AA793" s="129"/>
      <c r="AB793" s="129"/>
      <c r="AC793" s="129"/>
      <c r="AD793" s="129"/>
      <c r="AE793" s="129"/>
      <c r="AF793" s="129"/>
      <c r="AG793" s="129"/>
      <c r="AH793" s="129"/>
      <c r="AI793" s="129"/>
      <c r="AJ793" s="129"/>
      <c r="AK793" s="129"/>
      <c r="AL793" s="129"/>
      <c r="AM793" s="129"/>
      <c r="AN793" s="129"/>
      <c r="AO793" s="129"/>
      <c r="AP793" s="129"/>
      <c r="AQ793" s="129"/>
    </row>
    <row r="794" spans="1:43" ht="12.75" customHeight="1">
      <c r="A794" s="129"/>
      <c r="B794" s="129"/>
      <c r="C794" s="129"/>
      <c r="D794" s="129"/>
      <c r="E794" s="129"/>
      <c r="F794" s="129"/>
      <c r="G794" s="129"/>
      <c r="H794" s="129"/>
      <c r="I794" s="129"/>
      <c r="J794" s="129"/>
      <c r="K794" s="129"/>
      <c r="L794" s="129"/>
      <c r="M794" s="129"/>
      <c r="N794" s="129"/>
      <c r="O794" s="129"/>
      <c r="P794" s="129"/>
      <c r="Q794" s="129"/>
      <c r="R794" s="129"/>
      <c r="S794" s="129"/>
      <c r="T794" s="129"/>
      <c r="U794" s="129"/>
      <c r="V794" s="129"/>
      <c r="W794" s="129"/>
      <c r="X794" s="129"/>
      <c r="Y794" s="129"/>
      <c r="Z794" s="129"/>
      <c r="AA794" s="129"/>
      <c r="AB794" s="129"/>
      <c r="AC794" s="129"/>
      <c r="AD794" s="129"/>
      <c r="AE794" s="129"/>
      <c r="AF794" s="129"/>
      <c r="AG794" s="129"/>
      <c r="AH794" s="129"/>
      <c r="AI794" s="129"/>
      <c r="AJ794" s="129"/>
      <c r="AK794" s="129"/>
      <c r="AL794" s="129"/>
      <c r="AM794" s="129"/>
      <c r="AN794" s="129"/>
      <c r="AO794" s="129"/>
      <c r="AP794" s="129"/>
      <c r="AQ794" s="129"/>
    </row>
    <row r="795" spans="1:43" ht="12.75" customHeight="1">
      <c r="A795" s="129"/>
      <c r="B795" s="129"/>
      <c r="C795" s="129"/>
      <c r="D795" s="129"/>
      <c r="E795" s="129"/>
      <c r="F795" s="129"/>
      <c r="G795" s="129"/>
      <c r="H795" s="129"/>
      <c r="I795" s="129"/>
      <c r="J795" s="129"/>
      <c r="K795" s="129"/>
      <c r="L795" s="129"/>
      <c r="M795" s="129"/>
      <c r="N795" s="129"/>
      <c r="O795" s="129"/>
      <c r="P795" s="129"/>
      <c r="Q795" s="129"/>
      <c r="R795" s="129"/>
      <c r="S795" s="129"/>
      <c r="T795" s="129"/>
      <c r="U795" s="129"/>
      <c r="V795" s="129"/>
      <c r="W795" s="129"/>
      <c r="X795" s="129"/>
      <c r="Y795" s="129"/>
      <c r="Z795" s="129"/>
      <c r="AA795" s="129"/>
      <c r="AB795" s="129"/>
      <c r="AC795" s="129"/>
      <c r="AD795" s="129"/>
      <c r="AE795" s="129"/>
      <c r="AF795" s="129"/>
      <c r="AG795" s="129"/>
      <c r="AH795" s="129"/>
      <c r="AI795" s="129"/>
      <c r="AJ795" s="129"/>
      <c r="AK795" s="129"/>
      <c r="AL795" s="129"/>
      <c r="AM795" s="129"/>
      <c r="AN795" s="129"/>
      <c r="AO795" s="129"/>
      <c r="AP795" s="129"/>
      <c r="AQ795" s="129"/>
    </row>
    <row r="796" spans="1:43" ht="12.75" customHeight="1">
      <c r="A796" s="129"/>
      <c r="B796" s="129"/>
      <c r="C796" s="129"/>
      <c r="D796" s="129"/>
      <c r="E796" s="129"/>
      <c r="F796" s="129"/>
      <c r="G796" s="129"/>
      <c r="H796" s="129"/>
      <c r="I796" s="129"/>
      <c r="J796" s="129"/>
      <c r="K796" s="129"/>
      <c r="L796" s="129"/>
      <c r="M796" s="129"/>
      <c r="N796" s="129"/>
      <c r="O796" s="129"/>
      <c r="P796" s="129"/>
      <c r="Q796" s="129"/>
      <c r="R796" s="129"/>
      <c r="S796" s="129"/>
      <c r="T796" s="129"/>
      <c r="U796" s="129"/>
      <c r="V796" s="129"/>
      <c r="W796" s="129"/>
      <c r="X796" s="129"/>
      <c r="Y796" s="129"/>
      <c r="Z796" s="129"/>
      <c r="AA796" s="129"/>
      <c r="AB796" s="129"/>
      <c r="AC796" s="129"/>
      <c r="AD796" s="129"/>
      <c r="AE796" s="129"/>
      <c r="AF796" s="129"/>
      <c r="AG796" s="129"/>
      <c r="AH796" s="129"/>
      <c r="AI796" s="129"/>
      <c r="AJ796" s="129"/>
      <c r="AK796" s="129"/>
      <c r="AL796" s="129"/>
      <c r="AM796" s="129"/>
      <c r="AN796" s="129"/>
      <c r="AO796" s="129"/>
      <c r="AP796" s="129"/>
      <c r="AQ796" s="129"/>
    </row>
    <row r="797" spans="1:43" ht="12.75" customHeight="1">
      <c r="A797" s="129"/>
      <c r="B797" s="129"/>
      <c r="C797" s="129"/>
      <c r="D797" s="129"/>
      <c r="E797" s="129"/>
      <c r="F797" s="129"/>
      <c r="G797" s="129"/>
      <c r="H797" s="129"/>
      <c r="I797" s="129"/>
      <c r="J797" s="129"/>
      <c r="K797" s="129"/>
      <c r="L797" s="129"/>
      <c r="M797" s="129"/>
      <c r="N797" s="129"/>
      <c r="O797" s="129"/>
      <c r="P797" s="129"/>
      <c r="Q797" s="129"/>
      <c r="R797" s="129"/>
      <c r="S797" s="129"/>
      <c r="T797" s="129"/>
      <c r="U797" s="129"/>
      <c r="V797" s="129"/>
      <c r="W797" s="129"/>
      <c r="X797" s="129"/>
      <c r="Y797" s="129"/>
      <c r="Z797" s="129"/>
      <c r="AA797" s="129"/>
      <c r="AB797" s="129"/>
      <c r="AC797" s="129"/>
      <c r="AD797" s="129"/>
      <c r="AE797" s="129"/>
      <c r="AF797" s="129"/>
      <c r="AG797" s="129"/>
      <c r="AH797" s="129"/>
      <c r="AI797" s="129"/>
      <c r="AJ797" s="129"/>
      <c r="AK797" s="129"/>
      <c r="AL797" s="129"/>
      <c r="AM797" s="129"/>
      <c r="AN797" s="129"/>
      <c r="AO797" s="129"/>
      <c r="AP797" s="129"/>
      <c r="AQ797" s="129"/>
    </row>
    <row r="798" spans="1:43" ht="12.75" customHeight="1">
      <c r="A798" s="129"/>
      <c r="B798" s="129"/>
      <c r="C798" s="129"/>
      <c r="D798" s="129"/>
      <c r="E798" s="129"/>
      <c r="F798" s="129"/>
      <c r="G798" s="129"/>
      <c r="H798" s="129"/>
      <c r="I798" s="129"/>
      <c r="J798" s="129"/>
      <c r="K798" s="129"/>
      <c r="L798" s="129"/>
      <c r="M798" s="129"/>
      <c r="N798" s="129"/>
      <c r="O798" s="129"/>
      <c r="P798" s="129"/>
      <c r="Q798" s="129"/>
      <c r="R798" s="129"/>
      <c r="S798" s="129"/>
      <c r="T798" s="129"/>
      <c r="U798" s="129"/>
      <c r="V798" s="129"/>
      <c r="W798" s="129"/>
      <c r="X798" s="129"/>
      <c r="Y798" s="129"/>
      <c r="Z798" s="129"/>
      <c r="AA798" s="129"/>
      <c r="AB798" s="129"/>
      <c r="AC798" s="129"/>
      <c r="AD798" s="129"/>
      <c r="AE798" s="129"/>
      <c r="AF798" s="129"/>
      <c r="AG798" s="129"/>
      <c r="AH798" s="129"/>
      <c r="AI798" s="129"/>
      <c r="AJ798" s="129"/>
      <c r="AK798" s="129"/>
      <c r="AL798" s="129"/>
      <c r="AM798" s="129"/>
      <c r="AN798" s="129"/>
      <c r="AO798" s="129"/>
      <c r="AP798" s="129"/>
      <c r="AQ798" s="129"/>
    </row>
    <row r="799" spans="1:43" ht="12.75" customHeight="1">
      <c r="A799" s="129"/>
      <c r="B799" s="129"/>
      <c r="C799" s="129"/>
      <c r="D799" s="129"/>
      <c r="E799" s="129"/>
      <c r="F799" s="129"/>
      <c r="G799" s="129"/>
      <c r="H799" s="129"/>
      <c r="I799" s="129"/>
      <c r="J799" s="129"/>
      <c r="K799" s="129"/>
      <c r="L799" s="129"/>
      <c r="M799" s="129"/>
      <c r="N799" s="129"/>
      <c r="O799" s="129"/>
      <c r="P799" s="129"/>
      <c r="Q799" s="129"/>
      <c r="R799" s="129"/>
      <c r="S799" s="129"/>
      <c r="T799" s="129"/>
      <c r="U799" s="129"/>
      <c r="V799" s="129"/>
      <c r="W799" s="129"/>
      <c r="X799" s="129"/>
      <c r="Y799" s="129"/>
      <c r="Z799" s="129"/>
      <c r="AA799" s="129"/>
      <c r="AB799" s="129"/>
      <c r="AC799" s="129"/>
      <c r="AD799" s="129"/>
      <c r="AE799" s="129"/>
      <c r="AF799" s="129"/>
      <c r="AG799" s="129"/>
      <c r="AH799" s="129"/>
      <c r="AI799" s="129"/>
      <c r="AJ799" s="129"/>
      <c r="AK799" s="129"/>
      <c r="AL799" s="129"/>
      <c r="AM799" s="129"/>
      <c r="AN799" s="129"/>
      <c r="AO799" s="129"/>
      <c r="AP799" s="129"/>
      <c r="AQ799" s="129"/>
    </row>
    <row r="800" spans="1:43" ht="12.75" customHeight="1">
      <c r="A800" s="129"/>
      <c r="B800" s="129"/>
      <c r="C800" s="129"/>
      <c r="D800" s="129"/>
      <c r="E800" s="129"/>
      <c r="F800" s="129"/>
      <c r="G800" s="129"/>
      <c r="H800" s="129"/>
      <c r="I800" s="129"/>
      <c r="J800" s="129"/>
      <c r="K800" s="129"/>
      <c r="L800" s="129"/>
      <c r="M800" s="129"/>
      <c r="N800" s="129"/>
      <c r="O800" s="129"/>
      <c r="P800" s="129"/>
      <c r="Q800" s="129"/>
      <c r="R800" s="129"/>
      <c r="S800" s="129"/>
      <c r="T800" s="129"/>
      <c r="U800" s="129"/>
      <c r="V800" s="129"/>
      <c r="W800" s="129"/>
      <c r="X800" s="129"/>
      <c r="Y800" s="129"/>
      <c r="Z800" s="129"/>
      <c r="AA800" s="129"/>
      <c r="AB800" s="129"/>
      <c r="AC800" s="129"/>
      <c r="AD800" s="129"/>
      <c r="AE800" s="129"/>
      <c r="AF800" s="129"/>
      <c r="AG800" s="129"/>
      <c r="AH800" s="129"/>
      <c r="AI800" s="129"/>
      <c r="AJ800" s="129"/>
      <c r="AK800" s="129"/>
      <c r="AL800" s="129"/>
      <c r="AM800" s="129"/>
      <c r="AN800" s="129"/>
      <c r="AO800" s="129"/>
      <c r="AP800" s="129"/>
      <c r="AQ800" s="129"/>
    </row>
    <row r="801" spans="1:43" ht="12.75" customHeight="1">
      <c r="A801" s="129"/>
      <c r="B801" s="129"/>
      <c r="C801" s="129"/>
      <c r="D801" s="129"/>
      <c r="E801" s="129"/>
      <c r="F801" s="129"/>
      <c r="G801" s="129"/>
      <c r="H801" s="129"/>
      <c r="I801" s="129"/>
      <c r="J801" s="129"/>
      <c r="K801" s="129"/>
      <c r="L801" s="129"/>
      <c r="M801" s="129"/>
      <c r="N801" s="129"/>
      <c r="O801" s="129"/>
      <c r="P801" s="129"/>
      <c r="Q801" s="129"/>
      <c r="R801" s="129"/>
      <c r="S801" s="129"/>
      <c r="T801" s="129"/>
      <c r="U801" s="129"/>
      <c r="V801" s="129"/>
      <c r="W801" s="129"/>
      <c r="X801" s="129"/>
      <c r="Y801" s="129"/>
      <c r="Z801" s="129"/>
      <c r="AA801" s="129"/>
      <c r="AB801" s="129"/>
      <c r="AC801" s="129"/>
      <c r="AD801" s="129"/>
      <c r="AE801" s="129"/>
      <c r="AF801" s="129"/>
      <c r="AG801" s="129"/>
      <c r="AH801" s="129"/>
      <c r="AI801" s="129"/>
      <c r="AJ801" s="129"/>
      <c r="AK801" s="129"/>
      <c r="AL801" s="129"/>
      <c r="AM801" s="129"/>
      <c r="AN801" s="129"/>
      <c r="AO801" s="129"/>
      <c r="AP801" s="129"/>
      <c r="AQ801" s="129"/>
    </row>
    <row r="802" spans="1:43" ht="12.75" customHeight="1">
      <c r="A802" s="129"/>
      <c r="B802" s="129"/>
      <c r="C802" s="129"/>
      <c r="D802" s="129"/>
      <c r="E802" s="129"/>
      <c r="F802" s="129"/>
      <c r="G802" s="129"/>
      <c r="H802" s="129"/>
      <c r="I802" s="129"/>
      <c r="J802" s="129"/>
      <c r="K802" s="129"/>
      <c r="L802" s="129"/>
      <c r="M802" s="129"/>
      <c r="N802" s="129"/>
      <c r="O802" s="129"/>
      <c r="P802" s="129"/>
      <c r="Q802" s="129"/>
      <c r="R802" s="129"/>
      <c r="S802" s="129"/>
      <c r="T802" s="129"/>
      <c r="U802" s="129"/>
      <c r="V802" s="129"/>
      <c r="W802" s="129"/>
      <c r="X802" s="129"/>
      <c r="Y802" s="129"/>
      <c r="Z802" s="129"/>
      <c r="AA802" s="129"/>
      <c r="AB802" s="129"/>
      <c r="AC802" s="129"/>
      <c r="AD802" s="129"/>
      <c r="AE802" s="129"/>
      <c r="AF802" s="129"/>
      <c r="AG802" s="129"/>
      <c r="AH802" s="129"/>
      <c r="AI802" s="129"/>
      <c r="AJ802" s="129"/>
      <c r="AK802" s="129"/>
      <c r="AL802" s="129"/>
      <c r="AM802" s="129"/>
      <c r="AN802" s="129"/>
      <c r="AO802" s="129"/>
      <c r="AP802" s="129"/>
      <c r="AQ802" s="129"/>
    </row>
    <row r="803" spans="1:43" ht="12.75" customHeight="1">
      <c r="A803" s="129"/>
      <c r="B803" s="129"/>
      <c r="C803" s="129"/>
      <c r="D803" s="129"/>
      <c r="E803" s="129"/>
      <c r="F803" s="129"/>
      <c r="G803" s="129"/>
      <c r="H803" s="129"/>
      <c r="I803" s="129"/>
      <c r="J803" s="129"/>
      <c r="K803" s="129"/>
      <c r="L803" s="129"/>
      <c r="M803" s="129"/>
      <c r="N803" s="129"/>
      <c r="O803" s="129"/>
      <c r="P803" s="129"/>
      <c r="Q803" s="129"/>
      <c r="R803" s="129"/>
      <c r="S803" s="129"/>
      <c r="T803" s="129"/>
      <c r="U803" s="129"/>
      <c r="V803" s="129"/>
      <c r="W803" s="129"/>
      <c r="X803" s="129"/>
      <c r="Y803" s="129"/>
      <c r="Z803" s="129"/>
      <c r="AA803" s="129"/>
      <c r="AB803" s="129"/>
      <c r="AC803" s="129"/>
      <c r="AD803" s="129"/>
      <c r="AE803" s="129"/>
      <c r="AF803" s="129"/>
      <c r="AG803" s="129"/>
      <c r="AH803" s="129"/>
      <c r="AI803" s="129"/>
      <c r="AJ803" s="129"/>
      <c r="AK803" s="129"/>
      <c r="AL803" s="129"/>
      <c r="AM803" s="129"/>
      <c r="AN803" s="129"/>
      <c r="AO803" s="129"/>
      <c r="AP803" s="129"/>
      <c r="AQ803" s="129"/>
    </row>
    <row r="804" spans="1:43" ht="12.75" customHeight="1">
      <c r="A804" s="129"/>
      <c r="B804" s="129"/>
      <c r="C804" s="129"/>
      <c r="D804" s="129"/>
      <c r="E804" s="129"/>
      <c r="F804" s="129"/>
      <c r="G804" s="129"/>
      <c r="H804" s="129"/>
      <c r="I804" s="129"/>
      <c r="J804" s="129"/>
      <c r="K804" s="129"/>
      <c r="L804" s="129"/>
      <c r="M804" s="129"/>
      <c r="N804" s="129"/>
      <c r="O804" s="129"/>
      <c r="P804" s="129"/>
      <c r="Q804" s="129"/>
      <c r="R804" s="129"/>
      <c r="S804" s="129"/>
      <c r="T804" s="129"/>
      <c r="U804" s="129"/>
      <c r="V804" s="129"/>
      <c r="W804" s="129"/>
      <c r="X804" s="129"/>
      <c r="Y804" s="129"/>
      <c r="Z804" s="129"/>
      <c r="AA804" s="129"/>
      <c r="AB804" s="129"/>
      <c r="AC804" s="129"/>
      <c r="AD804" s="129"/>
      <c r="AE804" s="129"/>
      <c r="AF804" s="129"/>
      <c r="AG804" s="129"/>
      <c r="AH804" s="129"/>
      <c r="AI804" s="129"/>
      <c r="AJ804" s="129"/>
      <c r="AK804" s="129"/>
      <c r="AL804" s="129"/>
      <c r="AM804" s="129"/>
      <c r="AN804" s="129"/>
      <c r="AO804" s="129"/>
      <c r="AP804" s="129"/>
      <c r="AQ804" s="129"/>
    </row>
    <row r="805" spans="1:43" ht="12.75" customHeight="1">
      <c r="A805" s="129"/>
      <c r="B805" s="129"/>
      <c r="C805" s="129"/>
      <c r="D805" s="129"/>
      <c r="E805" s="129"/>
      <c r="F805" s="129"/>
      <c r="G805" s="129"/>
      <c r="H805" s="129"/>
      <c r="I805" s="129"/>
      <c r="J805" s="129"/>
      <c r="K805" s="129"/>
      <c r="L805" s="129"/>
      <c r="M805" s="129"/>
      <c r="N805" s="129"/>
      <c r="O805" s="129"/>
      <c r="P805" s="129"/>
      <c r="Q805" s="129"/>
      <c r="R805" s="129"/>
      <c r="S805" s="129"/>
      <c r="T805" s="129"/>
      <c r="U805" s="129"/>
      <c r="V805" s="129"/>
      <c r="W805" s="129"/>
      <c r="X805" s="129"/>
      <c r="Y805" s="129"/>
      <c r="Z805" s="129"/>
      <c r="AA805" s="129"/>
      <c r="AB805" s="129"/>
      <c r="AC805" s="129"/>
      <c r="AD805" s="129"/>
      <c r="AE805" s="129"/>
      <c r="AF805" s="129"/>
      <c r="AG805" s="129"/>
      <c r="AH805" s="129"/>
      <c r="AI805" s="129"/>
      <c r="AJ805" s="129"/>
      <c r="AK805" s="129"/>
      <c r="AL805" s="129"/>
      <c r="AM805" s="129"/>
      <c r="AN805" s="129"/>
      <c r="AO805" s="129"/>
      <c r="AP805" s="129"/>
      <c r="AQ805" s="129"/>
    </row>
    <row r="806" spans="1:43" ht="12.75" customHeight="1">
      <c r="A806" s="129"/>
      <c r="B806" s="129"/>
      <c r="C806" s="129"/>
      <c r="D806" s="129"/>
      <c r="E806" s="129"/>
      <c r="F806" s="129"/>
      <c r="G806" s="129"/>
      <c r="H806" s="129"/>
      <c r="I806" s="129"/>
      <c r="J806" s="129"/>
      <c r="K806" s="129"/>
      <c r="L806" s="129"/>
      <c r="M806" s="129"/>
      <c r="N806" s="129"/>
      <c r="O806" s="129"/>
      <c r="P806" s="129"/>
      <c r="Q806" s="129"/>
      <c r="R806" s="129"/>
      <c r="S806" s="129"/>
      <c r="T806" s="129"/>
      <c r="U806" s="129"/>
      <c r="V806" s="129"/>
      <c r="W806" s="129"/>
      <c r="X806" s="129"/>
      <c r="Y806" s="129"/>
      <c r="Z806" s="129"/>
      <c r="AA806" s="129"/>
      <c r="AB806" s="129"/>
      <c r="AC806" s="129"/>
      <c r="AD806" s="129"/>
      <c r="AE806" s="129"/>
      <c r="AF806" s="129"/>
      <c r="AG806" s="129"/>
      <c r="AH806" s="129"/>
      <c r="AI806" s="129"/>
      <c r="AJ806" s="129"/>
      <c r="AK806" s="129"/>
      <c r="AL806" s="129"/>
      <c r="AM806" s="129"/>
      <c r="AN806" s="129"/>
      <c r="AO806" s="129"/>
      <c r="AP806" s="129"/>
      <c r="AQ806" s="129"/>
    </row>
    <row r="807" spans="1:43" ht="12.75" customHeight="1">
      <c r="A807" s="129"/>
      <c r="B807" s="129"/>
      <c r="C807" s="129"/>
      <c r="D807" s="129"/>
      <c r="E807" s="129"/>
      <c r="F807" s="129"/>
      <c r="G807" s="129"/>
      <c r="H807" s="129"/>
      <c r="I807" s="129"/>
      <c r="J807" s="129"/>
      <c r="K807" s="129"/>
      <c r="L807" s="129"/>
      <c r="M807" s="129"/>
      <c r="N807" s="129"/>
      <c r="O807" s="129"/>
      <c r="P807" s="129"/>
      <c r="Q807" s="129"/>
      <c r="R807" s="129"/>
      <c r="S807" s="129"/>
      <c r="T807" s="129"/>
      <c r="U807" s="129"/>
      <c r="V807" s="129"/>
      <c r="W807" s="129"/>
      <c r="X807" s="129"/>
      <c r="Y807" s="129"/>
      <c r="Z807" s="129"/>
      <c r="AA807" s="129"/>
      <c r="AB807" s="129"/>
      <c r="AC807" s="129"/>
      <c r="AD807" s="129"/>
      <c r="AE807" s="129"/>
      <c r="AF807" s="129"/>
      <c r="AG807" s="129"/>
      <c r="AH807" s="129"/>
      <c r="AI807" s="129"/>
      <c r="AJ807" s="129"/>
      <c r="AK807" s="129"/>
      <c r="AL807" s="129"/>
      <c r="AM807" s="129"/>
      <c r="AN807" s="129"/>
      <c r="AO807" s="129"/>
      <c r="AP807" s="129"/>
      <c r="AQ807" s="129"/>
    </row>
    <row r="808" spans="1:43" ht="12.75" customHeight="1">
      <c r="A808" s="129"/>
      <c r="B808" s="129"/>
      <c r="C808" s="129"/>
      <c r="D808" s="129"/>
      <c r="E808" s="129"/>
      <c r="F808" s="129"/>
      <c r="G808" s="129"/>
      <c r="H808" s="129"/>
      <c r="I808" s="129"/>
      <c r="J808" s="129"/>
      <c r="K808" s="129"/>
      <c r="L808" s="129"/>
      <c r="M808" s="129"/>
      <c r="N808" s="129"/>
      <c r="O808" s="129"/>
      <c r="P808" s="129"/>
      <c r="Q808" s="129"/>
      <c r="R808" s="129"/>
      <c r="S808" s="129"/>
      <c r="T808" s="129"/>
      <c r="U808" s="129"/>
      <c r="V808" s="129"/>
      <c r="W808" s="129"/>
      <c r="X808" s="129"/>
      <c r="Y808" s="129"/>
      <c r="Z808" s="129"/>
      <c r="AA808" s="129"/>
      <c r="AB808" s="129"/>
      <c r="AC808" s="129"/>
      <c r="AD808" s="129"/>
      <c r="AE808" s="129"/>
      <c r="AF808" s="129"/>
      <c r="AG808" s="129"/>
      <c r="AH808" s="129"/>
      <c r="AI808" s="129"/>
      <c r="AJ808" s="129"/>
      <c r="AK808" s="129"/>
      <c r="AL808" s="129"/>
      <c r="AM808" s="129"/>
      <c r="AN808" s="129"/>
      <c r="AO808" s="129"/>
      <c r="AP808" s="129"/>
      <c r="AQ808" s="129"/>
    </row>
    <row r="809" spans="1:43" ht="12.75" customHeight="1">
      <c r="A809" s="129"/>
      <c r="B809" s="129"/>
      <c r="C809" s="129"/>
      <c r="D809" s="129"/>
      <c r="E809" s="129"/>
      <c r="F809" s="129"/>
      <c r="G809" s="129"/>
      <c r="H809" s="129"/>
      <c r="I809" s="129"/>
      <c r="J809" s="129"/>
      <c r="K809" s="129"/>
      <c r="L809" s="129"/>
      <c r="M809" s="129"/>
      <c r="N809" s="129"/>
      <c r="O809" s="129"/>
      <c r="P809" s="129"/>
      <c r="Q809" s="129"/>
      <c r="R809" s="129"/>
      <c r="S809" s="129"/>
      <c r="T809" s="129"/>
      <c r="U809" s="129"/>
      <c r="V809" s="129"/>
      <c r="W809" s="129"/>
      <c r="X809" s="129"/>
      <c r="Y809" s="129"/>
      <c r="Z809" s="129"/>
      <c r="AA809" s="129"/>
      <c r="AB809" s="129"/>
      <c r="AC809" s="129"/>
      <c r="AD809" s="129"/>
      <c r="AE809" s="129"/>
      <c r="AF809" s="129"/>
      <c r="AG809" s="129"/>
      <c r="AH809" s="129"/>
      <c r="AI809" s="129"/>
      <c r="AJ809" s="129"/>
      <c r="AK809" s="129"/>
      <c r="AL809" s="129"/>
      <c r="AM809" s="129"/>
      <c r="AN809" s="129"/>
      <c r="AO809" s="129"/>
      <c r="AP809" s="129"/>
      <c r="AQ809" s="129"/>
    </row>
    <row r="810" spans="1:43" ht="12.75" customHeight="1">
      <c r="A810" s="129"/>
      <c r="B810" s="129"/>
      <c r="C810" s="129"/>
      <c r="D810" s="129"/>
      <c r="E810" s="129"/>
      <c r="F810" s="129"/>
      <c r="G810" s="129"/>
      <c r="H810" s="129"/>
      <c r="I810" s="129"/>
      <c r="J810" s="129"/>
      <c r="K810" s="129"/>
      <c r="L810" s="129"/>
      <c r="M810" s="129"/>
      <c r="N810" s="129"/>
      <c r="O810" s="129"/>
      <c r="P810" s="129"/>
      <c r="Q810" s="129"/>
      <c r="R810" s="129"/>
      <c r="S810" s="129"/>
      <c r="T810" s="129"/>
      <c r="U810" s="129"/>
      <c r="V810" s="129"/>
      <c r="W810" s="129"/>
      <c r="X810" s="129"/>
      <c r="Y810" s="129"/>
      <c r="Z810" s="129"/>
      <c r="AA810" s="129"/>
      <c r="AB810" s="129"/>
      <c r="AC810" s="129"/>
      <c r="AD810" s="129"/>
      <c r="AE810" s="129"/>
      <c r="AF810" s="129"/>
      <c r="AG810" s="129"/>
      <c r="AH810" s="129"/>
      <c r="AI810" s="129"/>
      <c r="AJ810" s="129"/>
      <c r="AK810" s="129"/>
      <c r="AL810" s="129"/>
      <c r="AM810" s="129"/>
      <c r="AN810" s="129"/>
      <c r="AO810" s="129"/>
      <c r="AP810" s="129"/>
      <c r="AQ810" s="129"/>
    </row>
    <row r="811" spans="1:43" ht="12.75" customHeight="1">
      <c r="A811" s="129"/>
      <c r="B811" s="129"/>
      <c r="C811" s="129"/>
      <c r="D811" s="129"/>
      <c r="E811" s="129"/>
      <c r="F811" s="129"/>
      <c r="G811" s="129"/>
      <c r="H811" s="129"/>
      <c r="I811" s="129"/>
      <c r="J811" s="129"/>
      <c r="K811" s="129"/>
      <c r="L811" s="129"/>
      <c r="M811" s="129"/>
      <c r="N811" s="129"/>
      <c r="O811" s="129"/>
      <c r="P811" s="129"/>
      <c r="Q811" s="129"/>
      <c r="R811" s="129"/>
      <c r="S811" s="129"/>
      <c r="T811" s="129"/>
      <c r="U811" s="129"/>
      <c r="V811" s="129"/>
      <c r="W811" s="129"/>
      <c r="X811" s="129"/>
      <c r="Y811" s="129"/>
      <c r="Z811" s="129"/>
      <c r="AA811" s="129"/>
      <c r="AB811" s="129"/>
      <c r="AC811" s="129"/>
      <c r="AD811" s="129"/>
      <c r="AE811" s="129"/>
      <c r="AF811" s="129"/>
      <c r="AG811" s="129"/>
      <c r="AH811" s="129"/>
      <c r="AI811" s="129"/>
      <c r="AJ811" s="129"/>
      <c r="AK811" s="129"/>
      <c r="AL811" s="129"/>
      <c r="AM811" s="129"/>
      <c r="AN811" s="129"/>
      <c r="AO811" s="129"/>
      <c r="AP811" s="129"/>
      <c r="AQ811" s="129"/>
    </row>
    <row r="812" spans="1:43" ht="12.75" customHeight="1">
      <c r="A812" s="129"/>
      <c r="B812" s="129"/>
      <c r="C812" s="129"/>
      <c r="D812" s="129"/>
      <c r="E812" s="129"/>
      <c r="F812" s="129"/>
      <c r="G812" s="129"/>
      <c r="H812" s="129"/>
      <c r="I812" s="129"/>
      <c r="J812" s="129"/>
      <c r="K812" s="129"/>
      <c r="L812" s="129"/>
      <c r="M812" s="129"/>
      <c r="N812" s="129"/>
      <c r="O812" s="129"/>
      <c r="P812" s="129"/>
      <c r="Q812" s="129"/>
      <c r="R812" s="129"/>
      <c r="S812" s="129"/>
      <c r="T812" s="129"/>
      <c r="U812" s="129"/>
      <c r="V812" s="129"/>
      <c r="W812" s="129"/>
      <c r="X812" s="129"/>
      <c r="Y812" s="129"/>
      <c r="Z812" s="129"/>
      <c r="AA812" s="129"/>
      <c r="AB812" s="129"/>
      <c r="AC812" s="129"/>
      <c r="AD812" s="129"/>
      <c r="AE812" s="129"/>
      <c r="AF812" s="129"/>
      <c r="AG812" s="129"/>
      <c r="AH812" s="129"/>
      <c r="AI812" s="129"/>
      <c r="AJ812" s="129"/>
      <c r="AK812" s="129"/>
      <c r="AL812" s="129"/>
      <c r="AM812" s="129"/>
      <c r="AN812" s="129"/>
      <c r="AO812" s="129"/>
      <c r="AP812" s="129"/>
      <c r="AQ812" s="129"/>
    </row>
    <row r="813" spans="1:43" ht="12.75" customHeight="1">
      <c r="A813" s="129"/>
      <c r="B813" s="129"/>
      <c r="C813" s="129"/>
      <c r="D813" s="129"/>
      <c r="E813" s="129"/>
      <c r="F813" s="129"/>
      <c r="G813" s="129"/>
      <c r="H813" s="129"/>
      <c r="I813" s="129"/>
      <c r="J813" s="129"/>
      <c r="K813" s="129"/>
      <c r="L813" s="129"/>
      <c r="M813" s="129"/>
      <c r="N813" s="129"/>
      <c r="O813" s="129"/>
      <c r="P813" s="129"/>
      <c r="Q813" s="129"/>
      <c r="R813" s="129"/>
      <c r="S813" s="129"/>
      <c r="T813" s="129"/>
      <c r="U813" s="129"/>
      <c r="V813" s="129"/>
      <c r="W813" s="129"/>
      <c r="X813" s="129"/>
      <c r="Y813" s="129"/>
      <c r="Z813" s="129"/>
      <c r="AA813" s="129"/>
      <c r="AB813" s="129"/>
      <c r="AC813" s="129"/>
      <c r="AD813" s="129"/>
      <c r="AE813" s="129"/>
      <c r="AF813" s="129"/>
      <c r="AG813" s="129"/>
      <c r="AH813" s="129"/>
      <c r="AI813" s="129"/>
      <c r="AJ813" s="129"/>
      <c r="AK813" s="129"/>
      <c r="AL813" s="129"/>
      <c r="AM813" s="129"/>
      <c r="AN813" s="129"/>
      <c r="AO813" s="129"/>
      <c r="AP813" s="129"/>
      <c r="AQ813" s="129"/>
    </row>
    <row r="814" spans="1:43" ht="12.75" customHeight="1">
      <c r="A814" s="129"/>
      <c r="B814" s="129"/>
      <c r="C814" s="129"/>
      <c r="D814" s="129"/>
      <c r="E814" s="129"/>
      <c r="F814" s="129"/>
      <c r="G814" s="129"/>
      <c r="H814" s="129"/>
      <c r="I814" s="129"/>
      <c r="J814" s="129"/>
      <c r="K814" s="129"/>
      <c r="L814" s="129"/>
      <c r="M814" s="129"/>
      <c r="N814" s="129"/>
      <c r="O814" s="129"/>
      <c r="P814" s="129"/>
      <c r="Q814" s="129"/>
      <c r="R814" s="129"/>
      <c r="S814" s="129"/>
      <c r="T814" s="129"/>
      <c r="U814" s="129"/>
      <c r="V814" s="129"/>
      <c r="W814" s="129"/>
      <c r="X814" s="129"/>
      <c r="Y814" s="129"/>
      <c r="Z814" s="129"/>
      <c r="AA814" s="129"/>
      <c r="AB814" s="129"/>
      <c r="AC814" s="129"/>
      <c r="AD814" s="129"/>
      <c r="AE814" s="129"/>
      <c r="AF814" s="129"/>
      <c r="AG814" s="129"/>
      <c r="AH814" s="129"/>
      <c r="AI814" s="129"/>
      <c r="AJ814" s="129"/>
      <c r="AK814" s="129"/>
      <c r="AL814" s="129"/>
      <c r="AM814" s="129"/>
      <c r="AN814" s="129"/>
      <c r="AO814" s="129"/>
      <c r="AP814" s="129"/>
      <c r="AQ814" s="129"/>
    </row>
    <row r="815" spans="1:43" ht="12.75" customHeight="1">
      <c r="A815" s="129"/>
      <c r="B815" s="129"/>
      <c r="C815" s="129"/>
      <c r="D815" s="129"/>
      <c r="E815" s="129"/>
      <c r="F815" s="129"/>
      <c r="G815" s="129"/>
      <c r="H815" s="129"/>
      <c r="I815" s="129"/>
      <c r="J815" s="129"/>
      <c r="K815" s="129"/>
      <c r="L815" s="129"/>
      <c r="M815" s="129"/>
      <c r="N815" s="129"/>
      <c r="O815" s="129"/>
      <c r="P815" s="129"/>
      <c r="Q815" s="129"/>
      <c r="R815" s="129"/>
      <c r="S815" s="129"/>
      <c r="T815" s="129"/>
      <c r="U815" s="129"/>
      <c r="V815" s="129"/>
      <c r="W815" s="129"/>
      <c r="X815" s="129"/>
      <c r="Y815" s="129"/>
      <c r="Z815" s="129"/>
      <c r="AA815" s="129"/>
      <c r="AB815" s="129"/>
      <c r="AC815" s="129"/>
      <c r="AD815" s="129"/>
      <c r="AE815" s="129"/>
      <c r="AF815" s="129"/>
      <c r="AG815" s="129"/>
      <c r="AH815" s="129"/>
      <c r="AI815" s="129"/>
      <c r="AJ815" s="129"/>
      <c r="AK815" s="129"/>
      <c r="AL815" s="129"/>
      <c r="AM815" s="129"/>
      <c r="AN815" s="129"/>
      <c r="AO815" s="129"/>
      <c r="AP815" s="129"/>
      <c r="AQ815" s="129"/>
    </row>
    <row r="816" spans="1:43" ht="12.75" customHeight="1">
      <c r="A816" s="129"/>
      <c r="B816" s="129"/>
      <c r="C816" s="129"/>
      <c r="D816" s="129"/>
      <c r="E816" s="129"/>
      <c r="F816" s="129"/>
      <c r="G816" s="129"/>
      <c r="H816" s="129"/>
      <c r="I816" s="129"/>
      <c r="J816" s="129"/>
      <c r="K816" s="129"/>
      <c r="L816" s="129"/>
      <c r="M816" s="129"/>
      <c r="N816" s="129"/>
      <c r="O816" s="129"/>
      <c r="P816" s="129"/>
      <c r="Q816" s="129"/>
      <c r="R816" s="129"/>
      <c r="S816" s="129"/>
      <c r="T816" s="129"/>
      <c r="U816" s="129"/>
      <c r="V816" s="129"/>
      <c r="W816" s="129"/>
      <c r="X816" s="129"/>
      <c r="Y816" s="129"/>
      <c r="Z816" s="129"/>
      <c r="AA816" s="129"/>
      <c r="AB816" s="129"/>
      <c r="AC816" s="129"/>
      <c r="AD816" s="129"/>
      <c r="AE816" s="129"/>
      <c r="AF816" s="129"/>
      <c r="AG816" s="129"/>
      <c r="AH816" s="129"/>
      <c r="AI816" s="129"/>
      <c r="AJ816" s="129"/>
      <c r="AK816" s="129"/>
      <c r="AL816" s="129"/>
      <c r="AM816" s="129"/>
      <c r="AN816" s="129"/>
      <c r="AO816" s="129"/>
      <c r="AP816" s="129"/>
      <c r="AQ816" s="129"/>
    </row>
    <row r="817" spans="1:43" ht="12.75" customHeight="1">
      <c r="A817" s="129"/>
      <c r="B817" s="129"/>
      <c r="C817" s="129"/>
      <c r="D817" s="129"/>
      <c r="E817" s="129"/>
      <c r="F817" s="129"/>
      <c r="G817" s="129"/>
      <c r="H817" s="129"/>
      <c r="I817" s="129"/>
      <c r="J817" s="129"/>
      <c r="K817" s="129"/>
      <c r="L817" s="129"/>
      <c r="M817" s="129"/>
      <c r="N817" s="129"/>
      <c r="O817" s="129"/>
      <c r="P817" s="129"/>
      <c r="Q817" s="129"/>
      <c r="R817" s="129"/>
      <c r="S817" s="129"/>
      <c r="T817" s="129"/>
      <c r="U817" s="129"/>
      <c r="V817" s="129"/>
      <c r="W817" s="129"/>
      <c r="X817" s="129"/>
      <c r="Y817" s="129"/>
      <c r="Z817" s="129"/>
      <c r="AA817" s="129"/>
      <c r="AB817" s="129"/>
      <c r="AC817" s="129"/>
      <c r="AD817" s="129"/>
      <c r="AE817" s="129"/>
      <c r="AF817" s="129"/>
      <c r="AG817" s="129"/>
      <c r="AH817" s="129"/>
      <c r="AI817" s="129"/>
      <c r="AJ817" s="129"/>
      <c r="AK817" s="129"/>
      <c r="AL817" s="129"/>
      <c r="AM817" s="129"/>
      <c r="AN817" s="129"/>
      <c r="AO817" s="129"/>
      <c r="AP817" s="129"/>
      <c r="AQ817" s="129"/>
    </row>
    <row r="818" spans="1:43" ht="12.75" customHeight="1">
      <c r="A818" s="129"/>
      <c r="B818" s="129"/>
      <c r="C818" s="129"/>
      <c r="D818" s="129"/>
      <c r="E818" s="129"/>
      <c r="F818" s="129"/>
      <c r="G818" s="129"/>
      <c r="H818" s="129"/>
      <c r="I818" s="129"/>
      <c r="J818" s="129"/>
      <c r="K818" s="129"/>
      <c r="L818" s="129"/>
      <c r="M818" s="129"/>
      <c r="N818" s="129"/>
      <c r="O818" s="129"/>
      <c r="P818" s="129"/>
      <c r="Q818" s="129"/>
      <c r="R818" s="129"/>
      <c r="S818" s="129"/>
      <c r="T818" s="129"/>
      <c r="U818" s="129"/>
      <c r="V818" s="129"/>
      <c r="W818" s="129"/>
      <c r="X818" s="129"/>
      <c r="Y818" s="129"/>
      <c r="Z818" s="129"/>
      <c r="AA818" s="129"/>
      <c r="AB818" s="129"/>
      <c r="AC818" s="129"/>
      <c r="AD818" s="129"/>
      <c r="AE818" s="129"/>
      <c r="AF818" s="129"/>
      <c r="AG818" s="129"/>
      <c r="AH818" s="129"/>
      <c r="AI818" s="129"/>
      <c r="AJ818" s="129"/>
      <c r="AK818" s="129"/>
      <c r="AL818" s="129"/>
      <c r="AM818" s="129"/>
      <c r="AN818" s="129"/>
      <c r="AO818" s="129"/>
      <c r="AP818" s="129"/>
      <c r="AQ818" s="129"/>
    </row>
    <row r="819" spans="1:43" ht="12.75" customHeight="1">
      <c r="A819" s="129"/>
      <c r="B819" s="129"/>
      <c r="C819" s="129"/>
      <c r="D819" s="129"/>
      <c r="E819" s="129"/>
      <c r="F819" s="129"/>
      <c r="G819" s="129"/>
      <c r="H819" s="129"/>
      <c r="I819" s="129"/>
      <c r="J819" s="129"/>
      <c r="K819" s="129"/>
      <c r="L819" s="129"/>
      <c r="M819" s="129"/>
      <c r="N819" s="129"/>
      <c r="O819" s="129"/>
      <c r="P819" s="129"/>
      <c r="Q819" s="129"/>
      <c r="R819" s="129"/>
      <c r="S819" s="129"/>
      <c r="T819" s="129"/>
      <c r="U819" s="129"/>
      <c r="V819" s="129"/>
      <c r="W819" s="129"/>
      <c r="X819" s="129"/>
      <c r="Y819" s="129"/>
      <c r="Z819" s="129"/>
      <c r="AA819" s="129"/>
      <c r="AB819" s="129"/>
      <c r="AC819" s="129"/>
      <c r="AD819" s="129"/>
      <c r="AE819" s="129"/>
      <c r="AF819" s="129"/>
      <c r="AG819" s="129"/>
      <c r="AH819" s="129"/>
      <c r="AI819" s="129"/>
      <c r="AJ819" s="129"/>
      <c r="AK819" s="129"/>
      <c r="AL819" s="129"/>
      <c r="AM819" s="129"/>
      <c r="AN819" s="129"/>
      <c r="AO819" s="129"/>
      <c r="AP819" s="129"/>
      <c r="AQ819" s="129"/>
    </row>
    <row r="820" spans="1:43" ht="12.75" customHeight="1">
      <c r="A820" s="129"/>
      <c r="B820" s="129"/>
      <c r="C820" s="129"/>
      <c r="D820" s="129"/>
      <c r="E820" s="129"/>
      <c r="F820" s="129"/>
      <c r="G820" s="129"/>
      <c r="H820" s="129"/>
      <c r="I820" s="129"/>
      <c r="J820" s="129"/>
      <c r="K820" s="129"/>
      <c r="L820" s="129"/>
      <c r="M820" s="129"/>
      <c r="N820" s="129"/>
      <c r="O820" s="129"/>
      <c r="P820" s="129"/>
      <c r="Q820" s="129"/>
      <c r="R820" s="129"/>
      <c r="S820" s="129"/>
      <c r="T820" s="129"/>
      <c r="U820" s="129"/>
      <c r="V820" s="129"/>
      <c r="W820" s="129"/>
      <c r="X820" s="129"/>
      <c r="Y820" s="129"/>
      <c r="Z820" s="129"/>
      <c r="AA820" s="129"/>
      <c r="AB820" s="129"/>
      <c r="AC820" s="129"/>
      <c r="AD820" s="129"/>
      <c r="AE820" s="129"/>
      <c r="AF820" s="129"/>
      <c r="AG820" s="129"/>
      <c r="AH820" s="129"/>
      <c r="AI820" s="129"/>
      <c r="AJ820" s="129"/>
      <c r="AK820" s="129"/>
      <c r="AL820" s="129"/>
      <c r="AM820" s="129"/>
      <c r="AN820" s="129"/>
      <c r="AO820" s="129"/>
      <c r="AP820" s="129"/>
      <c r="AQ820" s="129"/>
    </row>
    <row r="821" spans="1:43" ht="12.75" customHeight="1">
      <c r="A821" s="129"/>
      <c r="B821" s="129"/>
      <c r="C821" s="129"/>
      <c r="D821" s="129"/>
      <c r="E821" s="129"/>
      <c r="F821" s="129"/>
      <c r="G821" s="129"/>
      <c r="H821" s="129"/>
      <c r="I821" s="129"/>
      <c r="J821" s="129"/>
      <c r="K821" s="129"/>
      <c r="L821" s="129"/>
      <c r="M821" s="129"/>
      <c r="N821" s="129"/>
      <c r="O821" s="129"/>
      <c r="P821" s="129"/>
      <c r="Q821" s="129"/>
      <c r="R821" s="129"/>
      <c r="S821" s="129"/>
      <c r="T821" s="129"/>
      <c r="U821" s="129"/>
      <c r="V821" s="129"/>
      <c r="W821" s="129"/>
      <c r="X821" s="129"/>
      <c r="Y821" s="129"/>
      <c r="Z821" s="129"/>
      <c r="AA821" s="129"/>
      <c r="AB821" s="129"/>
      <c r="AC821" s="129"/>
      <c r="AD821" s="129"/>
      <c r="AE821" s="129"/>
      <c r="AF821" s="129"/>
      <c r="AG821" s="129"/>
      <c r="AH821" s="129"/>
      <c r="AI821" s="129"/>
      <c r="AJ821" s="129"/>
      <c r="AK821" s="129"/>
      <c r="AL821" s="129"/>
      <c r="AM821" s="129"/>
      <c r="AN821" s="129"/>
      <c r="AO821" s="129"/>
      <c r="AP821" s="129"/>
      <c r="AQ821" s="129"/>
    </row>
    <row r="822" spans="1:43" ht="12.75" customHeight="1">
      <c r="A822" s="129"/>
      <c r="B822" s="129"/>
      <c r="C822" s="129"/>
      <c r="D822" s="129"/>
      <c r="E822" s="129"/>
      <c r="F822" s="129"/>
      <c r="G822" s="129"/>
      <c r="H822" s="129"/>
      <c r="I822" s="129"/>
      <c r="J822" s="129"/>
      <c r="K822" s="129"/>
      <c r="L822" s="129"/>
      <c r="M822" s="129"/>
      <c r="N822" s="129"/>
      <c r="O822" s="129"/>
      <c r="P822" s="129"/>
      <c r="Q822" s="129"/>
      <c r="R822" s="129"/>
      <c r="S822" s="129"/>
      <c r="T822" s="129"/>
      <c r="U822" s="129"/>
      <c r="V822" s="129"/>
      <c r="W822" s="129"/>
      <c r="X822" s="129"/>
      <c r="Y822" s="129"/>
      <c r="Z822" s="129"/>
      <c r="AA822" s="129"/>
      <c r="AB822" s="129"/>
      <c r="AC822" s="129"/>
      <c r="AD822" s="129"/>
      <c r="AE822" s="129"/>
      <c r="AF822" s="129"/>
      <c r="AG822" s="129"/>
      <c r="AH822" s="129"/>
      <c r="AI822" s="129"/>
      <c r="AJ822" s="129"/>
      <c r="AK822" s="129"/>
      <c r="AL822" s="129"/>
      <c r="AM822" s="129"/>
      <c r="AN822" s="129"/>
      <c r="AO822" s="129"/>
      <c r="AP822" s="129"/>
      <c r="AQ822" s="129"/>
    </row>
    <row r="823" spans="1:43" ht="12.75" customHeight="1">
      <c r="A823" s="129"/>
      <c r="B823" s="129"/>
      <c r="C823" s="129"/>
      <c r="D823" s="129"/>
      <c r="E823" s="129"/>
      <c r="F823" s="129"/>
      <c r="G823" s="129"/>
      <c r="H823" s="129"/>
      <c r="I823" s="129"/>
      <c r="J823" s="129"/>
      <c r="K823" s="129"/>
      <c r="L823" s="129"/>
      <c r="M823" s="129"/>
      <c r="N823" s="129"/>
      <c r="O823" s="129"/>
      <c r="P823" s="129"/>
      <c r="Q823" s="129"/>
      <c r="R823" s="129"/>
      <c r="S823" s="129"/>
      <c r="T823" s="129"/>
      <c r="U823" s="129"/>
      <c r="V823" s="129"/>
      <c r="W823" s="129"/>
      <c r="X823" s="129"/>
      <c r="Y823" s="129"/>
      <c r="Z823" s="129"/>
      <c r="AA823" s="129"/>
      <c r="AB823" s="129"/>
      <c r="AC823" s="129"/>
      <c r="AD823" s="129"/>
      <c r="AE823" s="129"/>
      <c r="AF823" s="129"/>
      <c r="AG823" s="129"/>
      <c r="AH823" s="129"/>
      <c r="AI823" s="129"/>
      <c r="AJ823" s="129"/>
      <c r="AK823" s="129"/>
      <c r="AL823" s="129"/>
      <c r="AM823" s="129"/>
      <c r="AN823" s="129"/>
      <c r="AO823" s="129"/>
      <c r="AP823" s="129"/>
      <c r="AQ823" s="129"/>
    </row>
    <row r="824" spans="1:43" ht="12.75" customHeight="1">
      <c r="A824" s="129"/>
      <c r="B824" s="129"/>
      <c r="C824" s="129"/>
      <c r="D824" s="129"/>
      <c r="E824" s="129"/>
      <c r="F824" s="129"/>
      <c r="G824" s="129"/>
      <c r="H824" s="129"/>
      <c r="I824" s="129"/>
      <c r="J824" s="129"/>
      <c r="K824" s="129"/>
      <c r="L824" s="129"/>
      <c r="M824" s="129"/>
      <c r="N824" s="129"/>
      <c r="O824" s="129"/>
      <c r="P824" s="129"/>
      <c r="Q824" s="129"/>
      <c r="R824" s="129"/>
      <c r="S824" s="129"/>
      <c r="T824" s="129"/>
      <c r="U824" s="129"/>
      <c r="V824" s="129"/>
      <c r="W824" s="129"/>
      <c r="X824" s="129"/>
      <c r="Y824" s="129"/>
      <c r="Z824" s="129"/>
      <c r="AA824" s="129"/>
      <c r="AB824" s="129"/>
      <c r="AC824" s="129"/>
      <c r="AD824" s="129"/>
      <c r="AE824" s="129"/>
      <c r="AF824" s="129"/>
      <c r="AG824" s="129"/>
      <c r="AH824" s="129"/>
      <c r="AI824" s="129"/>
      <c r="AJ824" s="129"/>
      <c r="AK824" s="129"/>
      <c r="AL824" s="129"/>
      <c r="AM824" s="129"/>
      <c r="AN824" s="129"/>
      <c r="AO824" s="129"/>
      <c r="AP824" s="129"/>
      <c r="AQ824" s="129"/>
    </row>
    <row r="825" spans="1:43" ht="12.75" customHeight="1">
      <c r="A825" s="129"/>
      <c r="B825" s="129"/>
      <c r="C825" s="129"/>
      <c r="D825" s="129"/>
      <c r="E825" s="129"/>
      <c r="F825" s="129"/>
      <c r="G825" s="129"/>
      <c r="H825" s="129"/>
      <c r="I825" s="129"/>
      <c r="J825" s="129"/>
      <c r="K825" s="129"/>
      <c r="L825" s="129"/>
      <c r="M825" s="129"/>
      <c r="N825" s="129"/>
      <c r="O825" s="129"/>
      <c r="P825" s="129"/>
      <c r="Q825" s="129"/>
      <c r="R825" s="129"/>
      <c r="S825" s="129"/>
      <c r="T825" s="129"/>
      <c r="U825" s="129"/>
      <c r="V825" s="129"/>
      <c r="W825" s="129"/>
      <c r="X825" s="129"/>
      <c r="Y825" s="129"/>
      <c r="Z825" s="129"/>
      <c r="AA825" s="129"/>
      <c r="AB825" s="129"/>
      <c r="AC825" s="129"/>
      <c r="AD825" s="129"/>
      <c r="AE825" s="129"/>
      <c r="AF825" s="129"/>
      <c r="AG825" s="129"/>
      <c r="AH825" s="129"/>
      <c r="AI825" s="129"/>
      <c r="AJ825" s="129"/>
      <c r="AK825" s="129"/>
      <c r="AL825" s="129"/>
      <c r="AM825" s="129"/>
      <c r="AN825" s="129"/>
      <c r="AO825" s="129"/>
      <c r="AP825" s="129"/>
      <c r="AQ825" s="129"/>
    </row>
    <row r="826" spans="1:43" ht="12.75" customHeight="1">
      <c r="A826" s="129"/>
      <c r="B826" s="129"/>
      <c r="C826" s="129"/>
      <c r="D826" s="129"/>
      <c r="E826" s="129"/>
      <c r="F826" s="129"/>
      <c r="G826" s="129"/>
      <c r="H826" s="129"/>
      <c r="I826" s="129"/>
      <c r="J826" s="129"/>
      <c r="K826" s="129"/>
      <c r="L826" s="129"/>
      <c r="M826" s="129"/>
      <c r="N826" s="129"/>
      <c r="O826" s="129"/>
      <c r="P826" s="129"/>
      <c r="Q826" s="129"/>
      <c r="R826" s="129"/>
      <c r="S826" s="129"/>
      <c r="T826" s="129"/>
      <c r="U826" s="129"/>
      <c r="V826" s="129"/>
      <c r="W826" s="129"/>
      <c r="X826" s="129"/>
      <c r="Y826" s="129"/>
      <c r="Z826" s="129"/>
      <c r="AA826" s="129"/>
      <c r="AB826" s="129"/>
      <c r="AC826" s="129"/>
      <c r="AD826" s="129"/>
      <c r="AE826" s="129"/>
      <c r="AF826" s="129"/>
      <c r="AG826" s="129"/>
      <c r="AH826" s="129"/>
      <c r="AI826" s="129"/>
      <c r="AJ826" s="129"/>
      <c r="AK826" s="129"/>
      <c r="AL826" s="129"/>
      <c r="AM826" s="129"/>
      <c r="AN826" s="129"/>
      <c r="AO826" s="129"/>
      <c r="AP826" s="129"/>
      <c r="AQ826" s="129"/>
    </row>
    <row r="827" spans="1:43" ht="12.75" customHeight="1">
      <c r="A827" s="129"/>
      <c r="B827" s="129"/>
      <c r="C827" s="129"/>
      <c r="D827" s="129"/>
      <c r="E827" s="129"/>
      <c r="F827" s="129"/>
      <c r="G827" s="129"/>
      <c r="H827" s="129"/>
      <c r="I827" s="129"/>
      <c r="J827" s="129"/>
      <c r="K827" s="129"/>
      <c r="L827" s="129"/>
      <c r="M827" s="129"/>
      <c r="N827" s="129"/>
      <c r="O827" s="129"/>
      <c r="P827" s="129"/>
      <c r="Q827" s="129"/>
      <c r="R827" s="129"/>
      <c r="S827" s="129"/>
      <c r="T827" s="129"/>
      <c r="U827" s="129"/>
      <c r="V827" s="129"/>
      <c r="W827" s="129"/>
      <c r="X827" s="129"/>
      <c r="Y827" s="129"/>
      <c r="Z827" s="129"/>
      <c r="AA827" s="129"/>
      <c r="AB827" s="129"/>
      <c r="AC827" s="129"/>
      <c r="AD827" s="129"/>
      <c r="AE827" s="129"/>
      <c r="AF827" s="129"/>
      <c r="AG827" s="129"/>
      <c r="AH827" s="129"/>
      <c r="AI827" s="129"/>
      <c r="AJ827" s="129"/>
      <c r="AK827" s="129"/>
      <c r="AL827" s="129"/>
      <c r="AM827" s="129"/>
      <c r="AN827" s="129"/>
      <c r="AO827" s="129"/>
      <c r="AP827" s="129"/>
      <c r="AQ827" s="129"/>
    </row>
    <row r="828" spans="1:43" ht="12.75" customHeight="1">
      <c r="A828" s="129"/>
      <c r="B828" s="129"/>
      <c r="C828" s="129"/>
      <c r="D828" s="129"/>
      <c r="E828" s="129"/>
      <c r="F828" s="129"/>
      <c r="G828" s="129"/>
      <c r="H828" s="129"/>
      <c r="I828" s="129"/>
      <c r="J828" s="129"/>
      <c r="K828" s="129"/>
      <c r="L828" s="129"/>
      <c r="M828" s="129"/>
      <c r="N828" s="129"/>
      <c r="O828" s="129"/>
      <c r="P828" s="129"/>
      <c r="Q828" s="129"/>
      <c r="R828" s="129"/>
      <c r="S828" s="129"/>
      <c r="T828" s="129"/>
      <c r="U828" s="129"/>
      <c r="V828" s="129"/>
      <c r="W828" s="129"/>
      <c r="X828" s="129"/>
      <c r="Y828" s="129"/>
      <c r="Z828" s="129"/>
      <c r="AA828" s="129"/>
      <c r="AB828" s="129"/>
      <c r="AC828" s="129"/>
      <c r="AD828" s="129"/>
      <c r="AE828" s="129"/>
      <c r="AF828" s="129"/>
      <c r="AG828" s="129"/>
      <c r="AH828" s="129"/>
      <c r="AI828" s="129"/>
      <c r="AJ828" s="129"/>
      <c r="AK828" s="129"/>
      <c r="AL828" s="129"/>
      <c r="AM828" s="129"/>
      <c r="AN828" s="129"/>
      <c r="AO828" s="129"/>
      <c r="AP828" s="129"/>
      <c r="AQ828" s="129"/>
    </row>
    <row r="829" spans="1:43" ht="12.75" customHeight="1">
      <c r="A829" s="129"/>
      <c r="B829" s="129"/>
      <c r="C829" s="129"/>
      <c r="D829" s="129"/>
      <c r="E829" s="129"/>
      <c r="F829" s="129"/>
      <c r="G829" s="129"/>
      <c r="H829" s="129"/>
      <c r="I829" s="129"/>
      <c r="J829" s="129"/>
      <c r="K829" s="129"/>
      <c r="L829" s="129"/>
      <c r="M829" s="129"/>
      <c r="N829" s="129"/>
      <c r="O829" s="129"/>
      <c r="P829" s="129"/>
      <c r="Q829" s="129"/>
      <c r="R829" s="129"/>
      <c r="S829" s="129"/>
      <c r="T829" s="129"/>
      <c r="U829" s="129"/>
      <c r="V829" s="129"/>
      <c r="W829" s="129"/>
      <c r="X829" s="129"/>
      <c r="Y829" s="129"/>
      <c r="Z829" s="129"/>
      <c r="AA829" s="129"/>
      <c r="AB829" s="129"/>
      <c r="AC829" s="129"/>
      <c r="AD829" s="129"/>
      <c r="AE829" s="129"/>
      <c r="AF829" s="129"/>
      <c r="AG829" s="129"/>
      <c r="AH829" s="129"/>
      <c r="AI829" s="129"/>
      <c r="AJ829" s="129"/>
      <c r="AK829" s="129"/>
      <c r="AL829" s="129"/>
      <c r="AM829" s="129"/>
      <c r="AN829" s="129"/>
      <c r="AO829" s="129"/>
      <c r="AP829" s="129"/>
      <c r="AQ829" s="129"/>
    </row>
    <row r="830" spans="1:43" ht="12.75" customHeight="1">
      <c r="A830" s="129"/>
      <c r="B830" s="129"/>
      <c r="C830" s="129"/>
      <c r="D830" s="129"/>
      <c r="E830" s="129"/>
      <c r="F830" s="129"/>
      <c r="G830" s="129"/>
      <c r="H830" s="129"/>
      <c r="I830" s="129"/>
      <c r="J830" s="129"/>
      <c r="K830" s="129"/>
      <c r="L830" s="129"/>
      <c r="M830" s="129"/>
      <c r="N830" s="129"/>
      <c r="O830" s="129"/>
      <c r="P830" s="129"/>
      <c r="Q830" s="129"/>
      <c r="R830" s="129"/>
      <c r="S830" s="129"/>
      <c r="T830" s="129"/>
      <c r="U830" s="129"/>
      <c r="V830" s="129"/>
      <c r="W830" s="129"/>
      <c r="X830" s="129"/>
      <c r="Y830" s="129"/>
      <c r="Z830" s="129"/>
      <c r="AA830" s="129"/>
      <c r="AB830" s="129"/>
      <c r="AC830" s="129"/>
      <c r="AD830" s="129"/>
      <c r="AE830" s="129"/>
      <c r="AF830" s="129"/>
      <c r="AG830" s="129"/>
      <c r="AH830" s="129"/>
      <c r="AI830" s="129"/>
      <c r="AJ830" s="129"/>
      <c r="AK830" s="129"/>
      <c r="AL830" s="129"/>
      <c r="AM830" s="129"/>
      <c r="AN830" s="129"/>
      <c r="AO830" s="129"/>
      <c r="AP830" s="129"/>
      <c r="AQ830" s="129"/>
    </row>
    <row r="831" spans="1:43" ht="12.75" customHeight="1">
      <c r="A831" s="129"/>
      <c r="B831" s="129"/>
      <c r="C831" s="129"/>
      <c r="D831" s="129"/>
      <c r="E831" s="129"/>
      <c r="F831" s="129"/>
      <c r="G831" s="129"/>
      <c r="H831" s="129"/>
      <c r="I831" s="129"/>
      <c r="J831" s="129"/>
      <c r="K831" s="129"/>
      <c r="L831" s="129"/>
      <c r="M831" s="129"/>
      <c r="N831" s="129"/>
      <c r="O831" s="129"/>
      <c r="P831" s="129"/>
      <c r="Q831" s="129"/>
      <c r="R831" s="129"/>
      <c r="S831" s="129"/>
      <c r="T831" s="129"/>
      <c r="U831" s="129"/>
      <c r="V831" s="129"/>
      <c r="W831" s="129"/>
      <c r="X831" s="129"/>
      <c r="Y831" s="129"/>
      <c r="Z831" s="129"/>
      <c r="AA831" s="129"/>
      <c r="AB831" s="129"/>
      <c r="AC831" s="129"/>
      <c r="AD831" s="129"/>
      <c r="AE831" s="129"/>
      <c r="AF831" s="129"/>
      <c r="AG831" s="129"/>
      <c r="AH831" s="129"/>
      <c r="AI831" s="129"/>
      <c r="AJ831" s="129"/>
      <c r="AK831" s="129"/>
      <c r="AL831" s="129"/>
      <c r="AM831" s="129"/>
      <c r="AN831" s="129"/>
      <c r="AO831" s="129"/>
      <c r="AP831" s="129"/>
      <c r="AQ831" s="129"/>
    </row>
    <row r="832" spans="1:43" ht="12.75" customHeight="1">
      <c r="A832" s="129"/>
      <c r="B832" s="129"/>
      <c r="C832" s="129"/>
      <c r="D832" s="129"/>
      <c r="E832" s="129"/>
      <c r="F832" s="129"/>
      <c r="G832" s="129"/>
      <c r="H832" s="129"/>
      <c r="I832" s="129"/>
      <c r="J832" s="129"/>
      <c r="K832" s="129"/>
      <c r="L832" s="129"/>
      <c r="M832" s="129"/>
      <c r="N832" s="129"/>
      <c r="O832" s="129"/>
      <c r="P832" s="129"/>
      <c r="Q832" s="129"/>
      <c r="R832" s="129"/>
      <c r="S832" s="129"/>
      <c r="T832" s="129"/>
      <c r="U832" s="129"/>
      <c r="V832" s="129"/>
      <c r="W832" s="129"/>
      <c r="X832" s="129"/>
      <c r="Y832" s="129"/>
      <c r="Z832" s="129"/>
      <c r="AA832" s="129"/>
      <c r="AB832" s="129"/>
      <c r="AC832" s="129"/>
      <c r="AD832" s="129"/>
      <c r="AE832" s="129"/>
      <c r="AF832" s="129"/>
      <c r="AG832" s="129"/>
      <c r="AH832" s="129"/>
      <c r="AI832" s="129"/>
      <c r="AJ832" s="129"/>
      <c r="AK832" s="129"/>
      <c r="AL832" s="129"/>
      <c r="AM832" s="129"/>
      <c r="AN832" s="129"/>
      <c r="AO832" s="129"/>
      <c r="AP832" s="129"/>
      <c r="AQ832" s="129"/>
    </row>
    <row r="833" spans="1:43" ht="12.75" customHeight="1">
      <c r="A833" s="129"/>
      <c r="B833" s="129"/>
      <c r="C833" s="129"/>
      <c r="D833" s="129"/>
      <c r="E833" s="129"/>
      <c r="F833" s="129"/>
      <c r="G833" s="129"/>
      <c r="H833" s="129"/>
      <c r="I833" s="129"/>
      <c r="J833" s="129"/>
      <c r="K833" s="129"/>
      <c r="L833" s="129"/>
      <c r="M833" s="129"/>
      <c r="N833" s="129"/>
      <c r="O833" s="129"/>
      <c r="P833" s="129"/>
      <c r="Q833" s="129"/>
      <c r="R833" s="129"/>
      <c r="S833" s="129"/>
      <c r="T833" s="129"/>
      <c r="U833" s="129"/>
      <c r="V833" s="129"/>
      <c r="W833" s="129"/>
      <c r="X833" s="129"/>
      <c r="Y833" s="129"/>
      <c r="Z833" s="129"/>
      <c r="AA833" s="129"/>
      <c r="AB833" s="129"/>
      <c r="AC833" s="129"/>
      <c r="AD833" s="129"/>
      <c r="AE833" s="129"/>
      <c r="AF833" s="129"/>
      <c r="AG833" s="129"/>
      <c r="AH833" s="129"/>
      <c r="AI833" s="129"/>
      <c r="AJ833" s="129"/>
      <c r="AK833" s="129"/>
      <c r="AL833" s="129"/>
      <c r="AM833" s="129"/>
      <c r="AN833" s="129"/>
      <c r="AO833" s="129"/>
      <c r="AP833" s="129"/>
      <c r="AQ833" s="129"/>
    </row>
    <row r="834" spans="1:43" ht="12.75" customHeight="1">
      <c r="A834" s="129"/>
      <c r="B834" s="129"/>
      <c r="C834" s="129"/>
      <c r="D834" s="129"/>
      <c r="E834" s="129"/>
      <c r="F834" s="129"/>
      <c r="G834" s="129"/>
      <c r="H834" s="129"/>
      <c r="I834" s="129"/>
      <c r="J834" s="129"/>
      <c r="K834" s="129"/>
      <c r="L834" s="129"/>
      <c r="M834" s="129"/>
      <c r="N834" s="129"/>
      <c r="O834" s="129"/>
      <c r="P834" s="129"/>
      <c r="Q834" s="129"/>
      <c r="R834" s="129"/>
      <c r="S834" s="129"/>
      <c r="T834" s="129"/>
      <c r="U834" s="129"/>
      <c r="V834" s="129"/>
      <c r="W834" s="129"/>
      <c r="X834" s="129"/>
      <c r="Y834" s="129"/>
      <c r="Z834" s="129"/>
      <c r="AA834" s="129"/>
      <c r="AB834" s="129"/>
      <c r="AC834" s="129"/>
      <c r="AD834" s="129"/>
      <c r="AE834" s="129"/>
      <c r="AF834" s="129"/>
      <c r="AG834" s="129"/>
      <c r="AH834" s="129"/>
      <c r="AI834" s="129"/>
      <c r="AJ834" s="129"/>
      <c r="AK834" s="129"/>
      <c r="AL834" s="129"/>
      <c r="AM834" s="129"/>
      <c r="AN834" s="129"/>
      <c r="AO834" s="129"/>
      <c r="AP834" s="129"/>
      <c r="AQ834" s="129"/>
    </row>
    <row r="835" spans="1:43" ht="12.75" customHeight="1">
      <c r="A835" s="129"/>
      <c r="B835" s="129"/>
      <c r="C835" s="129"/>
      <c r="D835" s="129"/>
      <c r="E835" s="129"/>
      <c r="F835" s="129"/>
      <c r="G835" s="129"/>
      <c r="H835" s="129"/>
      <c r="I835" s="129"/>
      <c r="J835" s="129"/>
      <c r="K835" s="129"/>
      <c r="L835" s="129"/>
      <c r="M835" s="129"/>
      <c r="N835" s="129"/>
      <c r="O835" s="129"/>
      <c r="P835" s="129"/>
      <c r="Q835" s="129"/>
      <c r="R835" s="129"/>
      <c r="S835" s="129"/>
      <c r="T835" s="129"/>
      <c r="U835" s="129"/>
      <c r="V835" s="129"/>
      <c r="W835" s="129"/>
      <c r="X835" s="129"/>
      <c r="Y835" s="129"/>
      <c r="Z835" s="129"/>
      <c r="AA835" s="129"/>
      <c r="AB835" s="129"/>
      <c r="AC835" s="129"/>
      <c r="AD835" s="129"/>
      <c r="AE835" s="129"/>
      <c r="AF835" s="129"/>
      <c r="AG835" s="129"/>
      <c r="AH835" s="129"/>
      <c r="AI835" s="129"/>
      <c r="AJ835" s="129"/>
      <c r="AK835" s="129"/>
      <c r="AL835" s="129"/>
      <c r="AM835" s="129"/>
      <c r="AN835" s="129"/>
      <c r="AO835" s="129"/>
      <c r="AP835" s="129"/>
      <c r="AQ835" s="129"/>
    </row>
    <row r="836" spans="1:43" ht="12.75" customHeight="1">
      <c r="A836" s="129"/>
      <c r="B836" s="129"/>
      <c r="C836" s="129"/>
      <c r="D836" s="129"/>
      <c r="E836" s="129"/>
      <c r="F836" s="129"/>
      <c r="G836" s="129"/>
      <c r="H836" s="129"/>
      <c r="I836" s="129"/>
      <c r="J836" s="129"/>
      <c r="K836" s="129"/>
      <c r="L836" s="129"/>
      <c r="M836" s="129"/>
      <c r="N836" s="129"/>
      <c r="O836" s="129"/>
      <c r="P836" s="129"/>
      <c r="Q836" s="129"/>
      <c r="R836" s="129"/>
      <c r="S836" s="129"/>
      <c r="T836" s="129"/>
      <c r="U836" s="129"/>
      <c r="V836" s="129"/>
      <c r="W836" s="129"/>
      <c r="X836" s="129"/>
      <c r="Y836" s="129"/>
      <c r="Z836" s="129"/>
      <c r="AA836" s="129"/>
      <c r="AB836" s="129"/>
      <c r="AC836" s="129"/>
      <c r="AD836" s="129"/>
      <c r="AE836" s="129"/>
      <c r="AF836" s="129"/>
      <c r="AG836" s="129"/>
      <c r="AH836" s="129"/>
      <c r="AI836" s="129"/>
      <c r="AJ836" s="129"/>
      <c r="AK836" s="129"/>
      <c r="AL836" s="129"/>
      <c r="AM836" s="129"/>
      <c r="AN836" s="129"/>
      <c r="AO836" s="129"/>
      <c r="AP836" s="129"/>
      <c r="AQ836" s="129"/>
    </row>
    <row r="837" spans="1:43" ht="12.75" customHeight="1">
      <c r="A837" s="129"/>
      <c r="B837" s="129"/>
      <c r="C837" s="129"/>
      <c r="D837" s="129"/>
      <c r="E837" s="129"/>
      <c r="F837" s="129"/>
      <c r="G837" s="129"/>
      <c r="H837" s="129"/>
      <c r="I837" s="129"/>
      <c r="J837" s="129"/>
      <c r="K837" s="129"/>
      <c r="L837" s="129"/>
      <c r="M837" s="129"/>
      <c r="N837" s="129"/>
      <c r="O837" s="129"/>
      <c r="P837" s="129"/>
      <c r="Q837" s="129"/>
      <c r="R837" s="129"/>
      <c r="S837" s="129"/>
      <c r="T837" s="129"/>
      <c r="U837" s="129"/>
      <c r="V837" s="129"/>
      <c r="W837" s="129"/>
      <c r="X837" s="129"/>
      <c r="Y837" s="129"/>
      <c r="Z837" s="129"/>
      <c r="AA837" s="129"/>
      <c r="AB837" s="129"/>
      <c r="AC837" s="129"/>
      <c r="AD837" s="129"/>
      <c r="AE837" s="129"/>
      <c r="AF837" s="129"/>
      <c r="AG837" s="129"/>
      <c r="AH837" s="129"/>
      <c r="AI837" s="129"/>
      <c r="AJ837" s="129"/>
      <c r="AK837" s="129"/>
      <c r="AL837" s="129"/>
      <c r="AM837" s="129"/>
      <c r="AN837" s="129"/>
      <c r="AO837" s="129"/>
      <c r="AP837" s="129"/>
      <c r="AQ837" s="129"/>
    </row>
    <row r="838" spans="1:43" ht="12.75" customHeight="1">
      <c r="A838" s="129"/>
      <c r="B838" s="129"/>
      <c r="C838" s="129"/>
      <c r="D838" s="129"/>
      <c r="E838" s="129"/>
      <c r="F838" s="129"/>
      <c r="G838" s="129"/>
      <c r="H838" s="129"/>
      <c r="I838" s="129"/>
      <c r="J838" s="129"/>
      <c r="K838" s="129"/>
      <c r="L838" s="129"/>
      <c r="M838" s="129"/>
      <c r="N838" s="129"/>
      <c r="O838" s="129"/>
      <c r="P838" s="129"/>
      <c r="Q838" s="129"/>
      <c r="R838" s="129"/>
      <c r="S838" s="129"/>
      <c r="T838" s="129"/>
      <c r="U838" s="129"/>
      <c r="V838" s="129"/>
      <c r="W838" s="129"/>
      <c r="X838" s="129"/>
      <c r="Y838" s="129"/>
      <c r="Z838" s="129"/>
      <c r="AA838" s="129"/>
      <c r="AB838" s="129"/>
      <c r="AC838" s="129"/>
      <c r="AD838" s="129"/>
      <c r="AE838" s="129"/>
      <c r="AF838" s="129"/>
      <c r="AG838" s="129"/>
      <c r="AH838" s="129"/>
      <c r="AI838" s="129"/>
      <c r="AJ838" s="129"/>
      <c r="AK838" s="129"/>
      <c r="AL838" s="129"/>
      <c r="AM838" s="129"/>
      <c r="AN838" s="129"/>
      <c r="AO838" s="129"/>
      <c r="AP838" s="129"/>
      <c r="AQ838" s="129"/>
    </row>
    <row r="839" spans="1:43" ht="12.75" customHeight="1">
      <c r="A839" s="129"/>
      <c r="B839" s="129"/>
      <c r="C839" s="129"/>
      <c r="D839" s="129"/>
      <c r="E839" s="129"/>
      <c r="F839" s="129"/>
      <c r="G839" s="129"/>
      <c r="H839" s="129"/>
      <c r="I839" s="129"/>
      <c r="J839" s="129"/>
      <c r="K839" s="129"/>
      <c r="L839" s="129"/>
      <c r="M839" s="129"/>
      <c r="N839" s="129"/>
      <c r="O839" s="129"/>
      <c r="P839" s="129"/>
      <c r="Q839" s="129"/>
      <c r="R839" s="129"/>
      <c r="S839" s="129"/>
      <c r="T839" s="129"/>
      <c r="U839" s="129"/>
      <c r="V839" s="129"/>
      <c r="W839" s="129"/>
      <c r="X839" s="129"/>
      <c r="Y839" s="129"/>
      <c r="Z839" s="129"/>
      <c r="AA839" s="129"/>
      <c r="AB839" s="129"/>
      <c r="AC839" s="129"/>
      <c r="AD839" s="129"/>
      <c r="AE839" s="129"/>
      <c r="AF839" s="129"/>
      <c r="AG839" s="129"/>
      <c r="AH839" s="129"/>
      <c r="AI839" s="129"/>
      <c r="AJ839" s="129"/>
      <c r="AK839" s="129"/>
      <c r="AL839" s="129"/>
      <c r="AM839" s="129"/>
      <c r="AN839" s="129"/>
      <c r="AO839" s="129"/>
      <c r="AP839" s="129"/>
      <c r="AQ839" s="129"/>
    </row>
    <row r="840" spans="1:43" ht="12.75" customHeight="1">
      <c r="A840" s="129"/>
      <c r="B840" s="129"/>
      <c r="C840" s="129"/>
      <c r="D840" s="129"/>
      <c r="E840" s="129"/>
      <c r="F840" s="129"/>
      <c r="G840" s="129"/>
      <c r="H840" s="129"/>
      <c r="I840" s="129"/>
      <c r="J840" s="129"/>
      <c r="K840" s="129"/>
      <c r="L840" s="129"/>
      <c r="M840" s="129"/>
      <c r="N840" s="129"/>
      <c r="O840" s="129"/>
      <c r="P840" s="129"/>
      <c r="Q840" s="129"/>
      <c r="R840" s="129"/>
      <c r="S840" s="129"/>
      <c r="T840" s="129"/>
      <c r="U840" s="129"/>
      <c r="V840" s="129"/>
      <c r="W840" s="129"/>
      <c r="X840" s="129"/>
      <c r="Y840" s="129"/>
      <c r="Z840" s="129"/>
      <c r="AA840" s="129"/>
      <c r="AB840" s="129"/>
      <c r="AC840" s="129"/>
      <c r="AD840" s="129"/>
      <c r="AE840" s="129"/>
      <c r="AF840" s="129"/>
      <c r="AG840" s="129"/>
      <c r="AH840" s="129"/>
      <c r="AI840" s="129"/>
      <c r="AJ840" s="129"/>
      <c r="AK840" s="129"/>
      <c r="AL840" s="129"/>
      <c r="AM840" s="129"/>
      <c r="AN840" s="129"/>
      <c r="AO840" s="129"/>
      <c r="AP840" s="129"/>
      <c r="AQ840" s="129"/>
    </row>
    <row r="841" spans="1:43" ht="12.75" customHeight="1">
      <c r="A841" s="129"/>
      <c r="B841" s="129"/>
      <c r="C841" s="129"/>
      <c r="D841" s="129"/>
      <c r="E841" s="129"/>
      <c r="F841" s="129"/>
      <c r="G841" s="129"/>
      <c r="H841" s="129"/>
      <c r="I841" s="129"/>
      <c r="J841" s="129"/>
      <c r="K841" s="129"/>
      <c r="L841" s="129"/>
      <c r="M841" s="129"/>
      <c r="N841" s="129"/>
      <c r="O841" s="129"/>
      <c r="P841" s="129"/>
      <c r="Q841" s="129"/>
      <c r="R841" s="129"/>
      <c r="S841" s="129"/>
      <c r="T841" s="129"/>
      <c r="U841" s="129"/>
      <c r="V841" s="129"/>
      <c r="W841" s="129"/>
      <c r="X841" s="129"/>
      <c r="Y841" s="129"/>
      <c r="Z841" s="129"/>
      <c r="AA841" s="129"/>
      <c r="AB841" s="129"/>
      <c r="AC841" s="129"/>
      <c r="AD841" s="129"/>
      <c r="AE841" s="129"/>
      <c r="AF841" s="129"/>
      <c r="AG841" s="129"/>
      <c r="AH841" s="129"/>
      <c r="AI841" s="129"/>
      <c r="AJ841" s="129"/>
      <c r="AK841" s="129"/>
      <c r="AL841" s="129"/>
      <c r="AM841" s="129"/>
      <c r="AN841" s="129"/>
      <c r="AO841" s="129"/>
      <c r="AP841" s="129"/>
      <c r="AQ841" s="129"/>
    </row>
    <row r="842" spans="1:43" ht="12.75" customHeight="1">
      <c r="A842" s="129"/>
      <c r="B842" s="129"/>
      <c r="C842" s="129"/>
      <c r="D842" s="129"/>
      <c r="E842" s="129"/>
      <c r="F842" s="129"/>
      <c r="G842" s="129"/>
      <c r="H842" s="129"/>
      <c r="I842" s="129"/>
      <c r="J842" s="129"/>
      <c r="K842" s="129"/>
      <c r="L842" s="129"/>
      <c r="M842" s="129"/>
      <c r="N842" s="129"/>
      <c r="O842" s="129"/>
      <c r="P842" s="129"/>
      <c r="Q842" s="129"/>
      <c r="R842" s="129"/>
      <c r="S842" s="129"/>
      <c r="T842" s="129"/>
      <c r="U842" s="129"/>
      <c r="V842" s="129"/>
      <c r="W842" s="129"/>
      <c r="X842" s="129"/>
      <c r="Y842" s="129"/>
      <c r="Z842" s="129"/>
      <c r="AA842" s="129"/>
      <c r="AB842" s="129"/>
      <c r="AC842" s="129"/>
      <c r="AD842" s="129"/>
      <c r="AE842" s="129"/>
      <c r="AF842" s="129"/>
      <c r="AG842" s="129"/>
      <c r="AH842" s="129"/>
      <c r="AI842" s="129"/>
      <c r="AJ842" s="129"/>
      <c r="AK842" s="129"/>
      <c r="AL842" s="129"/>
      <c r="AM842" s="129"/>
      <c r="AN842" s="129"/>
      <c r="AO842" s="129"/>
      <c r="AP842" s="129"/>
      <c r="AQ842" s="129"/>
    </row>
    <row r="843" spans="1:43" ht="12.75" customHeight="1">
      <c r="A843" s="129"/>
      <c r="B843" s="129"/>
      <c r="C843" s="129"/>
      <c r="D843" s="129"/>
      <c r="E843" s="129"/>
      <c r="F843" s="129"/>
      <c r="G843" s="129"/>
      <c r="H843" s="129"/>
      <c r="I843" s="129"/>
      <c r="J843" s="129"/>
      <c r="K843" s="129"/>
      <c r="L843" s="129"/>
      <c r="M843" s="129"/>
      <c r="N843" s="129"/>
      <c r="O843" s="129"/>
      <c r="P843" s="129"/>
      <c r="Q843" s="129"/>
      <c r="R843" s="129"/>
      <c r="S843" s="129"/>
      <c r="T843" s="129"/>
      <c r="U843" s="129"/>
      <c r="V843" s="129"/>
      <c r="W843" s="129"/>
      <c r="X843" s="129"/>
      <c r="Y843" s="129"/>
      <c r="Z843" s="129"/>
      <c r="AA843" s="129"/>
      <c r="AB843" s="129"/>
      <c r="AC843" s="129"/>
      <c r="AD843" s="129"/>
      <c r="AE843" s="129"/>
      <c r="AF843" s="129"/>
      <c r="AG843" s="129"/>
      <c r="AH843" s="129"/>
      <c r="AI843" s="129"/>
      <c r="AJ843" s="129"/>
      <c r="AK843" s="129"/>
      <c r="AL843" s="129"/>
      <c r="AM843" s="129"/>
      <c r="AN843" s="129"/>
      <c r="AO843" s="129"/>
      <c r="AP843" s="129"/>
      <c r="AQ843" s="129"/>
    </row>
    <row r="844" spans="1:43" ht="12.75" customHeight="1">
      <c r="A844" s="129"/>
      <c r="B844" s="129"/>
      <c r="C844" s="129"/>
      <c r="D844" s="129"/>
      <c r="E844" s="129"/>
      <c r="F844" s="129"/>
      <c r="G844" s="129"/>
      <c r="H844" s="129"/>
      <c r="I844" s="129"/>
      <c r="J844" s="129"/>
      <c r="K844" s="129"/>
      <c r="L844" s="129"/>
      <c r="M844" s="129"/>
      <c r="N844" s="129"/>
      <c r="O844" s="129"/>
      <c r="P844" s="129"/>
      <c r="Q844" s="129"/>
      <c r="R844" s="129"/>
      <c r="S844" s="129"/>
      <c r="T844" s="129"/>
      <c r="U844" s="129"/>
      <c r="V844" s="129"/>
      <c r="W844" s="129"/>
      <c r="X844" s="129"/>
      <c r="Y844" s="129"/>
      <c r="Z844" s="129"/>
      <c r="AA844" s="129"/>
      <c r="AB844" s="129"/>
      <c r="AC844" s="129"/>
      <c r="AD844" s="129"/>
      <c r="AE844" s="129"/>
      <c r="AF844" s="129"/>
      <c r="AG844" s="129"/>
      <c r="AH844" s="129"/>
      <c r="AI844" s="129"/>
      <c r="AJ844" s="129"/>
      <c r="AK844" s="129"/>
      <c r="AL844" s="129"/>
      <c r="AM844" s="129"/>
      <c r="AN844" s="129"/>
      <c r="AO844" s="129"/>
      <c r="AP844" s="129"/>
      <c r="AQ844" s="129"/>
    </row>
    <row r="845" spans="1:43" ht="12.75" customHeight="1">
      <c r="A845" s="129"/>
      <c r="B845" s="129"/>
      <c r="C845" s="129"/>
      <c r="D845" s="129"/>
      <c r="E845" s="129"/>
      <c r="F845" s="129"/>
      <c r="G845" s="129"/>
      <c r="H845" s="129"/>
      <c r="I845" s="129"/>
      <c r="J845" s="129"/>
      <c r="K845" s="129"/>
      <c r="L845" s="129"/>
      <c r="M845" s="129"/>
      <c r="N845" s="129"/>
      <c r="O845" s="129"/>
      <c r="P845" s="129"/>
      <c r="Q845" s="129"/>
      <c r="R845" s="129"/>
      <c r="S845" s="129"/>
      <c r="T845" s="129"/>
      <c r="U845" s="129"/>
      <c r="V845" s="129"/>
      <c r="W845" s="129"/>
      <c r="X845" s="129"/>
      <c r="Y845" s="129"/>
      <c r="Z845" s="129"/>
      <c r="AA845" s="129"/>
      <c r="AB845" s="129"/>
      <c r="AC845" s="129"/>
      <c r="AD845" s="129"/>
      <c r="AE845" s="129"/>
      <c r="AF845" s="129"/>
      <c r="AG845" s="129"/>
      <c r="AH845" s="129"/>
      <c r="AI845" s="129"/>
      <c r="AJ845" s="129"/>
      <c r="AK845" s="129"/>
      <c r="AL845" s="129"/>
      <c r="AM845" s="129"/>
      <c r="AN845" s="129"/>
      <c r="AO845" s="129"/>
      <c r="AP845" s="129"/>
      <c r="AQ845" s="129"/>
    </row>
    <row r="846" spans="1:43" ht="12.75" customHeight="1">
      <c r="A846" s="129"/>
      <c r="B846" s="129"/>
      <c r="C846" s="129"/>
      <c r="D846" s="129"/>
      <c r="E846" s="129"/>
      <c r="F846" s="129"/>
      <c r="G846" s="129"/>
      <c r="H846" s="129"/>
      <c r="I846" s="129"/>
      <c r="J846" s="129"/>
      <c r="K846" s="129"/>
      <c r="L846" s="129"/>
      <c r="M846" s="129"/>
      <c r="N846" s="129"/>
      <c r="O846" s="129"/>
      <c r="P846" s="129"/>
      <c r="Q846" s="129"/>
      <c r="R846" s="129"/>
      <c r="S846" s="129"/>
      <c r="T846" s="129"/>
      <c r="U846" s="129"/>
      <c r="V846" s="129"/>
      <c r="W846" s="129"/>
      <c r="X846" s="129"/>
      <c r="Y846" s="129"/>
      <c r="Z846" s="129"/>
      <c r="AA846" s="129"/>
      <c r="AB846" s="129"/>
      <c r="AC846" s="129"/>
      <c r="AD846" s="129"/>
      <c r="AE846" s="129"/>
      <c r="AF846" s="129"/>
      <c r="AG846" s="129"/>
      <c r="AH846" s="129"/>
      <c r="AI846" s="129"/>
      <c r="AJ846" s="129"/>
      <c r="AK846" s="129"/>
      <c r="AL846" s="129"/>
      <c r="AM846" s="129"/>
      <c r="AN846" s="129"/>
      <c r="AO846" s="129"/>
      <c r="AP846" s="129"/>
      <c r="AQ846" s="129"/>
    </row>
    <row r="847" spans="1:43" ht="12.75" customHeight="1">
      <c r="A847" s="129"/>
      <c r="B847" s="129"/>
      <c r="C847" s="129"/>
      <c r="D847" s="129"/>
      <c r="E847" s="129"/>
      <c r="F847" s="129"/>
      <c r="G847" s="129"/>
      <c r="H847" s="129"/>
      <c r="I847" s="129"/>
      <c r="J847" s="129"/>
      <c r="K847" s="129"/>
      <c r="L847" s="129"/>
      <c r="M847" s="129"/>
      <c r="N847" s="129"/>
      <c r="O847" s="129"/>
      <c r="P847" s="129"/>
      <c r="Q847" s="129"/>
      <c r="R847" s="129"/>
      <c r="S847" s="129"/>
      <c r="T847" s="129"/>
      <c r="U847" s="129"/>
      <c r="V847" s="129"/>
      <c r="W847" s="129"/>
      <c r="X847" s="129"/>
      <c r="Y847" s="129"/>
      <c r="Z847" s="129"/>
      <c r="AA847" s="129"/>
      <c r="AB847" s="129"/>
      <c r="AC847" s="129"/>
      <c r="AD847" s="129"/>
      <c r="AE847" s="129"/>
      <c r="AF847" s="129"/>
      <c r="AG847" s="129"/>
      <c r="AH847" s="129"/>
      <c r="AI847" s="129"/>
      <c r="AJ847" s="129"/>
      <c r="AK847" s="129"/>
      <c r="AL847" s="129"/>
      <c r="AM847" s="129"/>
      <c r="AN847" s="129"/>
      <c r="AO847" s="129"/>
      <c r="AP847" s="129"/>
      <c r="AQ847" s="129"/>
    </row>
    <row r="848" spans="1:43" ht="12.75" customHeight="1">
      <c r="A848" s="129"/>
      <c r="B848" s="129"/>
      <c r="C848" s="129"/>
      <c r="D848" s="129"/>
      <c r="E848" s="129"/>
      <c r="F848" s="129"/>
      <c r="G848" s="129"/>
      <c r="H848" s="129"/>
      <c r="I848" s="129"/>
      <c r="J848" s="129"/>
      <c r="K848" s="129"/>
      <c r="L848" s="129"/>
      <c r="M848" s="129"/>
      <c r="N848" s="129"/>
      <c r="O848" s="129"/>
      <c r="P848" s="129"/>
      <c r="Q848" s="129"/>
      <c r="R848" s="129"/>
      <c r="S848" s="129"/>
      <c r="T848" s="129"/>
      <c r="U848" s="129"/>
      <c r="V848" s="129"/>
      <c r="W848" s="129"/>
      <c r="X848" s="129"/>
      <c r="Y848" s="129"/>
      <c r="Z848" s="129"/>
      <c r="AA848" s="129"/>
      <c r="AB848" s="129"/>
      <c r="AC848" s="129"/>
      <c r="AD848" s="129"/>
      <c r="AE848" s="129"/>
      <c r="AF848" s="129"/>
      <c r="AG848" s="129"/>
      <c r="AH848" s="129"/>
      <c r="AI848" s="129"/>
      <c r="AJ848" s="129"/>
      <c r="AK848" s="129"/>
      <c r="AL848" s="129"/>
      <c r="AM848" s="129"/>
      <c r="AN848" s="129"/>
      <c r="AO848" s="129"/>
      <c r="AP848" s="129"/>
      <c r="AQ848" s="129"/>
    </row>
    <row r="849" spans="1:43" ht="12.75" customHeight="1">
      <c r="A849" s="129"/>
      <c r="B849" s="129"/>
      <c r="C849" s="129"/>
      <c r="D849" s="129"/>
      <c r="E849" s="129"/>
      <c r="F849" s="129"/>
      <c r="G849" s="129"/>
      <c r="H849" s="129"/>
      <c r="I849" s="129"/>
      <c r="J849" s="129"/>
      <c r="K849" s="129"/>
      <c r="L849" s="129"/>
      <c r="M849" s="129"/>
      <c r="N849" s="129"/>
      <c r="O849" s="129"/>
      <c r="P849" s="129"/>
      <c r="Q849" s="129"/>
      <c r="R849" s="129"/>
      <c r="S849" s="129"/>
      <c r="T849" s="129"/>
      <c r="U849" s="129"/>
      <c r="V849" s="129"/>
      <c r="W849" s="129"/>
      <c r="X849" s="129"/>
      <c r="Y849" s="129"/>
      <c r="Z849" s="129"/>
      <c r="AA849" s="129"/>
      <c r="AB849" s="129"/>
      <c r="AC849" s="129"/>
      <c r="AD849" s="129"/>
      <c r="AE849" s="129"/>
      <c r="AF849" s="129"/>
      <c r="AG849" s="129"/>
      <c r="AH849" s="129"/>
      <c r="AI849" s="129"/>
      <c r="AJ849" s="129"/>
      <c r="AK849" s="129"/>
      <c r="AL849" s="129"/>
      <c r="AM849" s="129"/>
      <c r="AN849" s="129"/>
      <c r="AO849" s="129"/>
      <c r="AP849" s="129"/>
      <c r="AQ849" s="129"/>
    </row>
    <row r="850" spans="1:43" ht="12.75" customHeight="1">
      <c r="A850" s="129"/>
      <c r="B850" s="129"/>
      <c r="C850" s="129"/>
      <c r="D850" s="129"/>
      <c r="E850" s="129"/>
      <c r="F850" s="129"/>
      <c r="G850" s="129"/>
      <c r="H850" s="129"/>
      <c r="I850" s="129"/>
      <c r="J850" s="129"/>
      <c r="K850" s="129"/>
      <c r="L850" s="129"/>
      <c r="M850" s="129"/>
      <c r="N850" s="129"/>
      <c r="O850" s="129"/>
      <c r="P850" s="129"/>
      <c r="Q850" s="129"/>
      <c r="R850" s="129"/>
      <c r="S850" s="129"/>
      <c r="T850" s="129"/>
      <c r="U850" s="129"/>
      <c r="V850" s="129"/>
      <c r="W850" s="129"/>
      <c r="X850" s="129"/>
      <c r="Y850" s="129"/>
      <c r="Z850" s="129"/>
      <c r="AA850" s="129"/>
      <c r="AB850" s="129"/>
      <c r="AC850" s="129"/>
      <c r="AD850" s="129"/>
      <c r="AE850" s="129"/>
      <c r="AF850" s="129"/>
      <c r="AG850" s="129"/>
      <c r="AH850" s="129"/>
      <c r="AI850" s="129"/>
      <c r="AJ850" s="129"/>
      <c r="AK850" s="129"/>
      <c r="AL850" s="129"/>
      <c r="AM850" s="129"/>
      <c r="AN850" s="129"/>
      <c r="AO850" s="129"/>
      <c r="AP850" s="129"/>
      <c r="AQ850" s="129"/>
    </row>
    <row r="851" spans="1:43" ht="12.75" customHeight="1">
      <c r="A851" s="129"/>
      <c r="B851" s="129"/>
      <c r="C851" s="129"/>
      <c r="D851" s="129"/>
      <c r="E851" s="129"/>
      <c r="F851" s="129"/>
      <c r="G851" s="129"/>
      <c r="H851" s="129"/>
      <c r="I851" s="129"/>
      <c r="J851" s="129"/>
      <c r="K851" s="129"/>
      <c r="L851" s="129"/>
      <c r="M851" s="129"/>
      <c r="N851" s="129"/>
      <c r="O851" s="129"/>
      <c r="P851" s="129"/>
      <c r="Q851" s="129"/>
      <c r="R851" s="129"/>
      <c r="S851" s="129"/>
      <c r="T851" s="129"/>
      <c r="U851" s="129"/>
      <c r="V851" s="129"/>
      <c r="W851" s="129"/>
      <c r="X851" s="129"/>
      <c r="Y851" s="129"/>
      <c r="Z851" s="129"/>
      <c r="AA851" s="129"/>
      <c r="AB851" s="129"/>
      <c r="AC851" s="129"/>
      <c r="AD851" s="129"/>
      <c r="AE851" s="129"/>
      <c r="AF851" s="129"/>
      <c r="AG851" s="129"/>
      <c r="AH851" s="129"/>
      <c r="AI851" s="129"/>
      <c r="AJ851" s="129"/>
      <c r="AK851" s="129"/>
      <c r="AL851" s="129"/>
      <c r="AM851" s="129"/>
      <c r="AN851" s="129"/>
      <c r="AO851" s="129"/>
      <c r="AP851" s="129"/>
      <c r="AQ851" s="129"/>
    </row>
    <row r="852" spans="1:43" ht="12.75" customHeight="1">
      <c r="A852" s="129"/>
      <c r="B852" s="129"/>
      <c r="C852" s="129"/>
      <c r="D852" s="129"/>
      <c r="E852" s="129"/>
      <c r="F852" s="129"/>
      <c r="G852" s="129"/>
      <c r="H852" s="129"/>
      <c r="I852" s="129"/>
      <c r="J852" s="129"/>
      <c r="K852" s="129"/>
      <c r="L852" s="129"/>
      <c r="M852" s="129"/>
      <c r="N852" s="129"/>
      <c r="O852" s="129"/>
      <c r="P852" s="129"/>
      <c r="Q852" s="129"/>
      <c r="R852" s="129"/>
      <c r="S852" s="129"/>
      <c r="T852" s="129"/>
      <c r="U852" s="129"/>
      <c r="V852" s="129"/>
      <c r="W852" s="129"/>
      <c r="X852" s="129"/>
      <c r="Y852" s="129"/>
      <c r="Z852" s="129"/>
      <c r="AA852" s="129"/>
      <c r="AB852" s="129"/>
      <c r="AC852" s="129"/>
      <c r="AD852" s="129"/>
      <c r="AE852" s="129"/>
      <c r="AF852" s="129"/>
      <c r="AG852" s="129"/>
      <c r="AH852" s="129"/>
      <c r="AI852" s="129"/>
      <c r="AJ852" s="129"/>
      <c r="AK852" s="129"/>
      <c r="AL852" s="129"/>
      <c r="AM852" s="129"/>
      <c r="AN852" s="129"/>
      <c r="AO852" s="129"/>
      <c r="AP852" s="129"/>
      <c r="AQ852" s="129"/>
    </row>
    <row r="853" spans="1:43" ht="12.75" customHeight="1">
      <c r="A853" s="129"/>
      <c r="B853" s="129"/>
      <c r="C853" s="129"/>
      <c r="D853" s="129"/>
      <c r="E853" s="129"/>
      <c r="F853" s="129"/>
      <c r="G853" s="129"/>
      <c r="H853" s="129"/>
      <c r="I853" s="129"/>
      <c r="J853" s="129"/>
      <c r="K853" s="129"/>
      <c r="L853" s="129"/>
      <c r="M853" s="129"/>
      <c r="N853" s="129"/>
      <c r="O853" s="129"/>
      <c r="P853" s="129"/>
      <c r="Q853" s="129"/>
      <c r="R853" s="129"/>
      <c r="S853" s="129"/>
      <c r="T853" s="129"/>
      <c r="U853" s="129"/>
      <c r="V853" s="129"/>
      <c r="W853" s="129"/>
      <c r="X853" s="129"/>
      <c r="Y853" s="129"/>
      <c r="Z853" s="129"/>
      <c r="AA853" s="129"/>
      <c r="AB853" s="129"/>
      <c r="AC853" s="129"/>
      <c r="AD853" s="129"/>
      <c r="AE853" s="129"/>
      <c r="AF853" s="129"/>
      <c r="AG853" s="129"/>
      <c r="AH853" s="129"/>
      <c r="AI853" s="129"/>
      <c r="AJ853" s="129"/>
      <c r="AK853" s="129"/>
      <c r="AL853" s="129"/>
      <c r="AM853" s="129"/>
      <c r="AN853" s="129"/>
      <c r="AO853" s="129"/>
      <c r="AP853" s="129"/>
      <c r="AQ853" s="129"/>
    </row>
    <row r="854" spans="1:43" ht="12.75" customHeight="1">
      <c r="A854" s="129"/>
      <c r="B854" s="129"/>
      <c r="C854" s="129"/>
      <c r="D854" s="129"/>
      <c r="E854" s="129"/>
      <c r="F854" s="129"/>
      <c r="G854" s="129"/>
      <c r="H854" s="129"/>
      <c r="I854" s="129"/>
      <c r="J854" s="129"/>
      <c r="K854" s="129"/>
      <c r="L854" s="129"/>
      <c r="M854" s="129"/>
      <c r="N854" s="129"/>
      <c r="O854" s="129"/>
      <c r="P854" s="129"/>
      <c r="Q854" s="129"/>
      <c r="R854" s="129"/>
      <c r="S854" s="129"/>
      <c r="T854" s="129"/>
      <c r="U854" s="129"/>
      <c r="V854" s="129"/>
      <c r="W854" s="129"/>
      <c r="X854" s="129"/>
      <c r="Y854" s="129"/>
      <c r="Z854" s="129"/>
      <c r="AA854" s="129"/>
      <c r="AB854" s="129"/>
      <c r="AC854" s="129"/>
      <c r="AD854" s="129"/>
      <c r="AE854" s="129"/>
      <c r="AF854" s="129"/>
      <c r="AG854" s="129"/>
      <c r="AH854" s="129"/>
      <c r="AI854" s="129"/>
      <c r="AJ854" s="129"/>
      <c r="AK854" s="129"/>
      <c r="AL854" s="129"/>
      <c r="AM854" s="129"/>
      <c r="AN854" s="129"/>
      <c r="AO854" s="129"/>
      <c r="AP854" s="129"/>
      <c r="AQ854" s="129"/>
    </row>
    <row r="855" spans="1:43" ht="12.75" customHeight="1">
      <c r="A855" s="129"/>
      <c r="B855" s="129"/>
      <c r="C855" s="129"/>
      <c r="D855" s="129"/>
      <c r="E855" s="129"/>
      <c r="F855" s="129"/>
      <c r="G855" s="129"/>
      <c r="H855" s="129"/>
      <c r="I855" s="129"/>
      <c r="J855" s="129"/>
      <c r="K855" s="129"/>
      <c r="L855" s="129"/>
      <c r="M855" s="129"/>
      <c r="N855" s="129"/>
      <c r="O855" s="129"/>
      <c r="P855" s="129"/>
      <c r="Q855" s="129"/>
      <c r="R855" s="129"/>
      <c r="S855" s="129"/>
      <c r="T855" s="129"/>
      <c r="U855" s="129"/>
      <c r="V855" s="129"/>
      <c r="W855" s="129"/>
      <c r="X855" s="129"/>
      <c r="Y855" s="129"/>
      <c r="Z855" s="129"/>
      <c r="AA855" s="129"/>
      <c r="AB855" s="129"/>
      <c r="AC855" s="129"/>
      <c r="AD855" s="129"/>
      <c r="AE855" s="129"/>
      <c r="AF855" s="129"/>
      <c r="AG855" s="129"/>
      <c r="AH855" s="129"/>
      <c r="AI855" s="129"/>
      <c r="AJ855" s="129"/>
      <c r="AK855" s="129"/>
      <c r="AL855" s="129"/>
      <c r="AM855" s="129"/>
      <c r="AN855" s="129"/>
      <c r="AO855" s="129"/>
      <c r="AP855" s="129"/>
      <c r="AQ855" s="129"/>
    </row>
    <row r="856" spans="1:43" ht="12.75" customHeight="1">
      <c r="A856" s="129"/>
      <c r="B856" s="129"/>
      <c r="C856" s="129"/>
      <c r="D856" s="129"/>
      <c r="E856" s="129"/>
      <c r="F856" s="129"/>
      <c r="G856" s="129"/>
      <c r="H856" s="129"/>
      <c r="I856" s="129"/>
      <c r="J856" s="129"/>
      <c r="K856" s="129"/>
      <c r="L856" s="129"/>
      <c r="M856" s="129"/>
      <c r="N856" s="129"/>
      <c r="O856" s="129"/>
      <c r="P856" s="129"/>
      <c r="Q856" s="129"/>
      <c r="R856" s="129"/>
      <c r="S856" s="129"/>
      <c r="T856" s="129"/>
      <c r="U856" s="129"/>
      <c r="V856" s="129"/>
      <c r="W856" s="129"/>
      <c r="X856" s="129"/>
      <c r="Y856" s="129"/>
      <c r="Z856" s="129"/>
      <c r="AA856" s="129"/>
      <c r="AB856" s="129"/>
      <c r="AC856" s="129"/>
      <c r="AD856" s="129"/>
      <c r="AE856" s="129"/>
      <c r="AF856" s="129"/>
      <c r="AG856" s="129"/>
      <c r="AH856" s="129"/>
      <c r="AI856" s="129"/>
      <c r="AJ856" s="129"/>
      <c r="AK856" s="129"/>
      <c r="AL856" s="129"/>
      <c r="AM856" s="129"/>
      <c r="AN856" s="129"/>
      <c r="AO856" s="129"/>
      <c r="AP856" s="129"/>
      <c r="AQ856" s="129"/>
    </row>
    <row r="857" spans="1:43" ht="12.75" customHeight="1">
      <c r="A857" s="129"/>
      <c r="B857" s="129"/>
      <c r="C857" s="129"/>
      <c r="D857" s="129"/>
      <c r="E857" s="129"/>
      <c r="F857" s="129"/>
      <c r="G857" s="129"/>
      <c r="H857" s="129"/>
      <c r="I857" s="129"/>
      <c r="J857" s="129"/>
      <c r="K857" s="129"/>
      <c r="L857" s="129"/>
      <c r="M857" s="129"/>
      <c r="N857" s="129"/>
      <c r="O857" s="129"/>
      <c r="P857" s="129"/>
      <c r="Q857" s="129"/>
      <c r="R857" s="129"/>
      <c r="S857" s="129"/>
      <c r="T857" s="129"/>
      <c r="U857" s="129"/>
      <c r="V857" s="129"/>
      <c r="W857" s="129"/>
      <c r="X857" s="129"/>
      <c r="Y857" s="129"/>
      <c r="Z857" s="129"/>
      <c r="AA857" s="129"/>
      <c r="AB857" s="129"/>
      <c r="AC857" s="129"/>
      <c r="AD857" s="129"/>
      <c r="AE857" s="129"/>
      <c r="AF857" s="129"/>
      <c r="AG857" s="129"/>
      <c r="AH857" s="129"/>
      <c r="AI857" s="129"/>
      <c r="AJ857" s="129"/>
      <c r="AK857" s="129"/>
      <c r="AL857" s="129"/>
      <c r="AM857" s="129"/>
      <c r="AN857" s="129"/>
      <c r="AO857" s="129"/>
      <c r="AP857" s="129"/>
      <c r="AQ857" s="129"/>
    </row>
    <row r="858" spans="1:43" ht="12.75" customHeight="1">
      <c r="A858" s="129"/>
      <c r="B858" s="129"/>
      <c r="C858" s="129"/>
      <c r="D858" s="129"/>
      <c r="E858" s="129"/>
      <c r="F858" s="129"/>
      <c r="G858" s="129"/>
      <c r="H858" s="129"/>
      <c r="I858" s="129"/>
      <c r="J858" s="129"/>
      <c r="K858" s="129"/>
      <c r="L858" s="129"/>
      <c r="M858" s="129"/>
      <c r="N858" s="129"/>
      <c r="O858" s="129"/>
      <c r="P858" s="129"/>
      <c r="Q858" s="129"/>
      <c r="R858" s="129"/>
      <c r="S858" s="129"/>
      <c r="T858" s="129"/>
      <c r="U858" s="129"/>
      <c r="V858" s="129"/>
      <c r="W858" s="129"/>
      <c r="X858" s="129"/>
      <c r="Y858" s="129"/>
      <c r="Z858" s="129"/>
      <c r="AA858" s="129"/>
      <c r="AB858" s="129"/>
      <c r="AC858" s="129"/>
      <c r="AD858" s="129"/>
      <c r="AE858" s="129"/>
      <c r="AF858" s="129"/>
      <c r="AG858" s="129"/>
      <c r="AH858" s="129"/>
      <c r="AI858" s="129"/>
      <c r="AJ858" s="129"/>
      <c r="AK858" s="129"/>
      <c r="AL858" s="129"/>
      <c r="AM858" s="129"/>
      <c r="AN858" s="129"/>
      <c r="AO858" s="129"/>
      <c r="AP858" s="129"/>
      <c r="AQ858" s="129"/>
    </row>
    <row r="859" spans="1:43" ht="12.75" customHeight="1">
      <c r="A859" s="129"/>
      <c r="B859" s="129"/>
      <c r="C859" s="129"/>
      <c r="D859" s="129"/>
      <c r="E859" s="129"/>
      <c r="F859" s="129"/>
      <c r="G859" s="129"/>
      <c r="H859" s="129"/>
      <c r="I859" s="129"/>
      <c r="J859" s="129"/>
      <c r="K859" s="129"/>
      <c r="L859" s="129"/>
      <c r="M859" s="129"/>
      <c r="N859" s="129"/>
      <c r="O859" s="129"/>
      <c r="P859" s="129"/>
      <c r="Q859" s="129"/>
      <c r="R859" s="129"/>
      <c r="S859" s="129"/>
      <c r="T859" s="129"/>
      <c r="U859" s="129"/>
      <c r="V859" s="129"/>
      <c r="W859" s="129"/>
      <c r="X859" s="129"/>
      <c r="Y859" s="129"/>
      <c r="Z859" s="129"/>
      <c r="AA859" s="129"/>
      <c r="AB859" s="129"/>
      <c r="AC859" s="129"/>
      <c r="AD859" s="129"/>
      <c r="AE859" s="129"/>
      <c r="AF859" s="129"/>
      <c r="AG859" s="129"/>
      <c r="AH859" s="129"/>
      <c r="AI859" s="129"/>
      <c r="AJ859" s="129"/>
      <c r="AK859" s="129"/>
      <c r="AL859" s="129"/>
      <c r="AM859" s="129"/>
      <c r="AN859" s="129"/>
      <c r="AO859" s="129"/>
      <c r="AP859" s="129"/>
      <c r="AQ859" s="129"/>
    </row>
    <row r="860" spans="1:43" ht="12.75" customHeight="1">
      <c r="A860" s="129"/>
      <c r="B860" s="129"/>
      <c r="C860" s="129"/>
      <c r="D860" s="129"/>
      <c r="E860" s="129"/>
      <c r="F860" s="129"/>
      <c r="G860" s="129"/>
      <c r="H860" s="129"/>
      <c r="I860" s="129"/>
      <c r="J860" s="129"/>
      <c r="K860" s="129"/>
      <c r="L860" s="129"/>
      <c r="M860" s="129"/>
      <c r="N860" s="129"/>
      <c r="O860" s="129"/>
      <c r="P860" s="129"/>
      <c r="Q860" s="129"/>
      <c r="R860" s="129"/>
      <c r="S860" s="129"/>
      <c r="T860" s="129"/>
      <c r="U860" s="129"/>
      <c r="V860" s="129"/>
      <c r="W860" s="129"/>
      <c r="X860" s="129"/>
      <c r="Y860" s="129"/>
      <c r="Z860" s="129"/>
      <c r="AA860" s="129"/>
      <c r="AB860" s="129"/>
      <c r="AC860" s="129"/>
      <c r="AD860" s="129"/>
      <c r="AE860" s="129"/>
      <c r="AF860" s="129"/>
      <c r="AG860" s="129"/>
      <c r="AH860" s="129"/>
      <c r="AI860" s="129"/>
      <c r="AJ860" s="129"/>
      <c r="AK860" s="129"/>
      <c r="AL860" s="129"/>
      <c r="AM860" s="129"/>
      <c r="AN860" s="129"/>
      <c r="AO860" s="129"/>
      <c r="AP860" s="129"/>
      <c r="AQ860" s="129"/>
    </row>
    <row r="861" spans="1:43" ht="12.75" customHeight="1">
      <c r="A861" s="129"/>
      <c r="B861" s="129"/>
      <c r="C861" s="129"/>
      <c r="D861" s="129"/>
      <c r="E861" s="129"/>
      <c r="F861" s="129"/>
      <c r="G861" s="129"/>
      <c r="H861" s="129"/>
      <c r="I861" s="129"/>
      <c r="J861" s="129"/>
      <c r="K861" s="129"/>
      <c r="L861" s="129"/>
      <c r="M861" s="129"/>
      <c r="N861" s="129"/>
      <c r="O861" s="129"/>
      <c r="P861" s="129"/>
      <c r="Q861" s="129"/>
      <c r="R861" s="129"/>
      <c r="S861" s="129"/>
      <c r="T861" s="129"/>
      <c r="U861" s="129"/>
      <c r="V861" s="129"/>
      <c r="W861" s="129"/>
      <c r="X861" s="129"/>
      <c r="Y861" s="129"/>
      <c r="Z861" s="129"/>
      <c r="AA861" s="129"/>
      <c r="AB861" s="129"/>
      <c r="AC861" s="129"/>
      <c r="AD861" s="129"/>
      <c r="AE861" s="129"/>
      <c r="AF861" s="129"/>
      <c r="AG861" s="129"/>
      <c r="AH861" s="129"/>
      <c r="AI861" s="129"/>
      <c r="AJ861" s="129"/>
      <c r="AK861" s="129"/>
      <c r="AL861" s="129"/>
      <c r="AM861" s="129"/>
      <c r="AN861" s="129"/>
      <c r="AO861" s="129"/>
      <c r="AP861" s="129"/>
      <c r="AQ861" s="129"/>
    </row>
    <row r="862" spans="1:43" ht="12.75" customHeight="1">
      <c r="A862" s="129"/>
      <c r="B862" s="129"/>
      <c r="C862" s="129"/>
      <c r="D862" s="129"/>
      <c r="E862" s="129"/>
      <c r="F862" s="129"/>
      <c r="G862" s="129"/>
      <c r="H862" s="129"/>
      <c r="I862" s="129"/>
      <c r="J862" s="129"/>
      <c r="K862" s="129"/>
      <c r="L862" s="129"/>
      <c r="M862" s="129"/>
      <c r="N862" s="129"/>
      <c r="O862" s="129"/>
      <c r="P862" s="129"/>
      <c r="Q862" s="129"/>
      <c r="R862" s="129"/>
      <c r="S862" s="129"/>
      <c r="T862" s="129"/>
      <c r="U862" s="129"/>
      <c r="V862" s="129"/>
      <c r="W862" s="129"/>
      <c r="X862" s="129"/>
      <c r="Y862" s="129"/>
      <c r="Z862" s="129"/>
      <c r="AA862" s="129"/>
      <c r="AB862" s="129"/>
      <c r="AC862" s="129"/>
      <c r="AD862" s="129"/>
      <c r="AE862" s="129"/>
      <c r="AF862" s="129"/>
      <c r="AG862" s="129"/>
      <c r="AH862" s="129"/>
      <c r="AI862" s="129"/>
      <c r="AJ862" s="129"/>
      <c r="AK862" s="129"/>
      <c r="AL862" s="129"/>
      <c r="AM862" s="129"/>
      <c r="AN862" s="129"/>
      <c r="AO862" s="129"/>
      <c r="AP862" s="129"/>
      <c r="AQ862" s="129"/>
    </row>
    <row r="863" spans="1:43" ht="12.75" customHeight="1">
      <c r="A863" s="129"/>
      <c r="B863" s="129"/>
      <c r="C863" s="129"/>
      <c r="D863" s="129"/>
      <c r="E863" s="129"/>
      <c r="F863" s="129"/>
      <c r="G863" s="129"/>
      <c r="H863" s="129"/>
      <c r="I863" s="129"/>
      <c r="J863" s="129"/>
      <c r="K863" s="129"/>
      <c r="L863" s="129"/>
      <c r="M863" s="129"/>
      <c r="N863" s="129"/>
      <c r="O863" s="129"/>
      <c r="P863" s="129"/>
      <c r="Q863" s="129"/>
      <c r="R863" s="129"/>
      <c r="S863" s="129"/>
      <c r="T863" s="129"/>
      <c r="U863" s="129"/>
      <c r="V863" s="129"/>
      <c r="W863" s="129"/>
      <c r="X863" s="129"/>
      <c r="Y863" s="129"/>
      <c r="Z863" s="129"/>
      <c r="AA863" s="129"/>
      <c r="AB863" s="129"/>
      <c r="AC863" s="129"/>
      <c r="AD863" s="129"/>
      <c r="AE863" s="129"/>
      <c r="AF863" s="129"/>
      <c r="AG863" s="129"/>
      <c r="AH863" s="129"/>
      <c r="AI863" s="129"/>
      <c r="AJ863" s="129"/>
      <c r="AK863" s="129"/>
      <c r="AL863" s="129"/>
      <c r="AM863" s="129"/>
      <c r="AN863" s="129"/>
      <c r="AO863" s="129"/>
      <c r="AP863" s="129"/>
      <c r="AQ863" s="129"/>
    </row>
    <row r="864" spans="1:43" ht="12.75" customHeight="1">
      <c r="A864" s="129"/>
      <c r="B864" s="129"/>
      <c r="C864" s="129"/>
      <c r="D864" s="129"/>
      <c r="E864" s="129"/>
      <c r="F864" s="129"/>
      <c r="G864" s="129"/>
      <c r="H864" s="129"/>
      <c r="I864" s="129"/>
      <c r="J864" s="129"/>
      <c r="K864" s="129"/>
      <c r="L864" s="129"/>
      <c r="M864" s="129"/>
      <c r="N864" s="129"/>
      <c r="O864" s="129"/>
      <c r="P864" s="129"/>
      <c r="Q864" s="129"/>
      <c r="R864" s="129"/>
      <c r="S864" s="129"/>
      <c r="T864" s="129"/>
      <c r="U864" s="129"/>
      <c r="V864" s="129"/>
      <c r="W864" s="129"/>
      <c r="X864" s="129"/>
      <c r="Y864" s="129"/>
      <c r="Z864" s="129"/>
      <c r="AA864" s="129"/>
      <c r="AB864" s="129"/>
      <c r="AC864" s="129"/>
      <c r="AD864" s="129"/>
      <c r="AE864" s="129"/>
      <c r="AF864" s="129"/>
      <c r="AG864" s="129"/>
      <c r="AH864" s="129"/>
      <c r="AI864" s="129"/>
      <c r="AJ864" s="129"/>
      <c r="AK864" s="129"/>
      <c r="AL864" s="129"/>
      <c r="AM864" s="129"/>
      <c r="AN864" s="129"/>
      <c r="AO864" s="129"/>
      <c r="AP864" s="129"/>
      <c r="AQ864" s="129"/>
    </row>
    <row r="865" spans="1:43" ht="12.75" customHeight="1">
      <c r="A865" s="129"/>
      <c r="B865" s="129"/>
      <c r="C865" s="129"/>
      <c r="D865" s="129"/>
      <c r="E865" s="129"/>
      <c r="F865" s="129"/>
      <c r="G865" s="129"/>
      <c r="H865" s="129"/>
      <c r="I865" s="129"/>
      <c r="J865" s="129"/>
      <c r="K865" s="129"/>
      <c r="L865" s="129"/>
      <c r="M865" s="129"/>
      <c r="N865" s="129"/>
      <c r="O865" s="129"/>
      <c r="P865" s="129"/>
      <c r="Q865" s="129"/>
      <c r="R865" s="129"/>
      <c r="S865" s="129"/>
      <c r="T865" s="129"/>
      <c r="U865" s="129"/>
      <c r="V865" s="129"/>
      <c r="W865" s="129"/>
      <c r="X865" s="129"/>
      <c r="Y865" s="129"/>
      <c r="Z865" s="129"/>
      <c r="AA865" s="129"/>
      <c r="AB865" s="129"/>
      <c r="AC865" s="129"/>
      <c r="AD865" s="129"/>
      <c r="AE865" s="129"/>
      <c r="AF865" s="129"/>
      <c r="AG865" s="129"/>
      <c r="AH865" s="129"/>
      <c r="AI865" s="129"/>
      <c r="AJ865" s="129"/>
      <c r="AK865" s="129"/>
      <c r="AL865" s="129"/>
      <c r="AM865" s="129"/>
      <c r="AN865" s="129"/>
      <c r="AO865" s="129"/>
      <c r="AP865" s="129"/>
      <c r="AQ865" s="129"/>
    </row>
    <row r="866" spans="1:43" ht="12.75" customHeight="1">
      <c r="A866" s="129"/>
      <c r="B866" s="129"/>
      <c r="C866" s="129"/>
      <c r="D866" s="129"/>
      <c r="E866" s="129"/>
      <c r="F866" s="129"/>
      <c r="G866" s="129"/>
      <c r="H866" s="129"/>
      <c r="I866" s="129"/>
      <c r="J866" s="129"/>
      <c r="K866" s="129"/>
      <c r="L866" s="129"/>
      <c r="M866" s="129"/>
      <c r="N866" s="129"/>
      <c r="O866" s="129"/>
      <c r="P866" s="129"/>
      <c r="Q866" s="129"/>
      <c r="R866" s="129"/>
      <c r="S866" s="129"/>
      <c r="T866" s="129"/>
      <c r="U866" s="129"/>
      <c r="V866" s="129"/>
      <c r="W866" s="129"/>
      <c r="X866" s="129"/>
      <c r="Y866" s="129"/>
      <c r="Z866" s="129"/>
      <c r="AA866" s="129"/>
      <c r="AB866" s="129"/>
      <c r="AC866" s="129"/>
      <c r="AD866" s="129"/>
      <c r="AE866" s="129"/>
      <c r="AF866" s="129"/>
      <c r="AG866" s="129"/>
      <c r="AH866" s="129"/>
      <c r="AI866" s="129"/>
      <c r="AJ866" s="129"/>
      <c r="AK866" s="129"/>
      <c r="AL866" s="129"/>
      <c r="AM866" s="129"/>
      <c r="AN866" s="129"/>
      <c r="AO866" s="129"/>
      <c r="AP866" s="129"/>
      <c r="AQ866" s="129"/>
    </row>
    <row r="867" spans="1:43" ht="12.75" customHeight="1">
      <c r="A867" s="129"/>
      <c r="B867" s="129"/>
      <c r="C867" s="129"/>
      <c r="D867" s="129"/>
      <c r="E867" s="129"/>
      <c r="F867" s="129"/>
      <c r="G867" s="129"/>
      <c r="H867" s="129"/>
      <c r="I867" s="129"/>
      <c r="J867" s="129"/>
      <c r="K867" s="129"/>
      <c r="L867" s="129"/>
      <c r="M867" s="129"/>
      <c r="N867" s="129"/>
      <c r="O867" s="129"/>
      <c r="P867" s="129"/>
      <c r="Q867" s="129"/>
      <c r="R867" s="129"/>
      <c r="S867" s="129"/>
      <c r="T867" s="129"/>
      <c r="U867" s="129"/>
      <c r="V867" s="129"/>
      <c r="W867" s="129"/>
      <c r="X867" s="129"/>
      <c r="Y867" s="129"/>
      <c r="Z867" s="129"/>
      <c r="AA867" s="129"/>
      <c r="AB867" s="129"/>
      <c r="AC867" s="129"/>
      <c r="AD867" s="129"/>
      <c r="AE867" s="129"/>
      <c r="AF867" s="129"/>
      <c r="AG867" s="129"/>
      <c r="AH867" s="129"/>
      <c r="AI867" s="129"/>
      <c r="AJ867" s="129"/>
      <c r="AK867" s="129"/>
      <c r="AL867" s="129"/>
      <c r="AM867" s="129"/>
      <c r="AN867" s="129"/>
      <c r="AO867" s="129"/>
      <c r="AP867" s="129"/>
      <c r="AQ867" s="129"/>
    </row>
    <row r="868" spans="1:43" ht="12.75" customHeight="1">
      <c r="A868" s="129"/>
      <c r="B868" s="129"/>
      <c r="C868" s="129"/>
      <c r="D868" s="129"/>
      <c r="E868" s="129"/>
      <c r="F868" s="129"/>
      <c r="G868" s="129"/>
      <c r="H868" s="129"/>
      <c r="I868" s="129"/>
      <c r="J868" s="129"/>
      <c r="K868" s="129"/>
      <c r="L868" s="129"/>
      <c r="M868" s="129"/>
      <c r="N868" s="129"/>
      <c r="O868" s="129"/>
      <c r="P868" s="129"/>
      <c r="Q868" s="129"/>
      <c r="R868" s="129"/>
      <c r="S868" s="129"/>
      <c r="T868" s="129"/>
      <c r="U868" s="129"/>
      <c r="V868" s="129"/>
      <c r="W868" s="129"/>
      <c r="X868" s="129"/>
      <c r="Y868" s="129"/>
      <c r="Z868" s="129"/>
      <c r="AA868" s="129"/>
      <c r="AB868" s="129"/>
      <c r="AC868" s="129"/>
      <c r="AD868" s="129"/>
      <c r="AE868" s="129"/>
      <c r="AF868" s="129"/>
      <c r="AG868" s="129"/>
      <c r="AH868" s="129"/>
      <c r="AI868" s="129"/>
      <c r="AJ868" s="129"/>
      <c r="AK868" s="129"/>
      <c r="AL868" s="129"/>
      <c r="AM868" s="129"/>
      <c r="AN868" s="129"/>
      <c r="AO868" s="129"/>
      <c r="AP868" s="129"/>
      <c r="AQ868" s="129"/>
    </row>
    <row r="869" spans="1:43" ht="12.75" customHeight="1">
      <c r="A869" s="129"/>
      <c r="B869" s="129"/>
      <c r="C869" s="129"/>
      <c r="D869" s="129"/>
      <c r="E869" s="129"/>
      <c r="F869" s="129"/>
      <c r="G869" s="129"/>
      <c r="H869" s="129"/>
      <c r="I869" s="129"/>
      <c r="J869" s="129"/>
      <c r="K869" s="129"/>
      <c r="L869" s="129"/>
      <c r="M869" s="129"/>
      <c r="N869" s="129"/>
      <c r="O869" s="129"/>
      <c r="P869" s="129"/>
      <c r="Q869" s="129"/>
      <c r="R869" s="129"/>
      <c r="S869" s="129"/>
      <c r="T869" s="129"/>
      <c r="U869" s="129"/>
      <c r="V869" s="129"/>
      <c r="W869" s="129"/>
      <c r="X869" s="129"/>
      <c r="Y869" s="129"/>
      <c r="Z869" s="129"/>
      <c r="AA869" s="129"/>
      <c r="AB869" s="129"/>
      <c r="AC869" s="129"/>
      <c r="AD869" s="129"/>
      <c r="AE869" s="129"/>
      <c r="AF869" s="129"/>
      <c r="AG869" s="129"/>
      <c r="AH869" s="129"/>
      <c r="AI869" s="129"/>
      <c r="AJ869" s="129"/>
      <c r="AK869" s="129"/>
      <c r="AL869" s="129"/>
      <c r="AM869" s="129"/>
      <c r="AN869" s="129"/>
      <c r="AO869" s="129"/>
      <c r="AP869" s="129"/>
      <c r="AQ869" s="129"/>
    </row>
    <row r="870" spans="1:43" ht="12.75" customHeight="1">
      <c r="A870" s="129"/>
      <c r="B870" s="129"/>
      <c r="C870" s="129"/>
      <c r="D870" s="129"/>
      <c r="E870" s="129"/>
      <c r="F870" s="129"/>
      <c r="G870" s="129"/>
      <c r="H870" s="129"/>
      <c r="I870" s="129"/>
      <c r="J870" s="129"/>
      <c r="K870" s="129"/>
      <c r="L870" s="129"/>
      <c r="M870" s="129"/>
      <c r="N870" s="129"/>
      <c r="O870" s="129"/>
      <c r="P870" s="129"/>
      <c r="Q870" s="129"/>
      <c r="R870" s="129"/>
      <c r="S870" s="129"/>
      <c r="T870" s="129"/>
      <c r="U870" s="129"/>
      <c r="V870" s="129"/>
      <c r="W870" s="129"/>
      <c r="X870" s="129"/>
      <c r="Y870" s="129"/>
      <c r="Z870" s="129"/>
      <c r="AA870" s="129"/>
      <c r="AB870" s="129"/>
      <c r="AC870" s="129"/>
      <c r="AD870" s="129"/>
      <c r="AE870" s="129"/>
      <c r="AF870" s="129"/>
      <c r="AG870" s="129"/>
      <c r="AH870" s="129"/>
      <c r="AI870" s="129"/>
      <c r="AJ870" s="129"/>
      <c r="AK870" s="129"/>
      <c r="AL870" s="129"/>
      <c r="AM870" s="129"/>
      <c r="AN870" s="129"/>
      <c r="AO870" s="129"/>
      <c r="AP870" s="129"/>
      <c r="AQ870" s="129"/>
    </row>
    <row r="871" spans="1:43" ht="12.75" customHeight="1">
      <c r="A871" s="129"/>
      <c r="B871" s="129"/>
      <c r="C871" s="129"/>
      <c r="D871" s="129"/>
      <c r="E871" s="129"/>
      <c r="F871" s="129"/>
      <c r="G871" s="129"/>
      <c r="H871" s="129"/>
      <c r="I871" s="129"/>
      <c r="J871" s="129"/>
      <c r="K871" s="129"/>
      <c r="L871" s="129"/>
      <c r="M871" s="129"/>
      <c r="N871" s="129"/>
      <c r="O871" s="129"/>
      <c r="P871" s="129"/>
      <c r="Q871" s="129"/>
      <c r="R871" s="129"/>
      <c r="S871" s="129"/>
      <c r="T871" s="129"/>
      <c r="U871" s="129"/>
      <c r="V871" s="129"/>
      <c r="W871" s="129"/>
      <c r="X871" s="129"/>
      <c r="Y871" s="129"/>
      <c r="Z871" s="129"/>
      <c r="AA871" s="129"/>
      <c r="AB871" s="129"/>
      <c r="AC871" s="129"/>
      <c r="AD871" s="129"/>
      <c r="AE871" s="129"/>
      <c r="AF871" s="129"/>
      <c r="AG871" s="129"/>
      <c r="AH871" s="129"/>
      <c r="AI871" s="129"/>
      <c r="AJ871" s="129"/>
      <c r="AK871" s="129"/>
      <c r="AL871" s="129"/>
      <c r="AM871" s="129"/>
      <c r="AN871" s="129"/>
      <c r="AO871" s="129"/>
      <c r="AP871" s="129"/>
      <c r="AQ871" s="129"/>
    </row>
    <row r="872" spans="1:43" ht="12.75" customHeight="1">
      <c r="A872" s="129"/>
      <c r="B872" s="129"/>
      <c r="C872" s="129"/>
      <c r="D872" s="129"/>
      <c r="E872" s="129"/>
      <c r="F872" s="129"/>
      <c r="G872" s="129"/>
      <c r="H872" s="129"/>
      <c r="I872" s="129"/>
      <c r="J872" s="129"/>
      <c r="K872" s="129"/>
      <c r="L872" s="129"/>
      <c r="M872" s="129"/>
      <c r="N872" s="129"/>
      <c r="O872" s="129"/>
      <c r="P872" s="129"/>
      <c r="Q872" s="129"/>
      <c r="R872" s="129"/>
      <c r="S872" s="129"/>
      <c r="T872" s="129"/>
      <c r="U872" s="129"/>
      <c r="V872" s="129"/>
      <c r="W872" s="129"/>
      <c r="X872" s="129"/>
      <c r="Y872" s="129"/>
      <c r="Z872" s="129"/>
      <c r="AA872" s="129"/>
      <c r="AB872" s="129"/>
      <c r="AC872" s="129"/>
      <c r="AD872" s="129"/>
      <c r="AE872" s="129"/>
      <c r="AF872" s="129"/>
      <c r="AG872" s="129"/>
      <c r="AH872" s="129"/>
      <c r="AI872" s="129"/>
      <c r="AJ872" s="129"/>
      <c r="AK872" s="129"/>
      <c r="AL872" s="129"/>
      <c r="AM872" s="129"/>
      <c r="AN872" s="129"/>
      <c r="AO872" s="129"/>
      <c r="AP872" s="129"/>
      <c r="AQ872" s="129"/>
    </row>
    <row r="873" spans="1:43" ht="12.75" customHeight="1">
      <c r="A873" s="129"/>
      <c r="B873" s="129"/>
      <c r="C873" s="129"/>
      <c r="D873" s="129"/>
      <c r="E873" s="129"/>
      <c r="F873" s="129"/>
      <c r="G873" s="129"/>
      <c r="H873" s="129"/>
      <c r="I873" s="129"/>
      <c r="J873" s="129"/>
      <c r="K873" s="129"/>
      <c r="L873" s="129"/>
      <c r="M873" s="129"/>
      <c r="N873" s="129"/>
      <c r="O873" s="129"/>
      <c r="P873" s="129"/>
      <c r="Q873" s="129"/>
      <c r="R873" s="129"/>
      <c r="S873" s="129"/>
      <c r="T873" s="129"/>
      <c r="U873" s="129"/>
      <c r="V873" s="129"/>
      <c r="W873" s="129"/>
      <c r="X873" s="129"/>
      <c r="Y873" s="129"/>
      <c r="Z873" s="129"/>
      <c r="AA873" s="129"/>
      <c r="AB873" s="129"/>
      <c r="AC873" s="129"/>
      <c r="AD873" s="129"/>
      <c r="AE873" s="129"/>
      <c r="AF873" s="129"/>
      <c r="AG873" s="129"/>
      <c r="AH873" s="129"/>
      <c r="AI873" s="129"/>
      <c r="AJ873" s="129"/>
      <c r="AK873" s="129"/>
      <c r="AL873" s="129"/>
      <c r="AM873" s="129"/>
      <c r="AN873" s="129"/>
      <c r="AO873" s="129"/>
      <c r="AP873" s="129"/>
      <c r="AQ873" s="129"/>
    </row>
    <row r="874" spans="1:43" ht="12.75" customHeight="1">
      <c r="A874" s="129"/>
      <c r="B874" s="129"/>
      <c r="C874" s="129"/>
      <c r="D874" s="129"/>
      <c r="E874" s="129"/>
      <c r="F874" s="129"/>
      <c r="G874" s="129"/>
      <c r="H874" s="129"/>
      <c r="I874" s="129"/>
      <c r="J874" s="129"/>
      <c r="K874" s="129"/>
      <c r="L874" s="129"/>
      <c r="M874" s="129"/>
      <c r="N874" s="129"/>
      <c r="O874" s="129"/>
      <c r="P874" s="129"/>
      <c r="Q874" s="129"/>
      <c r="R874" s="129"/>
      <c r="S874" s="129"/>
      <c r="T874" s="129"/>
      <c r="U874" s="129"/>
      <c r="V874" s="129"/>
      <c r="W874" s="129"/>
      <c r="X874" s="129"/>
      <c r="Y874" s="129"/>
      <c r="Z874" s="129"/>
      <c r="AA874" s="129"/>
      <c r="AB874" s="129"/>
      <c r="AC874" s="129"/>
      <c r="AD874" s="129"/>
      <c r="AE874" s="129"/>
      <c r="AF874" s="129"/>
      <c r="AG874" s="129"/>
      <c r="AH874" s="129"/>
      <c r="AI874" s="129"/>
      <c r="AJ874" s="129"/>
      <c r="AK874" s="129"/>
      <c r="AL874" s="129"/>
      <c r="AM874" s="129"/>
      <c r="AN874" s="129"/>
      <c r="AO874" s="129"/>
      <c r="AP874" s="129"/>
      <c r="AQ874" s="129"/>
    </row>
    <row r="875" spans="1:43" ht="12.75" customHeight="1">
      <c r="A875" s="129"/>
      <c r="B875" s="129"/>
      <c r="C875" s="129"/>
      <c r="D875" s="129"/>
      <c r="E875" s="129"/>
      <c r="F875" s="129"/>
      <c r="G875" s="129"/>
      <c r="H875" s="129"/>
      <c r="I875" s="129"/>
      <c r="J875" s="129"/>
      <c r="K875" s="129"/>
      <c r="L875" s="129"/>
      <c r="M875" s="129"/>
      <c r="N875" s="129"/>
      <c r="O875" s="129"/>
      <c r="P875" s="129"/>
      <c r="Q875" s="129"/>
      <c r="R875" s="129"/>
      <c r="S875" s="129"/>
      <c r="T875" s="129"/>
      <c r="U875" s="129"/>
      <c r="V875" s="129"/>
      <c r="W875" s="129"/>
      <c r="X875" s="129"/>
      <c r="Y875" s="129"/>
      <c r="Z875" s="129"/>
      <c r="AA875" s="129"/>
      <c r="AB875" s="129"/>
      <c r="AC875" s="129"/>
      <c r="AD875" s="129"/>
      <c r="AE875" s="129"/>
      <c r="AF875" s="129"/>
      <c r="AG875" s="129"/>
      <c r="AH875" s="129"/>
      <c r="AI875" s="129"/>
      <c r="AJ875" s="129"/>
      <c r="AK875" s="129"/>
      <c r="AL875" s="129"/>
      <c r="AM875" s="129"/>
      <c r="AN875" s="129"/>
      <c r="AO875" s="129"/>
      <c r="AP875" s="129"/>
      <c r="AQ875" s="129"/>
    </row>
    <row r="876" spans="1:43" ht="12.75" customHeight="1">
      <c r="A876" s="129"/>
      <c r="B876" s="129"/>
      <c r="C876" s="129"/>
      <c r="D876" s="129"/>
      <c r="E876" s="129"/>
      <c r="F876" s="129"/>
      <c r="G876" s="129"/>
      <c r="H876" s="129"/>
      <c r="I876" s="129"/>
      <c r="J876" s="129"/>
      <c r="K876" s="129"/>
      <c r="L876" s="129"/>
      <c r="M876" s="129"/>
      <c r="N876" s="129"/>
      <c r="O876" s="129"/>
      <c r="P876" s="129"/>
      <c r="Q876" s="129"/>
      <c r="R876" s="129"/>
      <c r="S876" s="129"/>
      <c r="T876" s="129"/>
      <c r="U876" s="129"/>
      <c r="V876" s="129"/>
      <c r="W876" s="129"/>
      <c r="X876" s="129"/>
      <c r="Y876" s="129"/>
      <c r="Z876" s="129"/>
      <c r="AA876" s="129"/>
      <c r="AB876" s="129"/>
      <c r="AC876" s="129"/>
      <c r="AD876" s="129"/>
      <c r="AE876" s="129"/>
      <c r="AF876" s="129"/>
      <c r="AG876" s="129"/>
      <c r="AH876" s="129"/>
      <c r="AI876" s="129"/>
      <c r="AJ876" s="129"/>
      <c r="AK876" s="129"/>
      <c r="AL876" s="129"/>
      <c r="AM876" s="129"/>
      <c r="AN876" s="129"/>
      <c r="AO876" s="129"/>
      <c r="AP876" s="129"/>
      <c r="AQ876" s="129"/>
    </row>
    <row r="877" spans="1:43" ht="12.75" customHeight="1">
      <c r="A877" s="129"/>
      <c r="B877" s="129"/>
      <c r="C877" s="129"/>
      <c r="D877" s="129"/>
      <c r="E877" s="129"/>
      <c r="F877" s="129"/>
      <c r="G877" s="129"/>
      <c r="H877" s="129"/>
      <c r="I877" s="129"/>
      <c r="J877" s="129"/>
      <c r="K877" s="129"/>
      <c r="L877" s="129"/>
      <c r="M877" s="129"/>
      <c r="N877" s="129"/>
      <c r="O877" s="129"/>
      <c r="P877" s="129"/>
      <c r="Q877" s="129"/>
      <c r="R877" s="129"/>
      <c r="S877" s="129"/>
      <c r="T877" s="129"/>
      <c r="U877" s="129"/>
      <c r="V877" s="129"/>
      <c r="W877" s="129"/>
      <c r="X877" s="129"/>
      <c r="Y877" s="129"/>
      <c r="Z877" s="129"/>
      <c r="AA877" s="129"/>
      <c r="AB877" s="129"/>
      <c r="AC877" s="129"/>
      <c r="AD877" s="129"/>
      <c r="AE877" s="129"/>
      <c r="AF877" s="129"/>
      <c r="AG877" s="129"/>
      <c r="AH877" s="129"/>
      <c r="AI877" s="129"/>
      <c r="AJ877" s="129"/>
      <c r="AK877" s="129"/>
      <c r="AL877" s="129"/>
      <c r="AM877" s="129"/>
      <c r="AN877" s="129"/>
      <c r="AO877" s="129"/>
      <c r="AP877" s="129"/>
      <c r="AQ877" s="129"/>
    </row>
    <row r="878" spans="1:43" ht="12.75" customHeight="1">
      <c r="A878" s="129"/>
      <c r="B878" s="129"/>
      <c r="C878" s="129"/>
      <c r="D878" s="129"/>
      <c r="E878" s="129"/>
      <c r="F878" s="129"/>
      <c r="G878" s="129"/>
      <c r="H878" s="129"/>
      <c r="I878" s="129"/>
      <c r="J878" s="129"/>
      <c r="K878" s="129"/>
      <c r="L878" s="129"/>
      <c r="M878" s="129"/>
      <c r="N878" s="129"/>
      <c r="O878" s="129"/>
      <c r="P878" s="129"/>
      <c r="Q878" s="129"/>
      <c r="R878" s="129"/>
      <c r="S878" s="129"/>
      <c r="T878" s="129"/>
      <c r="U878" s="129"/>
      <c r="V878" s="129"/>
      <c r="W878" s="129"/>
      <c r="X878" s="129"/>
      <c r="Y878" s="129"/>
      <c r="Z878" s="129"/>
      <c r="AA878" s="129"/>
      <c r="AB878" s="129"/>
      <c r="AC878" s="129"/>
      <c r="AD878" s="129"/>
      <c r="AE878" s="129"/>
      <c r="AF878" s="129"/>
      <c r="AG878" s="129"/>
      <c r="AH878" s="129"/>
      <c r="AI878" s="129"/>
      <c r="AJ878" s="129"/>
      <c r="AK878" s="129"/>
      <c r="AL878" s="129"/>
      <c r="AM878" s="129"/>
      <c r="AN878" s="129"/>
      <c r="AO878" s="129"/>
      <c r="AP878" s="129"/>
      <c r="AQ878" s="129"/>
    </row>
    <row r="879" spans="1:43" ht="12.75" customHeight="1">
      <c r="A879" s="129"/>
      <c r="B879" s="129"/>
      <c r="C879" s="129"/>
      <c r="D879" s="129"/>
      <c r="E879" s="129"/>
      <c r="F879" s="129"/>
      <c r="G879" s="129"/>
      <c r="H879" s="129"/>
      <c r="I879" s="129"/>
      <c r="J879" s="129"/>
      <c r="K879" s="129"/>
      <c r="L879" s="129"/>
      <c r="M879" s="129"/>
      <c r="N879" s="129"/>
      <c r="O879" s="129"/>
      <c r="P879" s="129"/>
      <c r="Q879" s="129"/>
      <c r="R879" s="129"/>
      <c r="S879" s="129"/>
      <c r="T879" s="129"/>
      <c r="U879" s="129"/>
      <c r="V879" s="129"/>
      <c r="W879" s="129"/>
      <c r="X879" s="129"/>
      <c r="Y879" s="129"/>
      <c r="Z879" s="129"/>
      <c r="AA879" s="129"/>
      <c r="AB879" s="129"/>
      <c r="AC879" s="129"/>
      <c r="AD879" s="129"/>
      <c r="AE879" s="129"/>
      <c r="AF879" s="129"/>
      <c r="AG879" s="129"/>
      <c r="AH879" s="129"/>
      <c r="AI879" s="129"/>
      <c r="AJ879" s="129"/>
      <c r="AK879" s="129"/>
      <c r="AL879" s="129"/>
      <c r="AM879" s="129"/>
      <c r="AN879" s="129"/>
      <c r="AO879" s="129"/>
      <c r="AP879" s="129"/>
      <c r="AQ879" s="129"/>
    </row>
    <row r="880" spans="1:43" ht="12.75" customHeight="1">
      <c r="A880" s="129"/>
      <c r="B880" s="129"/>
      <c r="C880" s="129"/>
      <c r="D880" s="129"/>
      <c r="E880" s="129"/>
      <c r="F880" s="129"/>
      <c r="G880" s="129"/>
      <c r="H880" s="129"/>
      <c r="I880" s="129"/>
      <c r="J880" s="129"/>
      <c r="K880" s="129"/>
      <c r="L880" s="129"/>
      <c r="M880" s="129"/>
      <c r="N880" s="129"/>
      <c r="O880" s="129"/>
      <c r="P880" s="129"/>
      <c r="Q880" s="129"/>
      <c r="R880" s="129"/>
      <c r="S880" s="129"/>
      <c r="T880" s="129"/>
      <c r="U880" s="129"/>
      <c r="V880" s="129"/>
      <c r="W880" s="129"/>
      <c r="X880" s="129"/>
      <c r="Y880" s="129"/>
      <c r="Z880" s="129"/>
      <c r="AA880" s="129"/>
      <c r="AB880" s="129"/>
      <c r="AC880" s="129"/>
      <c r="AD880" s="129"/>
      <c r="AE880" s="129"/>
      <c r="AF880" s="129"/>
      <c r="AG880" s="129"/>
      <c r="AH880" s="129"/>
      <c r="AI880" s="129"/>
      <c r="AJ880" s="129"/>
      <c r="AK880" s="129"/>
      <c r="AL880" s="129"/>
      <c r="AM880" s="129"/>
      <c r="AN880" s="129"/>
      <c r="AO880" s="129"/>
      <c r="AP880" s="129"/>
      <c r="AQ880" s="129"/>
    </row>
    <row r="881" spans="1:43" ht="12.75" customHeight="1">
      <c r="A881" s="129"/>
      <c r="B881" s="129"/>
      <c r="C881" s="129"/>
      <c r="D881" s="129"/>
      <c r="E881" s="129"/>
      <c r="F881" s="129"/>
      <c r="G881" s="129"/>
      <c r="H881" s="129"/>
      <c r="I881" s="129"/>
      <c r="J881" s="129"/>
      <c r="K881" s="129"/>
      <c r="L881" s="129"/>
      <c r="M881" s="129"/>
      <c r="N881" s="129"/>
      <c r="O881" s="129"/>
      <c r="P881" s="129"/>
      <c r="Q881" s="129"/>
      <c r="R881" s="129"/>
      <c r="S881" s="129"/>
      <c r="T881" s="129"/>
      <c r="U881" s="129"/>
      <c r="V881" s="129"/>
      <c r="W881" s="129"/>
      <c r="X881" s="129"/>
      <c r="Y881" s="129"/>
      <c r="Z881" s="129"/>
      <c r="AA881" s="129"/>
      <c r="AB881" s="129"/>
      <c r="AC881" s="129"/>
      <c r="AD881" s="129"/>
      <c r="AE881" s="129"/>
      <c r="AF881" s="129"/>
      <c r="AG881" s="129"/>
      <c r="AH881" s="129"/>
      <c r="AI881" s="129"/>
      <c r="AJ881" s="129"/>
      <c r="AK881" s="129"/>
      <c r="AL881" s="129"/>
      <c r="AM881" s="129"/>
      <c r="AN881" s="129"/>
      <c r="AO881" s="129"/>
      <c r="AP881" s="129"/>
      <c r="AQ881" s="129"/>
    </row>
    <row r="882" spans="1:43" ht="12.75" customHeight="1">
      <c r="A882" s="129"/>
      <c r="B882" s="129"/>
      <c r="C882" s="129"/>
      <c r="D882" s="129"/>
      <c r="E882" s="129"/>
      <c r="F882" s="129"/>
      <c r="G882" s="129"/>
      <c r="H882" s="129"/>
      <c r="I882" s="129"/>
      <c r="J882" s="129"/>
      <c r="K882" s="129"/>
      <c r="L882" s="129"/>
      <c r="M882" s="129"/>
      <c r="N882" s="129"/>
      <c r="O882" s="129"/>
      <c r="P882" s="129"/>
      <c r="Q882" s="129"/>
      <c r="R882" s="129"/>
      <c r="S882" s="129"/>
      <c r="T882" s="129"/>
      <c r="U882" s="129"/>
      <c r="V882" s="129"/>
      <c r="W882" s="129"/>
      <c r="X882" s="129"/>
      <c r="Y882" s="129"/>
      <c r="Z882" s="129"/>
      <c r="AA882" s="129"/>
      <c r="AB882" s="129"/>
      <c r="AC882" s="129"/>
      <c r="AD882" s="129"/>
      <c r="AE882" s="129"/>
      <c r="AF882" s="129"/>
      <c r="AG882" s="129"/>
      <c r="AH882" s="129"/>
      <c r="AI882" s="129"/>
      <c r="AJ882" s="129"/>
      <c r="AK882" s="129"/>
      <c r="AL882" s="129"/>
      <c r="AM882" s="129"/>
      <c r="AN882" s="129"/>
      <c r="AO882" s="129"/>
      <c r="AP882" s="129"/>
      <c r="AQ882" s="129"/>
    </row>
    <row r="883" spans="1:43" ht="12.75" customHeight="1">
      <c r="A883" s="129"/>
      <c r="B883" s="129"/>
      <c r="C883" s="129"/>
      <c r="D883" s="129"/>
      <c r="E883" s="129"/>
      <c r="F883" s="129"/>
      <c r="G883" s="129"/>
      <c r="H883" s="129"/>
      <c r="I883" s="129"/>
      <c r="J883" s="129"/>
      <c r="K883" s="129"/>
      <c r="L883" s="129"/>
      <c r="M883" s="129"/>
      <c r="N883" s="129"/>
      <c r="O883" s="129"/>
      <c r="P883" s="129"/>
      <c r="Q883" s="129"/>
      <c r="R883" s="129"/>
      <c r="S883" s="129"/>
      <c r="T883" s="129"/>
      <c r="U883" s="129"/>
      <c r="V883" s="129"/>
      <c r="W883" s="129"/>
      <c r="X883" s="129"/>
      <c r="Y883" s="129"/>
      <c r="Z883" s="129"/>
      <c r="AA883" s="129"/>
      <c r="AB883" s="129"/>
      <c r="AC883" s="129"/>
      <c r="AD883" s="129"/>
      <c r="AE883" s="129"/>
      <c r="AF883" s="129"/>
      <c r="AG883" s="129"/>
      <c r="AH883" s="129"/>
      <c r="AI883" s="129"/>
      <c r="AJ883" s="129"/>
      <c r="AK883" s="129"/>
      <c r="AL883" s="129"/>
      <c r="AM883" s="129"/>
      <c r="AN883" s="129"/>
      <c r="AO883" s="129"/>
      <c r="AP883" s="129"/>
      <c r="AQ883" s="129"/>
    </row>
    <row r="884" spans="1:43" ht="12.75" customHeight="1">
      <c r="A884" s="129"/>
      <c r="B884" s="129"/>
      <c r="C884" s="129"/>
      <c r="D884" s="129"/>
      <c r="E884" s="129"/>
      <c r="F884" s="129"/>
      <c r="G884" s="129"/>
      <c r="H884" s="129"/>
      <c r="I884" s="129"/>
      <c r="J884" s="129"/>
      <c r="K884" s="129"/>
      <c r="L884" s="129"/>
      <c r="M884" s="129"/>
      <c r="N884" s="129"/>
      <c r="O884" s="129"/>
      <c r="P884" s="129"/>
      <c r="Q884" s="129"/>
      <c r="R884" s="129"/>
      <c r="S884" s="129"/>
      <c r="T884" s="129"/>
      <c r="U884" s="129"/>
      <c r="V884" s="129"/>
      <c r="W884" s="129"/>
      <c r="X884" s="129"/>
      <c r="Y884" s="129"/>
      <c r="Z884" s="129"/>
      <c r="AA884" s="129"/>
      <c r="AB884" s="129"/>
      <c r="AC884" s="129"/>
      <c r="AD884" s="129"/>
      <c r="AE884" s="129"/>
      <c r="AF884" s="129"/>
      <c r="AG884" s="129"/>
      <c r="AH884" s="129"/>
      <c r="AI884" s="129"/>
      <c r="AJ884" s="129"/>
      <c r="AK884" s="129"/>
      <c r="AL884" s="129"/>
      <c r="AM884" s="129"/>
      <c r="AN884" s="129"/>
      <c r="AO884" s="129"/>
      <c r="AP884" s="129"/>
      <c r="AQ884" s="129"/>
    </row>
    <row r="885" spans="1:43" ht="12.75" customHeight="1">
      <c r="A885" s="129"/>
      <c r="B885" s="129"/>
      <c r="C885" s="129"/>
      <c r="D885" s="129"/>
      <c r="E885" s="129"/>
      <c r="F885" s="129"/>
      <c r="G885" s="129"/>
      <c r="H885" s="129"/>
      <c r="I885" s="129"/>
      <c r="J885" s="129"/>
      <c r="K885" s="129"/>
      <c r="L885" s="129"/>
      <c r="M885" s="129"/>
      <c r="N885" s="129"/>
      <c r="O885" s="129"/>
      <c r="P885" s="129"/>
      <c r="Q885" s="129"/>
      <c r="R885" s="129"/>
      <c r="S885" s="129"/>
      <c r="T885" s="129"/>
      <c r="U885" s="129"/>
      <c r="V885" s="129"/>
      <c r="W885" s="129"/>
      <c r="X885" s="129"/>
      <c r="Y885" s="129"/>
      <c r="Z885" s="129"/>
      <c r="AA885" s="129"/>
      <c r="AB885" s="129"/>
      <c r="AC885" s="129"/>
      <c r="AD885" s="129"/>
      <c r="AE885" s="129"/>
      <c r="AF885" s="129"/>
      <c r="AG885" s="129"/>
      <c r="AH885" s="129"/>
      <c r="AI885" s="129"/>
      <c r="AJ885" s="129"/>
      <c r="AK885" s="129"/>
      <c r="AL885" s="129"/>
      <c r="AM885" s="129"/>
      <c r="AN885" s="129"/>
      <c r="AO885" s="129"/>
      <c r="AP885" s="129"/>
      <c r="AQ885" s="129"/>
    </row>
    <row r="886" spans="1:43" ht="12.75" customHeight="1">
      <c r="A886" s="129"/>
      <c r="B886" s="129"/>
      <c r="C886" s="129"/>
      <c r="D886" s="129"/>
      <c r="E886" s="129"/>
      <c r="F886" s="129"/>
      <c r="G886" s="129"/>
      <c r="H886" s="129"/>
      <c r="I886" s="129"/>
      <c r="J886" s="129"/>
      <c r="K886" s="129"/>
      <c r="L886" s="129"/>
      <c r="M886" s="129"/>
      <c r="N886" s="129"/>
      <c r="O886" s="129"/>
      <c r="P886" s="129"/>
      <c r="Q886" s="129"/>
      <c r="R886" s="129"/>
      <c r="S886" s="129"/>
      <c r="T886" s="129"/>
      <c r="U886" s="129"/>
      <c r="V886" s="129"/>
      <c r="W886" s="129"/>
      <c r="X886" s="129"/>
      <c r="Y886" s="129"/>
      <c r="Z886" s="129"/>
      <c r="AA886" s="129"/>
      <c r="AB886" s="129"/>
      <c r="AC886" s="129"/>
      <c r="AD886" s="129"/>
      <c r="AE886" s="129"/>
      <c r="AF886" s="129"/>
      <c r="AG886" s="129"/>
      <c r="AH886" s="129"/>
      <c r="AI886" s="129"/>
      <c r="AJ886" s="129"/>
      <c r="AK886" s="129"/>
      <c r="AL886" s="129"/>
      <c r="AM886" s="129"/>
      <c r="AN886" s="129"/>
      <c r="AO886" s="129"/>
      <c r="AP886" s="129"/>
      <c r="AQ886" s="129"/>
    </row>
    <row r="887" spans="1:43" ht="12.75" customHeight="1">
      <c r="A887" s="129"/>
      <c r="B887" s="129"/>
      <c r="C887" s="129"/>
      <c r="D887" s="129"/>
      <c r="E887" s="129"/>
      <c r="F887" s="129"/>
      <c r="G887" s="129"/>
      <c r="H887" s="129"/>
      <c r="I887" s="129"/>
      <c r="J887" s="129"/>
      <c r="K887" s="129"/>
      <c r="L887" s="129"/>
      <c r="M887" s="129"/>
      <c r="N887" s="129"/>
      <c r="O887" s="129"/>
      <c r="P887" s="129"/>
      <c r="Q887" s="129"/>
      <c r="R887" s="129"/>
      <c r="S887" s="129"/>
      <c r="T887" s="129"/>
      <c r="U887" s="129"/>
      <c r="V887" s="129"/>
      <c r="W887" s="129"/>
      <c r="X887" s="129"/>
      <c r="Y887" s="129"/>
      <c r="Z887" s="129"/>
      <c r="AA887" s="129"/>
      <c r="AB887" s="129"/>
      <c r="AC887" s="129"/>
      <c r="AD887" s="129"/>
      <c r="AE887" s="129"/>
      <c r="AF887" s="129"/>
      <c r="AG887" s="129"/>
      <c r="AH887" s="129"/>
      <c r="AI887" s="129"/>
      <c r="AJ887" s="129"/>
      <c r="AK887" s="129"/>
      <c r="AL887" s="129"/>
      <c r="AM887" s="129"/>
      <c r="AN887" s="129"/>
      <c r="AO887" s="129"/>
      <c r="AP887" s="129"/>
      <c r="AQ887" s="129"/>
    </row>
    <row r="888" spans="1:43" ht="12.75" customHeight="1">
      <c r="A888" s="129"/>
      <c r="B888" s="129"/>
      <c r="C888" s="129"/>
      <c r="D888" s="129"/>
      <c r="E888" s="129"/>
      <c r="F888" s="129"/>
      <c r="G888" s="129"/>
      <c r="H888" s="129"/>
      <c r="I888" s="129"/>
      <c r="J888" s="129"/>
      <c r="K888" s="129"/>
      <c r="L888" s="129"/>
      <c r="M888" s="129"/>
      <c r="N888" s="129"/>
      <c r="O888" s="129"/>
      <c r="P888" s="129"/>
      <c r="Q888" s="129"/>
      <c r="R888" s="129"/>
      <c r="S888" s="129"/>
      <c r="T888" s="129"/>
      <c r="U888" s="129"/>
      <c r="V888" s="129"/>
      <c r="W888" s="129"/>
      <c r="X888" s="129"/>
      <c r="Y888" s="129"/>
      <c r="Z888" s="129"/>
      <c r="AA888" s="129"/>
      <c r="AB888" s="129"/>
      <c r="AC888" s="129"/>
      <c r="AD888" s="129"/>
      <c r="AE888" s="129"/>
      <c r="AF888" s="129"/>
      <c r="AG888" s="129"/>
      <c r="AH888" s="129"/>
      <c r="AI888" s="129"/>
      <c r="AJ888" s="129"/>
      <c r="AK888" s="129"/>
      <c r="AL888" s="129"/>
      <c r="AM888" s="129"/>
      <c r="AN888" s="129"/>
      <c r="AO888" s="129"/>
      <c r="AP888" s="129"/>
      <c r="AQ888" s="129"/>
    </row>
    <row r="889" spans="1:43" ht="12.75" customHeight="1">
      <c r="A889" s="129"/>
      <c r="B889" s="129"/>
      <c r="C889" s="129"/>
      <c r="D889" s="129"/>
      <c r="E889" s="129"/>
      <c r="F889" s="129"/>
      <c r="G889" s="129"/>
      <c r="H889" s="129"/>
      <c r="I889" s="129"/>
      <c r="J889" s="129"/>
      <c r="K889" s="129"/>
      <c r="L889" s="129"/>
      <c r="M889" s="129"/>
      <c r="N889" s="129"/>
      <c r="O889" s="129"/>
      <c r="P889" s="129"/>
      <c r="Q889" s="129"/>
      <c r="R889" s="129"/>
      <c r="S889" s="129"/>
      <c r="T889" s="129"/>
      <c r="U889" s="129"/>
      <c r="V889" s="129"/>
      <c r="W889" s="129"/>
      <c r="X889" s="129"/>
      <c r="Y889" s="129"/>
      <c r="Z889" s="129"/>
      <c r="AA889" s="129"/>
      <c r="AB889" s="129"/>
      <c r="AC889" s="129"/>
      <c r="AD889" s="129"/>
      <c r="AE889" s="129"/>
      <c r="AF889" s="129"/>
      <c r="AG889" s="129"/>
      <c r="AH889" s="129"/>
      <c r="AI889" s="129"/>
      <c r="AJ889" s="129"/>
      <c r="AK889" s="129"/>
      <c r="AL889" s="129"/>
      <c r="AM889" s="129"/>
      <c r="AN889" s="129"/>
      <c r="AO889" s="129"/>
      <c r="AP889" s="129"/>
      <c r="AQ889" s="129"/>
    </row>
    <row r="890" spans="1:43" ht="12.75" customHeight="1">
      <c r="A890" s="129"/>
      <c r="B890" s="129"/>
      <c r="C890" s="129"/>
      <c r="D890" s="129"/>
      <c r="E890" s="129"/>
      <c r="F890" s="129"/>
      <c r="G890" s="129"/>
      <c r="H890" s="129"/>
      <c r="I890" s="129"/>
      <c r="J890" s="129"/>
      <c r="K890" s="129"/>
      <c r="L890" s="129"/>
      <c r="M890" s="129"/>
      <c r="N890" s="129"/>
      <c r="O890" s="129"/>
      <c r="P890" s="129"/>
      <c r="Q890" s="129"/>
      <c r="R890" s="129"/>
      <c r="S890" s="129"/>
      <c r="T890" s="129"/>
      <c r="U890" s="129"/>
      <c r="V890" s="129"/>
      <c r="W890" s="129"/>
      <c r="X890" s="129"/>
      <c r="Y890" s="129"/>
      <c r="Z890" s="129"/>
      <c r="AA890" s="129"/>
      <c r="AB890" s="129"/>
      <c r="AC890" s="129"/>
      <c r="AD890" s="129"/>
      <c r="AE890" s="129"/>
      <c r="AF890" s="129"/>
      <c r="AG890" s="129"/>
      <c r="AH890" s="129"/>
      <c r="AI890" s="129"/>
      <c r="AJ890" s="129"/>
      <c r="AK890" s="129"/>
      <c r="AL890" s="129"/>
      <c r="AM890" s="129"/>
      <c r="AN890" s="129"/>
      <c r="AO890" s="129"/>
      <c r="AP890" s="129"/>
      <c r="AQ890" s="129"/>
    </row>
    <row r="891" spans="1:43" ht="12.75" customHeight="1">
      <c r="A891" s="129"/>
      <c r="B891" s="129"/>
      <c r="C891" s="129"/>
      <c r="D891" s="129"/>
      <c r="E891" s="129"/>
      <c r="F891" s="129"/>
      <c r="G891" s="129"/>
      <c r="H891" s="129"/>
      <c r="I891" s="129"/>
      <c r="J891" s="129"/>
      <c r="K891" s="129"/>
      <c r="L891" s="129"/>
      <c r="M891" s="129"/>
      <c r="N891" s="129"/>
      <c r="O891" s="129"/>
      <c r="P891" s="129"/>
      <c r="Q891" s="129"/>
      <c r="R891" s="129"/>
      <c r="S891" s="129"/>
      <c r="T891" s="129"/>
      <c r="U891" s="129"/>
      <c r="V891" s="129"/>
      <c r="W891" s="129"/>
      <c r="X891" s="129"/>
      <c r="Y891" s="129"/>
      <c r="Z891" s="129"/>
      <c r="AA891" s="129"/>
      <c r="AB891" s="129"/>
      <c r="AC891" s="129"/>
      <c r="AD891" s="129"/>
      <c r="AE891" s="129"/>
      <c r="AF891" s="129"/>
      <c r="AG891" s="129"/>
      <c r="AH891" s="129"/>
      <c r="AI891" s="129"/>
      <c r="AJ891" s="129"/>
      <c r="AK891" s="129"/>
      <c r="AL891" s="129"/>
      <c r="AM891" s="129"/>
      <c r="AN891" s="129"/>
      <c r="AO891" s="129"/>
      <c r="AP891" s="129"/>
      <c r="AQ891" s="129"/>
    </row>
    <row r="892" spans="1:43" ht="12.75" customHeight="1">
      <c r="A892" s="129"/>
      <c r="B892" s="129"/>
      <c r="C892" s="129"/>
      <c r="D892" s="129"/>
      <c r="E892" s="129"/>
      <c r="F892" s="129"/>
      <c r="G892" s="129"/>
      <c r="H892" s="129"/>
      <c r="I892" s="129"/>
      <c r="J892" s="129"/>
      <c r="K892" s="129"/>
      <c r="L892" s="129"/>
      <c r="M892" s="129"/>
      <c r="N892" s="129"/>
      <c r="O892" s="129"/>
      <c r="P892" s="129"/>
      <c r="Q892" s="129"/>
      <c r="R892" s="129"/>
      <c r="S892" s="129"/>
      <c r="T892" s="129"/>
      <c r="U892" s="129"/>
      <c r="V892" s="129"/>
      <c r="W892" s="129"/>
      <c r="X892" s="129"/>
      <c r="Y892" s="129"/>
      <c r="Z892" s="129"/>
      <c r="AA892" s="129"/>
      <c r="AB892" s="129"/>
      <c r="AC892" s="129"/>
      <c r="AD892" s="129"/>
      <c r="AE892" s="129"/>
      <c r="AF892" s="129"/>
      <c r="AG892" s="129"/>
      <c r="AH892" s="129"/>
      <c r="AI892" s="129"/>
      <c r="AJ892" s="129"/>
      <c r="AK892" s="129"/>
      <c r="AL892" s="129"/>
      <c r="AM892" s="129"/>
      <c r="AN892" s="129"/>
      <c r="AO892" s="129"/>
      <c r="AP892" s="129"/>
      <c r="AQ892" s="129"/>
    </row>
    <row r="893" spans="1:43" ht="12.75" customHeight="1">
      <c r="A893" s="129"/>
      <c r="B893" s="129"/>
      <c r="C893" s="129"/>
      <c r="D893" s="129"/>
      <c r="E893" s="129"/>
      <c r="F893" s="129"/>
      <c r="G893" s="129"/>
      <c r="H893" s="129"/>
      <c r="I893" s="129"/>
      <c r="J893" s="129"/>
      <c r="K893" s="129"/>
      <c r="L893" s="129"/>
      <c r="M893" s="129"/>
      <c r="N893" s="129"/>
      <c r="O893" s="129"/>
      <c r="P893" s="129"/>
      <c r="Q893" s="129"/>
      <c r="R893" s="129"/>
      <c r="S893" s="129"/>
      <c r="T893" s="129"/>
      <c r="U893" s="129"/>
      <c r="V893" s="129"/>
      <c r="W893" s="129"/>
      <c r="X893" s="129"/>
      <c r="Y893" s="129"/>
      <c r="Z893" s="129"/>
      <c r="AA893" s="129"/>
      <c r="AB893" s="129"/>
      <c r="AC893" s="129"/>
      <c r="AD893" s="129"/>
      <c r="AE893" s="129"/>
      <c r="AF893" s="129"/>
      <c r="AG893" s="129"/>
      <c r="AH893" s="129"/>
      <c r="AI893" s="129"/>
      <c r="AJ893" s="129"/>
      <c r="AK893" s="129"/>
      <c r="AL893" s="129"/>
      <c r="AM893" s="129"/>
      <c r="AN893" s="129"/>
      <c r="AO893" s="129"/>
      <c r="AP893" s="129"/>
      <c r="AQ893" s="129"/>
    </row>
    <row r="894" spans="1:43" ht="12.75" customHeight="1">
      <c r="A894" s="129"/>
      <c r="B894" s="129"/>
      <c r="C894" s="129"/>
      <c r="D894" s="129"/>
      <c r="E894" s="129"/>
      <c r="F894" s="129"/>
      <c r="G894" s="129"/>
      <c r="H894" s="129"/>
      <c r="I894" s="129"/>
      <c r="J894" s="129"/>
      <c r="K894" s="129"/>
      <c r="L894" s="129"/>
      <c r="M894" s="129"/>
      <c r="N894" s="129"/>
      <c r="O894" s="129"/>
      <c r="P894" s="129"/>
      <c r="Q894" s="129"/>
      <c r="R894" s="129"/>
      <c r="S894" s="129"/>
      <c r="T894" s="129"/>
      <c r="U894" s="129"/>
      <c r="V894" s="129"/>
      <c r="W894" s="129"/>
      <c r="X894" s="129"/>
      <c r="Y894" s="129"/>
      <c r="Z894" s="129"/>
      <c r="AA894" s="129"/>
      <c r="AB894" s="129"/>
      <c r="AC894" s="129"/>
      <c r="AD894" s="129"/>
      <c r="AE894" s="129"/>
      <c r="AF894" s="129"/>
      <c r="AG894" s="129"/>
      <c r="AH894" s="129"/>
      <c r="AI894" s="129"/>
      <c r="AJ894" s="129"/>
      <c r="AK894" s="129"/>
      <c r="AL894" s="129"/>
      <c r="AM894" s="129"/>
      <c r="AN894" s="129"/>
      <c r="AO894" s="129"/>
      <c r="AP894" s="129"/>
      <c r="AQ894" s="129"/>
    </row>
    <row r="895" spans="1:43" ht="12.75" customHeight="1">
      <c r="A895" s="129"/>
      <c r="B895" s="129"/>
      <c r="C895" s="129"/>
      <c r="D895" s="129"/>
      <c r="E895" s="129"/>
      <c r="F895" s="129"/>
      <c r="G895" s="129"/>
      <c r="H895" s="129"/>
      <c r="I895" s="129"/>
      <c r="J895" s="129"/>
      <c r="K895" s="129"/>
      <c r="L895" s="129"/>
      <c r="M895" s="129"/>
      <c r="N895" s="129"/>
      <c r="O895" s="129"/>
      <c r="P895" s="129"/>
      <c r="Q895" s="129"/>
      <c r="R895" s="129"/>
      <c r="S895" s="129"/>
      <c r="T895" s="129"/>
      <c r="U895" s="129"/>
      <c r="V895" s="129"/>
      <c r="W895" s="129"/>
      <c r="X895" s="129"/>
      <c r="Y895" s="129"/>
      <c r="Z895" s="129"/>
      <c r="AA895" s="129"/>
      <c r="AB895" s="129"/>
      <c r="AC895" s="129"/>
      <c r="AD895" s="129"/>
      <c r="AE895" s="129"/>
      <c r="AF895" s="129"/>
      <c r="AG895" s="129"/>
      <c r="AH895" s="129"/>
      <c r="AI895" s="129"/>
      <c r="AJ895" s="129"/>
      <c r="AK895" s="129"/>
      <c r="AL895" s="129"/>
      <c r="AM895" s="129"/>
      <c r="AN895" s="129"/>
      <c r="AO895" s="129"/>
      <c r="AP895" s="129"/>
      <c r="AQ895" s="129"/>
    </row>
    <row r="896" spans="1:43" ht="12.75" customHeight="1">
      <c r="A896" s="129"/>
      <c r="B896" s="129"/>
      <c r="C896" s="129"/>
      <c r="D896" s="129"/>
      <c r="E896" s="129"/>
      <c r="F896" s="129"/>
      <c r="G896" s="129"/>
      <c r="H896" s="129"/>
      <c r="I896" s="129"/>
      <c r="J896" s="129"/>
      <c r="K896" s="129"/>
      <c r="L896" s="129"/>
      <c r="M896" s="129"/>
      <c r="N896" s="129"/>
      <c r="O896" s="129"/>
      <c r="P896" s="129"/>
      <c r="Q896" s="129"/>
      <c r="R896" s="129"/>
      <c r="S896" s="129"/>
      <c r="T896" s="129"/>
      <c r="U896" s="129"/>
      <c r="V896" s="129"/>
      <c r="W896" s="129"/>
      <c r="X896" s="129"/>
      <c r="Y896" s="129"/>
      <c r="Z896" s="129"/>
      <c r="AA896" s="129"/>
      <c r="AB896" s="129"/>
      <c r="AC896" s="129"/>
      <c r="AD896" s="129"/>
      <c r="AE896" s="129"/>
      <c r="AF896" s="129"/>
      <c r="AG896" s="129"/>
      <c r="AH896" s="129"/>
      <c r="AI896" s="129"/>
      <c r="AJ896" s="129"/>
      <c r="AK896" s="129"/>
      <c r="AL896" s="129"/>
      <c r="AM896" s="129"/>
      <c r="AN896" s="129"/>
      <c r="AO896" s="129"/>
      <c r="AP896" s="129"/>
      <c r="AQ896" s="129"/>
    </row>
    <row r="897" spans="1:43" ht="12.75" customHeight="1">
      <c r="A897" s="129"/>
      <c r="B897" s="129"/>
      <c r="C897" s="129"/>
      <c r="D897" s="129"/>
      <c r="E897" s="129"/>
      <c r="F897" s="129"/>
      <c r="G897" s="129"/>
      <c r="H897" s="129"/>
      <c r="I897" s="129"/>
      <c r="J897" s="129"/>
      <c r="K897" s="129"/>
      <c r="L897" s="129"/>
      <c r="M897" s="129"/>
      <c r="N897" s="129"/>
      <c r="O897" s="129"/>
      <c r="P897" s="129"/>
      <c r="Q897" s="129"/>
      <c r="R897" s="129"/>
      <c r="S897" s="129"/>
      <c r="T897" s="129"/>
      <c r="U897" s="129"/>
      <c r="V897" s="129"/>
      <c r="W897" s="129"/>
      <c r="X897" s="129"/>
      <c r="Y897" s="129"/>
      <c r="Z897" s="129"/>
      <c r="AA897" s="129"/>
      <c r="AB897" s="129"/>
      <c r="AC897" s="129"/>
      <c r="AD897" s="129"/>
      <c r="AE897" s="129"/>
      <c r="AF897" s="129"/>
      <c r="AG897" s="129"/>
      <c r="AH897" s="129"/>
      <c r="AI897" s="129"/>
      <c r="AJ897" s="129"/>
      <c r="AK897" s="129"/>
      <c r="AL897" s="129"/>
      <c r="AM897" s="129"/>
      <c r="AN897" s="129"/>
      <c r="AO897" s="129"/>
      <c r="AP897" s="129"/>
      <c r="AQ897" s="129"/>
    </row>
    <row r="898" spans="1:43" ht="12.75" customHeight="1">
      <c r="A898" s="129"/>
      <c r="B898" s="129"/>
      <c r="C898" s="129"/>
      <c r="D898" s="129"/>
      <c r="E898" s="129"/>
      <c r="F898" s="129"/>
      <c r="G898" s="129"/>
      <c r="H898" s="129"/>
      <c r="I898" s="129"/>
      <c r="J898" s="129"/>
      <c r="K898" s="129"/>
      <c r="L898" s="129"/>
      <c r="M898" s="129"/>
      <c r="N898" s="129"/>
      <c r="O898" s="129"/>
      <c r="P898" s="129"/>
      <c r="Q898" s="129"/>
      <c r="R898" s="129"/>
      <c r="S898" s="129"/>
      <c r="T898" s="129"/>
      <c r="U898" s="129"/>
      <c r="V898" s="129"/>
      <c r="W898" s="129"/>
      <c r="X898" s="129"/>
      <c r="Y898" s="129"/>
      <c r="Z898" s="129"/>
      <c r="AA898" s="129"/>
      <c r="AB898" s="129"/>
      <c r="AC898" s="129"/>
      <c r="AD898" s="129"/>
      <c r="AE898" s="129"/>
      <c r="AF898" s="129"/>
      <c r="AG898" s="129"/>
      <c r="AH898" s="129"/>
      <c r="AI898" s="129"/>
      <c r="AJ898" s="129"/>
      <c r="AK898" s="129"/>
      <c r="AL898" s="129"/>
      <c r="AM898" s="129"/>
      <c r="AN898" s="129"/>
      <c r="AO898" s="129"/>
      <c r="AP898" s="129"/>
      <c r="AQ898" s="129"/>
    </row>
    <row r="899" spans="1:43" ht="12.75" customHeight="1">
      <c r="A899" s="129"/>
      <c r="B899" s="129"/>
      <c r="C899" s="129"/>
      <c r="D899" s="129"/>
      <c r="E899" s="129"/>
      <c r="F899" s="129"/>
      <c r="G899" s="129"/>
      <c r="H899" s="129"/>
      <c r="I899" s="129"/>
      <c r="J899" s="129"/>
      <c r="K899" s="129"/>
      <c r="L899" s="129"/>
      <c r="M899" s="129"/>
      <c r="N899" s="129"/>
      <c r="O899" s="129"/>
      <c r="P899" s="129"/>
      <c r="Q899" s="129"/>
      <c r="R899" s="129"/>
      <c r="S899" s="129"/>
      <c r="T899" s="129"/>
      <c r="U899" s="129"/>
      <c r="V899" s="129"/>
      <c r="W899" s="129"/>
      <c r="X899" s="129"/>
      <c r="Y899" s="129"/>
      <c r="Z899" s="129"/>
      <c r="AA899" s="129"/>
      <c r="AB899" s="129"/>
      <c r="AC899" s="129"/>
      <c r="AD899" s="129"/>
      <c r="AE899" s="129"/>
      <c r="AF899" s="129"/>
      <c r="AG899" s="129"/>
      <c r="AH899" s="129"/>
      <c r="AI899" s="129"/>
      <c r="AJ899" s="129"/>
      <c r="AK899" s="129"/>
      <c r="AL899" s="129"/>
      <c r="AM899" s="129"/>
      <c r="AN899" s="129"/>
      <c r="AO899" s="129"/>
      <c r="AP899" s="129"/>
      <c r="AQ899" s="129"/>
    </row>
    <row r="900" spans="1:43" ht="12.75" customHeight="1">
      <c r="A900" s="129"/>
      <c r="B900" s="129"/>
      <c r="C900" s="129"/>
      <c r="D900" s="129"/>
      <c r="E900" s="129"/>
      <c r="F900" s="129"/>
      <c r="G900" s="129"/>
      <c r="H900" s="129"/>
      <c r="I900" s="129"/>
      <c r="J900" s="129"/>
      <c r="K900" s="129"/>
      <c r="L900" s="129"/>
      <c r="M900" s="129"/>
      <c r="N900" s="129"/>
      <c r="O900" s="129"/>
      <c r="P900" s="129"/>
      <c r="Q900" s="129"/>
      <c r="R900" s="129"/>
      <c r="S900" s="129"/>
      <c r="T900" s="129"/>
      <c r="U900" s="129"/>
      <c r="V900" s="129"/>
      <c r="W900" s="129"/>
      <c r="X900" s="129"/>
      <c r="Y900" s="129"/>
      <c r="Z900" s="129"/>
      <c r="AA900" s="129"/>
      <c r="AB900" s="129"/>
      <c r="AC900" s="129"/>
      <c r="AD900" s="129"/>
      <c r="AE900" s="129"/>
      <c r="AF900" s="129"/>
      <c r="AG900" s="129"/>
      <c r="AH900" s="129"/>
      <c r="AI900" s="129"/>
      <c r="AJ900" s="129"/>
      <c r="AK900" s="129"/>
      <c r="AL900" s="129"/>
      <c r="AM900" s="129"/>
      <c r="AN900" s="129"/>
      <c r="AO900" s="129"/>
      <c r="AP900" s="129"/>
      <c r="AQ900" s="129"/>
    </row>
    <row r="901" spans="1:43" ht="12.75" customHeight="1">
      <c r="A901" s="129"/>
      <c r="B901" s="129"/>
      <c r="C901" s="129"/>
      <c r="D901" s="129"/>
      <c r="E901" s="129"/>
      <c r="F901" s="129"/>
      <c r="G901" s="129"/>
      <c r="H901" s="129"/>
      <c r="I901" s="129"/>
      <c r="J901" s="129"/>
      <c r="K901" s="129"/>
      <c r="L901" s="129"/>
      <c r="M901" s="129"/>
      <c r="N901" s="129"/>
      <c r="O901" s="129"/>
      <c r="P901" s="129"/>
      <c r="Q901" s="129"/>
      <c r="R901" s="129"/>
      <c r="S901" s="129"/>
      <c r="T901" s="129"/>
      <c r="U901" s="129"/>
      <c r="V901" s="129"/>
      <c r="W901" s="129"/>
      <c r="X901" s="129"/>
      <c r="Y901" s="129"/>
      <c r="Z901" s="129"/>
      <c r="AA901" s="129"/>
      <c r="AB901" s="129"/>
      <c r="AC901" s="129"/>
      <c r="AD901" s="129"/>
      <c r="AE901" s="129"/>
      <c r="AF901" s="129"/>
      <c r="AG901" s="129"/>
      <c r="AH901" s="129"/>
      <c r="AI901" s="129"/>
      <c r="AJ901" s="129"/>
      <c r="AK901" s="129"/>
      <c r="AL901" s="129"/>
      <c r="AM901" s="129"/>
      <c r="AN901" s="129"/>
      <c r="AO901" s="129"/>
      <c r="AP901" s="129"/>
      <c r="AQ901" s="129"/>
    </row>
    <row r="902" spans="1:43" ht="12.75" customHeight="1">
      <c r="A902" s="129"/>
      <c r="B902" s="129"/>
      <c r="C902" s="129"/>
      <c r="D902" s="129"/>
      <c r="E902" s="129"/>
      <c r="F902" s="129"/>
      <c r="G902" s="129"/>
      <c r="H902" s="129"/>
      <c r="I902" s="129"/>
      <c r="J902" s="129"/>
      <c r="K902" s="129"/>
      <c r="L902" s="129"/>
      <c r="M902" s="129"/>
      <c r="N902" s="129"/>
      <c r="O902" s="129"/>
      <c r="P902" s="129"/>
      <c r="Q902" s="129"/>
      <c r="R902" s="129"/>
      <c r="S902" s="129"/>
      <c r="T902" s="129"/>
      <c r="U902" s="129"/>
      <c r="V902" s="129"/>
      <c r="W902" s="129"/>
      <c r="X902" s="129"/>
      <c r="Y902" s="129"/>
      <c r="Z902" s="129"/>
      <c r="AA902" s="129"/>
      <c r="AB902" s="129"/>
      <c r="AC902" s="129"/>
      <c r="AD902" s="129"/>
      <c r="AE902" s="129"/>
      <c r="AF902" s="129"/>
      <c r="AG902" s="129"/>
      <c r="AH902" s="129"/>
      <c r="AI902" s="129"/>
      <c r="AJ902" s="129"/>
      <c r="AK902" s="129"/>
      <c r="AL902" s="129"/>
      <c r="AM902" s="129"/>
      <c r="AN902" s="129"/>
      <c r="AO902" s="129"/>
      <c r="AP902" s="129"/>
      <c r="AQ902" s="129"/>
    </row>
    <row r="903" spans="1:43" ht="12.75" customHeight="1">
      <c r="A903" s="129"/>
      <c r="B903" s="129"/>
      <c r="C903" s="129"/>
      <c r="D903" s="129"/>
      <c r="E903" s="129"/>
      <c r="F903" s="129"/>
      <c r="G903" s="129"/>
      <c r="H903" s="129"/>
      <c r="I903" s="129"/>
      <c r="J903" s="129"/>
      <c r="K903" s="129"/>
      <c r="L903" s="129"/>
      <c r="M903" s="129"/>
      <c r="N903" s="129"/>
      <c r="O903" s="129"/>
      <c r="P903" s="129"/>
      <c r="Q903" s="129"/>
      <c r="R903" s="129"/>
      <c r="S903" s="129"/>
      <c r="T903" s="129"/>
      <c r="U903" s="129"/>
      <c r="V903" s="129"/>
      <c r="W903" s="129"/>
      <c r="X903" s="129"/>
      <c r="Y903" s="129"/>
      <c r="Z903" s="129"/>
      <c r="AA903" s="129"/>
      <c r="AB903" s="129"/>
      <c r="AC903" s="129"/>
      <c r="AD903" s="129"/>
      <c r="AE903" s="129"/>
      <c r="AF903" s="129"/>
      <c r="AG903" s="129"/>
      <c r="AH903" s="129"/>
      <c r="AI903" s="129"/>
      <c r="AJ903" s="129"/>
      <c r="AK903" s="129"/>
      <c r="AL903" s="129"/>
      <c r="AM903" s="129"/>
      <c r="AN903" s="129"/>
      <c r="AO903" s="129"/>
      <c r="AP903" s="129"/>
      <c r="AQ903" s="129"/>
    </row>
    <row r="904" spans="1:43" ht="12.75" customHeight="1">
      <c r="A904" s="129"/>
      <c r="B904" s="129"/>
      <c r="C904" s="129"/>
      <c r="D904" s="129"/>
      <c r="E904" s="129"/>
      <c r="F904" s="129"/>
      <c r="G904" s="129"/>
      <c r="H904" s="129"/>
      <c r="I904" s="129"/>
      <c r="J904" s="129"/>
      <c r="K904" s="129"/>
      <c r="L904" s="129"/>
      <c r="M904" s="129"/>
      <c r="N904" s="129"/>
      <c r="O904" s="129"/>
      <c r="P904" s="129"/>
      <c r="Q904" s="129"/>
      <c r="R904" s="129"/>
      <c r="S904" s="129"/>
      <c r="T904" s="129"/>
      <c r="U904" s="129"/>
      <c r="V904" s="129"/>
      <c r="W904" s="129"/>
      <c r="X904" s="129"/>
      <c r="Y904" s="129"/>
      <c r="Z904" s="129"/>
      <c r="AA904" s="129"/>
      <c r="AB904" s="129"/>
      <c r="AC904" s="129"/>
      <c r="AD904" s="129"/>
      <c r="AE904" s="129"/>
      <c r="AF904" s="129"/>
      <c r="AG904" s="129"/>
      <c r="AH904" s="129"/>
      <c r="AI904" s="129"/>
      <c r="AJ904" s="129"/>
      <c r="AK904" s="129"/>
      <c r="AL904" s="129"/>
      <c r="AM904" s="129"/>
      <c r="AN904" s="129"/>
      <c r="AO904" s="129"/>
      <c r="AP904" s="129"/>
      <c r="AQ904" s="129"/>
    </row>
    <row r="905" spans="1:43" ht="12.75" customHeight="1">
      <c r="A905" s="129"/>
      <c r="B905" s="129"/>
      <c r="C905" s="129"/>
      <c r="D905" s="129"/>
      <c r="E905" s="129"/>
      <c r="F905" s="129"/>
      <c r="G905" s="129"/>
      <c r="H905" s="129"/>
      <c r="I905" s="129"/>
      <c r="J905" s="129"/>
      <c r="K905" s="129"/>
      <c r="L905" s="129"/>
      <c r="M905" s="129"/>
      <c r="N905" s="129"/>
      <c r="O905" s="129"/>
      <c r="P905" s="129"/>
      <c r="Q905" s="129"/>
      <c r="R905" s="129"/>
      <c r="S905" s="129"/>
      <c r="T905" s="129"/>
      <c r="U905" s="129"/>
      <c r="V905" s="129"/>
      <c r="W905" s="129"/>
      <c r="X905" s="129"/>
      <c r="Y905" s="129"/>
      <c r="Z905" s="129"/>
      <c r="AA905" s="129"/>
      <c r="AB905" s="129"/>
      <c r="AC905" s="129"/>
      <c r="AD905" s="129"/>
      <c r="AE905" s="129"/>
      <c r="AF905" s="129"/>
      <c r="AG905" s="129"/>
      <c r="AH905" s="129"/>
      <c r="AI905" s="129"/>
      <c r="AJ905" s="129"/>
      <c r="AK905" s="129"/>
      <c r="AL905" s="129"/>
      <c r="AM905" s="129"/>
      <c r="AN905" s="129"/>
      <c r="AO905" s="129"/>
      <c r="AP905" s="129"/>
      <c r="AQ905" s="129"/>
    </row>
    <row r="906" spans="1:43" ht="12.75" customHeight="1">
      <c r="A906" s="129"/>
      <c r="B906" s="129"/>
      <c r="C906" s="129"/>
      <c r="D906" s="129"/>
      <c r="E906" s="129"/>
      <c r="F906" s="129"/>
      <c r="G906" s="129"/>
      <c r="H906" s="129"/>
      <c r="I906" s="129"/>
      <c r="J906" s="129"/>
      <c r="K906" s="129"/>
      <c r="L906" s="129"/>
      <c r="M906" s="129"/>
      <c r="N906" s="129"/>
      <c r="O906" s="129"/>
      <c r="P906" s="129"/>
      <c r="Q906" s="129"/>
      <c r="R906" s="129"/>
      <c r="S906" s="129"/>
      <c r="T906" s="129"/>
      <c r="U906" s="129"/>
      <c r="V906" s="129"/>
      <c r="W906" s="129"/>
      <c r="X906" s="129"/>
      <c r="Y906" s="129"/>
      <c r="Z906" s="129"/>
      <c r="AA906" s="129"/>
      <c r="AB906" s="129"/>
      <c r="AC906" s="129"/>
      <c r="AD906" s="129"/>
      <c r="AE906" s="129"/>
      <c r="AF906" s="129"/>
      <c r="AG906" s="129"/>
      <c r="AH906" s="129"/>
      <c r="AI906" s="129"/>
      <c r="AJ906" s="129"/>
      <c r="AK906" s="129"/>
      <c r="AL906" s="129"/>
      <c r="AM906" s="129"/>
      <c r="AN906" s="129"/>
      <c r="AO906" s="129"/>
      <c r="AP906" s="129"/>
      <c r="AQ906" s="129"/>
    </row>
    <row r="907" spans="1:43" ht="12.75" customHeight="1">
      <c r="A907" s="129"/>
      <c r="B907" s="129"/>
      <c r="C907" s="129"/>
      <c r="D907" s="129"/>
      <c r="E907" s="129"/>
      <c r="F907" s="129"/>
      <c r="G907" s="129"/>
      <c r="H907" s="129"/>
      <c r="I907" s="129"/>
      <c r="J907" s="129"/>
      <c r="K907" s="129"/>
      <c r="L907" s="129"/>
      <c r="M907" s="129"/>
      <c r="N907" s="129"/>
      <c r="O907" s="129"/>
      <c r="P907" s="129"/>
      <c r="Q907" s="129"/>
      <c r="R907" s="129"/>
      <c r="S907" s="129"/>
      <c r="T907" s="129"/>
      <c r="U907" s="129"/>
      <c r="V907" s="129"/>
      <c r="W907" s="129"/>
      <c r="X907" s="129"/>
      <c r="Y907" s="129"/>
      <c r="Z907" s="129"/>
      <c r="AA907" s="129"/>
      <c r="AB907" s="129"/>
      <c r="AC907" s="129"/>
      <c r="AD907" s="129"/>
      <c r="AE907" s="129"/>
      <c r="AF907" s="129"/>
      <c r="AG907" s="129"/>
      <c r="AH907" s="129"/>
      <c r="AI907" s="129"/>
      <c r="AJ907" s="129"/>
      <c r="AK907" s="129"/>
      <c r="AL907" s="129"/>
      <c r="AM907" s="129"/>
      <c r="AN907" s="129"/>
      <c r="AO907" s="129"/>
      <c r="AP907" s="129"/>
      <c r="AQ907" s="129"/>
    </row>
    <row r="908" spans="1:43" ht="12.75" customHeight="1">
      <c r="A908" s="129"/>
      <c r="B908" s="129"/>
      <c r="C908" s="129"/>
      <c r="D908" s="129"/>
      <c r="E908" s="129"/>
      <c r="F908" s="129"/>
      <c r="G908" s="129"/>
      <c r="H908" s="129"/>
      <c r="I908" s="129"/>
      <c r="J908" s="129"/>
      <c r="K908" s="129"/>
      <c r="L908" s="129"/>
      <c r="M908" s="129"/>
      <c r="N908" s="129"/>
      <c r="O908" s="129"/>
      <c r="P908" s="129"/>
      <c r="Q908" s="129"/>
      <c r="R908" s="129"/>
      <c r="S908" s="129"/>
      <c r="T908" s="129"/>
      <c r="U908" s="129"/>
      <c r="V908" s="129"/>
      <c r="W908" s="129"/>
      <c r="X908" s="129"/>
      <c r="Y908" s="129"/>
      <c r="Z908" s="129"/>
      <c r="AA908" s="129"/>
      <c r="AB908" s="129"/>
      <c r="AC908" s="129"/>
      <c r="AD908" s="129"/>
      <c r="AE908" s="129"/>
      <c r="AF908" s="129"/>
      <c r="AG908" s="129"/>
      <c r="AH908" s="129"/>
      <c r="AI908" s="129"/>
      <c r="AJ908" s="129"/>
      <c r="AK908" s="129"/>
      <c r="AL908" s="129"/>
      <c r="AM908" s="129"/>
      <c r="AN908" s="129"/>
      <c r="AO908" s="129"/>
      <c r="AP908" s="129"/>
      <c r="AQ908" s="129"/>
    </row>
    <row r="909" spans="1:43" ht="12.75" customHeight="1">
      <c r="A909" s="129"/>
      <c r="B909" s="129"/>
      <c r="C909" s="129"/>
      <c r="D909" s="129"/>
      <c r="E909" s="129"/>
      <c r="F909" s="129"/>
      <c r="G909" s="129"/>
      <c r="H909" s="129"/>
      <c r="I909" s="129"/>
      <c r="J909" s="129"/>
      <c r="K909" s="129"/>
      <c r="L909" s="129"/>
      <c r="M909" s="129"/>
      <c r="N909" s="129"/>
      <c r="O909" s="129"/>
      <c r="P909" s="129"/>
      <c r="Q909" s="129"/>
      <c r="R909" s="129"/>
      <c r="S909" s="129"/>
      <c r="T909" s="129"/>
      <c r="U909" s="129"/>
      <c r="V909" s="129"/>
      <c r="W909" s="129"/>
      <c r="X909" s="129"/>
      <c r="Y909" s="129"/>
      <c r="Z909" s="129"/>
      <c r="AA909" s="129"/>
      <c r="AB909" s="129"/>
      <c r="AC909" s="129"/>
      <c r="AD909" s="129"/>
      <c r="AE909" s="129"/>
      <c r="AF909" s="129"/>
      <c r="AG909" s="129"/>
      <c r="AH909" s="129"/>
      <c r="AI909" s="129"/>
      <c r="AJ909" s="129"/>
      <c r="AK909" s="129"/>
      <c r="AL909" s="129"/>
      <c r="AM909" s="129"/>
      <c r="AN909" s="129"/>
      <c r="AO909" s="129"/>
      <c r="AP909" s="129"/>
      <c r="AQ909" s="129"/>
    </row>
    <row r="910" spans="1:43" ht="12.75" customHeight="1">
      <c r="A910" s="129"/>
      <c r="B910" s="129"/>
      <c r="C910" s="129"/>
      <c r="D910" s="129"/>
      <c r="E910" s="129"/>
      <c r="F910" s="129"/>
      <c r="G910" s="129"/>
      <c r="H910" s="129"/>
      <c r="I910" s="129"/>
      <c r="J910" s="129"/>
      <c r="K910" s="129"/>
      <c r="L910" s="129"/>
      <c r="M910" s="129"/>
      <c r="N910" s="129"/>
      <c r="O910" s="129"/>
      <c r="P910" s="129"/>
      <c r="Q910" s="129"/>
      <c r="R910" s="129"/>
      <c r="S910" s="129"/>
      <c r="T910" s="129"/>
      <c r="U910" s="129"/>
      <c r="V910" s="129"/>
      <c r="W910" s="129"/>
      <c r="X910" s="129"/>
      <c r="Y910" s="129"/>
      <c r="Z910" s="129"/>
      <c r="AA910" s="129"/>
      <c r="AB910" s="129"/>
      <c r="AC910" s="129"/>
      <c r="AD910" s="129"/>
      <c r="AE910" s="129"/>
      <c r="AF910" s="129"/>
      <c r="AG910" s="129"/>
      <c r="AH910" s="129"/>
      <c r="AI910" s="129"/>
      <c r="AJ910" s="129"/>
      <c r="AK910" s="129"/>
      <c r="AL910" s="129"/>
      <c r="AM910" s="129"/>
      <c r="AN910" s="129"/>
      <c r="AO910" s="129"/>
      <c r="AP910" s="129"/>
      <c r="AQ910" s="129"/>
    </row>
    <row r="911" spans="1:43" ht="12.75" customHeight="1">
      <c r="A911" s="129"/>
      <c r="B911" s="129"/>
      <c r="C911" s="129"/>
      <c r="D911" s="129"/>
      <c r="E911" s="129"/>
      <c r="F911" s="129"/>
      <c r="G911" s="129"/>
      <c r="H911" s="129"/>
      <c r="I911" s="129"/>
      <c r="J911" s="129"/>
      <c r="K911" s="129"/>
      <c r="L911" s="129"/>
      <c r="M911" s="129"/>
      <c r="N911" s="129"/>
      <c r="O911" s="129"/>
      <c r="P911" s="129"/>
      <c r="Q911" s="129"/>
      <c r="R911" s="129"/>
      <c r="S911" s="129"/>
      <c r="T911" s="129"/>
      <c r="U911" s="129"/>
      <c r="V911" s="129"/>
      <c r="W911" s="129"/>
      <c r="X911" s="129"/>
      <c r="Y911" s="129"/>
      <c r="Z911" s="129"/>
      <c r="AA911" s="129"/>
      <c r="AB911" s="129"/>
      <c r="AC911" s="129"/>
      <c r="AD911" s="129"/>
      <c r="AE911" s="129"/>
      <c r="AF911" s="129"/>
      <c r="AG911" s="129"/>
      <c r="AH911" s="129"/>
      <c r="AI911" s="129"/>
      <c r="AJ911" s="129"/>
      <c r="AK911" s="129"/>
      <c r="AL911" s="129"/>
      <c r="AM911" s="129"/>
      <c r="AN911" s="129"/>
      <c r="AO911" s="129"/>
      <c r="AP911" s="129"/>
      <c r="AQ911" s="129"/>
    </row>
    <row r="912" spans="1:43" ht="12.75" customHeight="1">
      <c r="A912" s="129"/>
      <c r="B912" s="129"/>
      <c r="C912" s="129"/>
      <c r="D912" s="129"/>
      <c r="E912" s="129"/>
      <c r="F912" s="129"/>
      <c r="G912" s="129"/>
      <c r="H912" s="129"/>
      <c r="I912" s="129"/>
      <c r="J912" s="129"/>
      <c r="K912" s="129"/>
      <c r="L912" s="129"/>
      <c r="M912" s="129"/>
      <c r="N912" s="129"/>
      <c r="O912" s="129"/>
      <c r="P912" s="129"/>
      <c r="Q912" s="129"/>
      <c r="R912" s="129"/>
      <c r="S912" s="129"/>
      <c r="T912" s="129"/>
      <c r="U912" s="129"/>
      <c r="V912" s="129"/>
      <c r="W912" s="129"/>
      <c r="X912" s="129"/>
      <c r="Y912" s="129"/>
      <c r="Z912" s="129"/>
      <c r="AA912" s="129"/>
      <c r="AB912" s="129"/>
      <c r="AC912" s="129"/>
      <c r="AD912" s="129"/>
      <c r="AE912" s="129"/>
      <c r="AF912" s="129"/>
      <c r="AG912" s="129"/>
      <c r="AH912" s="129"/>
      <c r="AI912" s="129"/>
      <c r="AJ912" s="129"/>
      <c r="AK912" s="129"/>
      <c r="AL912" s="129"/>
      <c r="AM912" s="129"/>
      <c r="AN912" s="129"/>
      <c r="AO912" s="129"/>
      <c r="AP912" s="129"/>
      <c r="AQ912" s="129"/>
    </row>
    <row r="913" spans="1:43" ht="12.75" customHeight="1">
      <c r="A913" s="129"/>
      <c r="B913" s="129"/>
      <c r="C913" s="129"/>
      <c r="D913" s="129"/>
      <c r="E913" s="129"/>
      <c r="F913" s="129"/>
      <c r="G913" s="129"/>
      <c r="H913" s="129"/>
      <c r="I913" s="129"/>
      <c r="J913" s="129"/>
      <c r="K913" s="129"/>
      <c r="L913" s="129"/>
      <c r="M913" s="129"/>
      <c r="N913" s="129"/>
      <c r="O913" s="129"/>
      <c r="P913" s="129"/>
      <c r="Q913" s="129"/>
      <c r="R913" s="129"/>
      <c r="S913" s="129"/>
      <c r="T913" s="129"/>
      <c r="U913" s="129"/>
      <c r="V913" s="129"/>
      <c r="W913" s="129"/>
      <c r="X913" s="129"/>
      <c r="Y913" s="129"/>
      <c r="Z913" s="129"/>
      <c r="AA913" s="129"/>
      <c r="AB913" s="129"/>
      <c r="AC913" s="129"/>
      <c r="AD913" s="129"/>
      <c r="AE913" s="129"/>
      <c r="AF913" s="129"/>
      <c r="AG913" s="129"/>
      <c r="AH913" s="129"/>
      <c r="AI913" s="129"/>
      <c r="AJ913" s="129"/>
      <c r="AK913" s="129"/>
      <c r="AL913" s="129"/>
      <c r="AM913" s="129"/>
      <c r="AN913" s="129"/>
      <c r="AO913" s="129"/>
      <c r="AP913" s="129"/>
      <c r="AQ913" s="129"/>
    </row>
    <row r="914" spans="1:43" ht="12.75" customHeight="1">
      <c r="A914" s="129"/>
      <c r="B914" s="129"/>
      <c r="C914" s="129"/>
      <c r="D914" s="129"/>
      <c r="E914" s="129"/>
      <c r="F914" s="129"/>
      <c r="G914" s="129"/>
      <c r="H914" s="129"/>
      <c r="I914" s="129"/>
      <c r="J914" s="129"/>
      <c r="K914" s="129"/>
      <c r="L914" s="129"/>
      <c r="M914" s="129"/>
      <c r="N914" s="129"/>
      <c r="O914" s="129"/>
      <c r="P914" s="129"/>
      <c r="Q914" s="129"/>
      <c r="R914" s="129"/>
      <c r="S914" s="129"/>
      <c r="T914" s="129"/>
      <c r="U914" s="129"/>
      <c r="V914" s="129"/>
      <c r="W914" s="129"/>
      <c r="X914" s="129"/>
      <c r="Y914" s="129"/>
      <c r="Z914" s="129"/>
      <c r="AA914" s="129"/>
      <c r="AB914" s="129"/>
      <c r="AC914" s="129"/>
      <c r="AD914" s="129"/>
      <c r="AE914" s="129"/>
      <c r="AF914" s="129"/>
      <c r="AG914" s="129"/>
      <c r="AH914" s="129"/>
      <c r="AI914" s="129"/>
      <c r="AJ914" s="129"/>
      <c r="AK914" s="129"/>
      <c r="AL914" s="129"/>
      <c r="AM914" s="129"/>
      <c r="AN914" s="129"/>
      <c r="AO914" s="129"/>
      <c r="AP914" s="129"/>
      <c r="AQ914" s="129"/>
    </row>
    <row r="915" spans="1:43" ht="12.75" customHeight="1">
      <c r="A915" s="129"/>
      <c r="B915" s="129"/>
      <c r="C915" s="129"/>
      <c r="D915" s="129"/>
      <c r="E915" s="129"/>
      <c r="F915" s="129"/>
      <c r="G915" s="129"/>
      <c r="H915" s="129"/>
      <c r="I915" s="129"/>
      <c r="J915" s="129"/>
      <c r="K915" s="129"/>
      <c r="L915" s="129"/>
      <c r="M915" s="129"/>
      <c r="N915" s="129"/>
      <c r="O915" s="129"/>
      <c r="P915" s="129"/>
      <c r="Q915" s="129"/>
      <c r="R915" s="129"/>
      <c r="S915" s="129"/>
      <c r="T915" s="129"/>
      <c r="U915" s="129"/>
      <c r="V915" s="129"/>
      <c r="W915" s="129"/>
      <c r="X915" s="129"/>
      <c r="Y915" s="129"/>
      <c r="Z915" s="129"/>
      <c r="AA915" s="129"/>
      <c r="AB915" s="129"/>
      <c r="AC915" s="129"/>
      <c r="AD915" s="129"/>
      <c r="AE915" s="129"/>
      <c r="AF915" s="129"/>
      <c r="AG915" s="129"/>
      <c r="AH915" s="129"/>
      <c r="AI915" s="129"/>
      <c r="AJ915" s="129"/>
      <c r="AK915" s="129"/>
      <c r="AL915" s="129"/>
      <c r="AM915" s="129"/>
      <c r="AN915" s="129"/>
      <c r="AO915" s="129"/>
      <c r="AP915" s="129"/>
      <c r="AQ915" s="129"/>
    </row>
    <row r="916" spans="1:43" ht="12.75" customHeight="1">
      <c r="A916" s="129"/>
      <c r="B916" s="129"/>
      <c r="C916" s="129"/>
      <c r="D916" s="129"/>
      <c r="E916" s="129"/>
      <c r="F916" s="129"/>
      <c r="G916" s="129"/>
      <c r="H916" s="129"/>
      <c r="I916" s="129"/>
      <c r="J916" s="129"/>
      <c r="K916" s="129"/>
      <c r="L916" s="129"/>
      <c r="M916" s="129"/>
      <c r="N916" s="129"/>
      <c r="O916" s="129"/>
      <c r="P916" s="129"/>
      <c r="Q916" s="129"/>
      <c r="R916" s="129"/>
      <c r="S916" s="129"/>
      <c r="T916" s="129"/>
      <c r="U916" s="129"/>
      <c r="V916" s="129"/>
      <c r="W916" s="129"/>
      <c r="X916" s="129"/>
      <c r="Y916" s="129"/>
      <c r="Z916" s="129"/>
      <c r="AA916" s="129"/>
      <c r="AB916" s="129"/>
      <c r="AC916" s="129"/>
      <c r="AD916" s="129"/>
      <c r="AE916" s="129"/>
      <c r="AF916" s="129"/>
      <c r="AG916" s="129"/>
      <c r="AH916" s="129"/>
      <c r="AI916" s="129"/>
      <c r="AJ916" s="129"/>
      <c r="AK916" s="129"/>
      <c r="AL916" s="129"/>
      <c r="AM916" s="129"/>
      <c r="AN916" s="129"/>
      <c r="AO916" s="129"/>
      <c r="AP916" s="129"/>
      <c r="AQ916" s="129"/>
    </row>
    <row r="917" spans="1:43" ht="12.75" customHeight="1">
      <c r="A917" s="129"/>
      <c r="B917" s="129"/>
      <c r="C917" s="129"/>
      <c r="D917" s="129"/>
      <c r="E917" s="129"/>
      <c r="F917" s="129"/>
      <c r="G917" s="129"/>
      <c r="H917" s="129"/>
      <c r="I917" s="129"/>
      <c r="J917" s="129"/>
      <c r="K917" s="129"/>
      <c r="L917" s="129"/>
      <c r="M917" s="129"/>
      <c r="N917" s="129"/>
      <c r="O917" s="129"/>
      <c r="P917" s="129"/>
      <c r="Q917" s="129"/>
      <c r="R917" s="129"/>
      <c r="S917" s="129"/>
      <c r="T917" s="129"/>
      <c r="U917" s="129"/>
      <c r="V917" s="129"/>
      <c r="W917" s="129"/>
      <c r="X917" s="129"/>
      <c r="Y917" s="129"/>
      <c r="Z917" s="129"/>
      <c r="AA917" s="129"/>
      <c r="AB917" s="129"/>
      <c r="AC917" s="129"/>
      <c r="AD917" s="129"/>
      <c r="AE917" s="129"/>
      <c r="AF917" s="129"/>
      <c r="AG917" s="129"/>
      <c r="AH917" s="129"/>
      <c r="AI917" s="129"/>
      <c r="AJ917" s="129"/>
      <c r="AK917" s="129"/>
      <c r="AL917" s="129"/>
      <c r="AM917" s="129"/>
      <c r="AN917" s="129"/>
      <c r="AO917" s="129"/>
      <c r="AP917" s="129"/>
      <c r="AQ917" s="129"/>
    </row>
    <row r="918" spans="1:43" ht="12.75" customHeight="1">
      <c r="A918" s="129"/>
      <c r="B918" s="129"/>
      <c r="C918" s="129"/>
      <c r="D918" s="129"/>
      <c r="E918" s="129"/>
      <c r="F918" s="129"/>
      <c r="G918" s="129"/>
      <c r="H918" s="129"/>
      <c r="I918" s="129"/>
      <c r="J918" s="129"/>
      <c r="K918" s="129"/>
      <c r="L918" s="129"/>
      <c r="M918" s="129"/>
      <c r="N918" s="129"/>
      <c r="O918" s="129"/>
      <c r="P918" s="129"/>
      <c r="Q918" s="129"/>
      <c r="R918" s="129"/>
      <c r="S918" s="129"/>
      <c r="T918" s="129"/>
      <c r="U918" s="129"/>
      <c r="V918" s="129"/>
      <c r="W918" s="129"/>
      <c r="X918" s="129"/>
      <c r="Y918" s="129"/>
      <c r="Z918" s="129"/>
      <c r="AA918" s="129"/>
      <c r="AB918" s="129"/>
      <c r="AC918" s="129"/>
      <c r="AD918" s="129"/>
      <c r="AE918" s="129"/>
      <c r="AF918" s="129"/>
      <c r="AG918" s="129"/>
      <c r="AH918" s="129"/>
      <c r="AI918" s="129"/>
      <c r="AJ918" s="129"/>
      <c r="AK918" s="129"/>
      <c r="AL918" s="129"/>
      <c r="AM918" s="129"/>
      <c r="AN918" s="129"/>
      <c r="AO918" s="129"/>
      <c r="AP918" s="129"/>
      <c r="AQ918" s="129"/>
    </row>
    <row r="919" spans="1:43" ht="12.75" customHeight="1">
      <c r="A919" s="129"/>
      <c r="B919" s="129"/>
      <c r="C919" s="129"/>
      <c r="D919" s="129"/>
      <c r="E919" s="129"/>
      <c r="F919" s="129"/>
      <c r="G919" s="129"/>
      <c r="H919" s="129"/>
      <c r="I919" s="129"/>
      <c r="J919" s="129"/>
      <c r="K919" s="129"/>
      <c r="L919" s="129"/>
      <c r="M919" s="129"/>
      <c r="N919" s="129"/>
      <c r="O919" s="129"/>
      <c r="P919" s="129"/>
      <c r="Q919" s="129"/>
      <c r="R919" s="129"/>
      <c r="S919" s="129"/>
      <c r="T919" s="129"/>
      <c r="U919" s="129"/>
      <c r="V919" s="129"/>
      <c r="W919" s="129"/>
      <c r="X919" s="129"/>
      <c r="Y919" s="129"/>
      <c r="Z919" s="129"/>
      <c r="AA919" s="129"/>
      <c r="AB919" s="129"/>
      <c r="AC919" s="129"/>
      <c r="AD919" s="129"/>
      <c r="AE919" s="129"/>
      <c r="AF919" s="129"/>
      <c r="AG919" s="129"/>
      <c r="AH919" s="129"/>
      <c r="AI919" s="129"/>
      <c r="AJ919" s="129"/>
      <c r="AK919" s="129"/>
      <c r="AL919" s="129"/>
      <c r="AM919" s="129"/>
      <c r="AN919" s="129"/>
      <c r="AO919" s="129"/>
      <c r="AP919" s="129"/>
      <c r="AQ919" s="129"/>
    </row>
    <row r="920" spans="1:43" ht="12.75" customHeight="1">
      <c r="A920" s="129"/>
      <c r="B920" s="129"/>
      <c r="C920" s="129"/>
      <c r="D920" s="129"/>
      <c r="E920" s="129"/>
      <c r="F920" s="129"/>
      <c r="G920" s="129"/>
      <c r="H920" s="129"/>
      <c r="I920" s="129"/>
      <c r="J920" s="129"/>
      <c r="K920" s="129"/>
      <c r="L920" s="129"/>
      <c r="M920" s="129"/>
      <c r="N920" s="129"/>
      <c r="O920" s="129"/>
      <c r="P920" s="129"/>
      <c r="Q920" s="129"/>
      <c r="R920" s="129"/>
      <c r="S920" s="129"/>
      <c r="T920" s="129"/>
      <c r="U920" s="129"/>
      <c r="V920" s="129"/>
      <c r="W920" s="129"/>
      <c r="X920" s="129"/>
      <c r="Y920" s="129"/>
      <c r="Z920" s="129"/>
      <c r="AA920" s="129"/>
      <c r="AB920" s="129"/>
      <c r="AC920" s="129"/>
      <c r="AD920" s="129"/>
      <c r="AE920" s="129"/>
      <c r="AF920" s="129"/>
      <c r="AG920" s="129"/>
      <c r="AH920" s="129"/>
      <c r="AI920" s="129"/>
      <c r="AJ920" s="129"/>
      <c r="AK920" s="129"/>
      <c r="AL920" s="129"/>
      <c r="AM920" s="129"/>
      <c r="AN920" s="129"/>
      <c r="AO920" s="129"/>
      <c r="AP920" s="129"/>
      <c r="AQ920" s="129"/>
    </row>
    <row r="921" spans="1:43" ht="12.75" customHeight="1">
      <c r="A921" s="129"/>
      <c r="B921" s="129"/>
      <c r="C921" s="129"/>
      <c r="D921" s="129"/>
      <c r="E921" s="129"/>
      <c r="F921" s="129"/>
      <c r="G921" s="129"/>
      <c r="H921" s="129"/>
      <c r="I921" s="129"/>
      <c r="J921" s="129"/>
      <c r="K921" s="129"/>
      <c r="L921" s="129"/>
      <c r="M921" s="129"/>
      <c r="N921" s="129"/>
      <c r="O921" s="129"/>
      <c r="P921" s="129"/>
      <c r="Q921" s="129"/>
      <c r="R921" s="129"/>
      <c r="S921" s="129"/>
      <c r="T921" s="129"/>
      <c r="U921" s="129"/>
      <c r="V921" s="129"/>
      <c r="W921" s="129"/>
      <c r="X921" s="129"/>
      <c r="Y921" s="129"/>
      <c r="Z921" s="129"/>
      <c r="AA921" s="129"/>
      <c r="AB921" s="129"/>
      <c r="AC921" s="129"/>
      <c r="AD921" s="129"/>
      <c r="AE921" s="129"/>
      <c r="AF921" s="129"/>
      <c r="AG921" s="129"/>
      <c r="AH921" s="129"/>
      <c r="AI921" s="129"/>
      <c r="AJ921" s="129"/>
      <c r="AK921" s="129"/>
      <c r="AL921" s="129"/>
      <c r="AM921" s="129"/>
      <c r="AN921" s="129"/>
      <c r="AO921" s="129"/>
      <c r="AP921" s="129"/>
      <c r="AQ921" s="129"/>
    </row>
    <row r="922" spans="1:43" ht="12.75" customHeight="1">
      <c r="A922" s="129"/>
      <c r="B922" s="129"/>
      <c r="C922" s="129"/>
      <c r="D922" s="129"/>
      <c r="E922" s="129"/>
      <c r="F922" s="129"/>
      <c r="G922" s="129"/>
      <c r="H922" s="129"/>
      <c r="I922" s="129"/>
      <c r="J922" s="129"/>
      <c r="K922" s="129"/>
      <c r="L922" s="129"/>
      <c r="M922" s="129"/>
      <c r="N922" s="129"/>
      <c r="O922" s="129"/>
      <c r="P922" s="129"/>
      <c r="Q922" s="129"/>
      <c r="R922" s="129"/>
      <c r="S922" s="129"/>
      <c r="T922" s="129"/>
      <c r="U922" s="129"/>
      <c r="V922" s="129"/>
      <c r="W922" s="129"/>
      <c r="X922" s="129"/>
      <c r="Y922" s="129"/>
      <c r="Z922" s="129"/>
      <c r="AA922" s="129"/>
      <c r="AB922" s="129"/>
      <c r="AC922" s="129"/>
      <c r="AD922" s="129"/>
      <c r="AE922" s="129"/>
      <c r="AF922" s="129"/>
      <c r="AG922" s="129"/>
      <c r="AH922" s="129"/>
      <c r="AI922" s="129"/>
      <c r="AJ922" s="129"/>
      <c r="AK922" s="129"/>
      <c r="AL922" s="129"/>
      <c r="AM922" s="129"/>
      <c r="AN922" s="129"/>
      <c r="AO922" s="129"/>
      <c r="AP922" s="129"/>
      <c r="AQ922" s="129"/>
    </row>
    <row r="923" spans="1:43" ht="12.75" customHeight="1">
      <c r="A923" s="129"/>
      <c r="B923" s="129"/>
      <c r="C923" s="129"/>
      <c r="D923" s="129"/>
      <c r="E923" s="129"/>
      <c r="F923" s="129"/>
      <c r="G923" s="129"/>
      <c r="H923" s="129"/>
      <c r="I923" s="129"/>
      <c r="J923" s="129"/>
      <c r="K923" s="129"/>
      <c r="L923" s="129"/>
      <c r="M923" s="129"/>
      <c r="N923" s="129"/>
      <c r="O923" s="129"/>
      <c r="P923" s="129"/>
      <c r="Q923" s="129"/>
      <c r="R923" s="129"/>
      <c r="S923" s="129"/>
      <c r="T923" s="129"/>
      <c r="U923" s="129"/>
      <c r="V923" s="129"/>
      <c r="W923" s="129"/>
      <c r="X923" s="129"/>
      <c r="Y923" s="129"/>
      <c r="Z923" s="129"/>
      <c r="AA923" s="129"/>
      <c r="AB923" s="129"/>
      <c r="AC923" s="129"/>
      <c r="AD923" s="129"/>
      <c r="AE923" s="129"/>
      <c r="AF923" s="129"/>
      <c r="AG923" s="129"/>
      <c r="AH923" s="129"/>
      <c r="AI923" s="129"/>
      <c r="AJ923" s="129"/>
      <c r="AK923" s="129"/>
      <c r="AL923" s="129"/>
      <c r="AM923" s="129"/>
      <c r="AN923" s="129"/>
      <c r="AO923" s="129"/>
      <c r="AP923" s="129"/>
      <c r="AQ923" s="129"/>
    </row>
    <row r="924" spans="1:43" ht="12.75" customHeight="1">
      <c r="A924" s="129"/>
      <c r="B924" s="129"/>
      <c r="C924" s="129"/>
      <c r="D924" s="129"/>
      <c r="E924" s="129"/>
      <c r="F924" s="129"/>
      <c r="G924" s="129"/>
      <c r="H924" s="129"/>
      <c r="I924" s="129"/>
      <c r="J924" s="129"/>
      <c r="K924" s="129"/>
      <c r="L924" s="129"/>
      <c r="M924" s="129"/>
      <c r="N924" s="129"/>
      <c r="O924" s="129"/>
      <c r="P924" s="129"/>
      <c r="Q924" s="129"/>
      <c r="R924" s="129"/>
      <c r="S924" s="129"/>
      <c r="T924" s="129"/>
      <c r="U924" s="129"/>
      <c r="V924" s="129"/>
      <c r="W924" s="129"/>
      <c r="X924" s="129"/>
      <c r="Y924" s="129"/>
      <c r="Z924" s="129"/>
      <c r="AA924" s="129"/>
      <c r="AB924" s="129"/>
      <c r="AC924" s="129"/>
      <c r="AD924" s="129"/>
      <c r="AE924" s="129"/>
      <c r="AF924" s="129"/>
      <c r="AG924" s="129"/>
      <c r="AH924" s="129"/>
      <c r="AI924" s="129"/>
      <c r="AJ924" s="129"/>
      <c r="AK924" s="129"/>
      <c r="AL924" s="129"/>
      <c r="AM924" s="129"/>
      <c r="AN924" s="129"/>
      <c r="AO924" s="129"/>
      <c r="AP924" s="129"/>
      <c r="AQ924" s="129"/>
    </row>
    <row r="925" spans="1:43" ht="12.75" customHeight="1">
      <c r="A925" s="129"/>
      <c r="B925" s="129"/>
      <c r="C925" s="129"/>
      <c r="D925" s="129"/>
      <c r="E925" s="129"/>
      <c r="F925" s="129"/>
      <c r="G925" s="129"/>
      <c r="H925" s="129"/>
      <c r="I925" s="129"/>
      <c r="J925" s="129"/>
      <c r="K925" s="129"/>
      <c r="L925" s="129"/>
      <c r="M925" s="129"/>
      <c r="N925" s="129"/>
      <c r="O925" s="129"/>
      <c r="P925" s="129"/>
      <c r="Q925" s="129"/>
      <c r="R925" s="129"/>
      <c r="S925" s="129"/>
      <c r="T925" s="129"/>
      <c r="U925" s="129"/>
      <c r="V925" s="129"/>
      <c r="W925" s="129"/>
      <c r="X925" s="129"/>
      <c r="Y925" s="129"/>
      <c r="Z925" s="129"/>
      <c r="AA925" s="129"/>
      <c r="AB925" s="129"/>
      <c r="AC925" s="129"/>
      <c r="AD925" s="129"/>
      <c r="AE925" s="129"/>
      <c r="AF925" s="129"/>
      <c r="AG925" s="129"/>
      <c r="AH925" s="129"/>
      <c r="AI925" s="129"/>
      <c r="AJ925" s="129"/>
      <c r="AK925" s="129"/>
      <c r="AL925" s="129"/>
      <c r="AM925" s="129"/>
      <c r="AN925" s="129"/>
      <c r="AO925" s="129"/>
      <c r="AP925" s="129"/>
      <c r="AQ925" s="129"/>
    </row>
    <row r="926" spans="1:43" ht="12.75" customHeight="1">
      <c r="A926" s="129"/>
      <c r="B926" s="129"/>
      <c r="C926" s="129"/>
      <c r="D926" s="129"/>
      <c r="E926" s="129"/>
      <c r="F926" s="129"/>
      <c r="G926" s="129"/>
      <c r="H926" s="129"/>
      <c r="I926" s="129"/>
      <c r="J926" s="129"/>
      <c r="K926" s="129"/>
      <c r="L926" s="129"/>
      <c r="M926" s="129"/>
      <c r="N926" s="129"/>
      <c r="O926" s="129"/>
      <c r="P926" s="129"/>
      <c r="Q926" s="129"/>
      <c r="R926" s="129"/>
      <c r="S926" s="129"/>
      <c r="T926" s="129"/>
      <c r="U926" s="129"/>
      <c r="V926" s="129"/>
      <c r="W926" s="129"/>
      <c r="X926" s="129"/>
      <c r="Y926" s="129"/>
      <c r="Z926" s="129"/>
      <c r="AA926" s="129"/>
      <c r="AB926" s="129"/>
      <c r="AC926" s="129"/>
      <c r="AD926" s="129"/>
      <c r="AE926" s="129"/>
      <c r="AF926" s="129"/>
      <c r="AG926" s="129"/>
      <c r="AH926" s="129"/>
      <c r="AI926" s="129"/>
      <c r="AJ926" s="129"/>
      <c r="AK926" s="129"/>
      <c r="AL926" s="129"/>
      <c r="AM926" s="129"/>
      <c r="AN926" s="129"/>
      <c r="AO926" s="129"/>
      <c r="AP926" s="129"/>
      <c r="AQ926" s="129"/>
    </row>
    <row r="927" spans="1:43" ht="12.75" customHeight="1">
      <c r="A927" s="129"/>
      <c r="B927" s="129"/>
      <c r="C927" s="129"/>
      <c r="D927" s="129"/>
      <c r="E927" s="129"/>
      <c r="F927" s="129"/>
      <c r="G927" s="129"/>
      <c r="H927" s="129"/>
      <c r="I927" s="129"/>
      <c r="J927" s="129"/>
      <c r="K927" s="129"/>
      <c r="L927" s="129"/>
      <c r="M927" s="129"/>
      <c r="N927" s="129"/>
      <c r="O927" s="129"/>
      <c r="P927" s="129"/>
      <c r="Q927" s="129"/>
      <c r="R927" s="129"/>
      <c r="S927" s="129"/>
      <c r="T927" s="129"/>
      <c r="U927" s="129"/>
      <c r="V927" s="129"/>
      <c r="W927" s="129"/>
      <c r="X927" s="129"/>
      <c r="Y927" s="129"/>
      <c r="Z927" s="129"/>
      <c r="AA927" s="129"/>
      <c r="AB927" s="129"/>
      <c r="AC927" s="129"/>
      <c r="AD927" s="129"/>
      <c r="AE927" s="129"/>
      <c r="AF927" s="129"/>
      <c r="AG927" s="129"/>
      <c r="AH927" s="129"/>
      <c r="AI927" s="129"/>
      <c r="AJ927" s="129"/>
      <c r="AK927" s="129"/>
      <c r="AL927" s="129"/>
      <c r="AM927" s="129"/>
      <c r="AN927" s="129"/>
      <c r="AO927" s="129"/>
      <c r="AP927" s="129"/>
      <c r="AQ927" s="129"/>
    </row>
    <row r="928" spans="1:43" ht="12.75" customHeight="1">
      <c r="A928" s="129"/>
      <c r="B928" s="129"/>
      <c r="C928" s="129"/>
      <c r="D928" s="129"/>
      <c r="E928" s="129"/>
      <c r="F928" s="129"/>
      <c r="G928" s="129"/>
      <c r="H928" s="129"/>
      <c r="I928" s="129"/>
      <c r="J928" s="129"/>
      <c r="K928" s="129"/>
      <c r="L928" s="129"/>
      <c r="M928" s="129"/>
      <c r="N928" s="129"/>
      <c r="O928" s="129"/>
      <c r="P928" s="129"/>
      <c r="Q928" s="129"/>
      <c r="R928" s="129"/>
      <c r="S928" s="129"/>
      <c r="T928" s="129"/>
      <c r="U928" s="129"/>
      <c r="V928" s="129"/>
      <c r="W928" s="129"/>
      <c r="X928" s="129"/>
      <c r="Y928" s="129"/>
      <c r="Z928" s="129"/>
      <c r="AA928" s="129"/>
      <c r="AB928" s="129"/>
      <c r="AC928" s="129"/>
      <c r="AD928" s="129"/>
      <c r="AE928" s="129"/>
      <c r="AF928" s="129"/>
      <c r="AG928" s="129"/>
      <c r="AH928" s="129"/>
      <c r="AI928" s="129"/>
      <c r="AJ928" s="129"/>
      <c r="AK928" s="129"/>
      <c r="AL928" s="129"/>
      <c r="AM928" s="129"/>
      <c r="AN928" s="129"/>
      <c r="AO928" s="129"/>
      <c r="AP928" s="129"/>
      <c r="AQ928" s="129"/>
    </row>
    <row r="929" spans="1:43" ht="12.75" customHeight="1">
      <c r="A929" s="129"/>
      <c r="B929" s="129"/>
      <c r="C929" s="129"/>
      <c r="D929" s="129"/>
      <c r="E929" s="129"/>
      <c r="F929" s="129"/>
      <c r="G929" s="129"/>
      <c r="H929" s="129"/>
      <c r="I929" s="129"/>
      <c r="J929" s="129"/>
      <c r="K929" s="129"/>
      <c r="L929" s="129"/>
      <c r="M929" s="129"/>
      <c r="N929" s="129"/>
      <c r="O929" s="129"/>
      <c r="P929" s="129"/>
      <c r="Q929" s="129"/>
      <c r="R929" s="129"/>
      <c r="S929" s="129"/>
      <c r="T929" s="129"/>
      <c r="U929" s="129"/>
      <c r="V929" s="129"/>
      <c r="W929" s="129"/>
      <c r="X929" s="129"/>
      <c r="Y929" s="129"/>
      <c r="Z929" s="129"/>
      <c r="AA929" s="129"/>
      <c r="AB929" s="129"/>
      <c r="AC929" s="129"/>
      <c r="AD929" s="129"/>
      <c r="AE929" s="129"/>
      <c r="AF929" s="129"/>
      <c r="AG929" s="129"/>
      <c r="AH929" s="129"/>
      <c r="AI929" s="129"/>
      <c r="AJ929" s="129"/>
      <c r="AK929" s="129"/>
      <c r="AL929" s="129"/>
      <c r="AM929" s="129"/>
      <c r="AN929" s="129"/>
      <c r="AO929" s="129"/>
      <c r="AP929" s="129"/>
      <c r="AQ929" s="129"/>
    </row>
    <row r="930" spans="1:43" ht="12.75" customHeight="1">
      <c r="A930" s="129"/>
      <c r="B930" s="129"/>
      <c r="C930" s="129"/>
      <c r="D930" s="129"/>
      <c r="E930" s="129"/>
      <c r="F930" s="129"/>
      <c r="G930" s="129"/>
      <c r="H930" s="129"/>
      <c r="I930" s="129"/>
      <c r="J930" s="129"/>
      <c r="K930" s="129"/>
      <c r="L930" s="129"/>
      <c r="M930" s="129"/>
      <c r="N930" s="129"/>
      <c r="O930" s="129"/>
      <c r="P930" s="129"/>
      <c r="Q930" s="129"/>
      <c r="R930" s="129"/>
      <c r="S930" s="129"/>
      <c r="T930" s="129"/>
      <c r="U930" s="129"/>
      <c r="V930" s="129"/>
      <c r="W930" s="129"/>
      <c r="X930" s="129"/>
      <c r="Y930" s="129"/>
      <c r="Z930" s="129"/>
      <c r="AA930" s="129"/>
      <c r="AB930" s="129"/>
      <c r="AC930" s="129"/>
      <c r="AD930" s="129"/>
      <c r="AE930" s="129"/>
      <c r="AF930" s="129"/>
      <c r="AG930" s="129"/>
      <c r="AH930" s="129"/>
      <c r="AI930" s="129"/>
      <c r="AJ930" s="129"/>
      <c r="AK930" s="129"/>
      <c r="AL930" s="129"/>
      <c r="AM930" s="129"/>
      <c r="AN930" s="129"/>
      <c r="AO930" s="129"/>
      <c r="AP930" s="129"/>
      <c r="AQ930" s="129"/>
    </row>
    <row r="931" spans="1:43" ht="12.75" customHeight="1">
      <c r="A931" s="129"/>
      <c r="B931" s="129"/>
      <c r="C931" s="129"/>
      <c r="D931" s="129"/>
      <c r="E931" s="129"/>
      <c r="F931" s="129"/>
      <c r="G931" s="129"/>
      <c r="H931" s="129"/>
      <c r="I931" s="129"/>
      <c r="J931" s="129"/>
      <c r="K931" s="129"/>
      <c r="L931" s="129"/>
      <c r="M931" s="129"/>
      <c r="N931" s="129"/>
      <c r="O931" s="129"/>
      <c r="P931" s="129"/>
      <c r="Q931" s="129"/>
      <c r="R931" s="129"/>
      <c r="S931" s="129"/>
      <c r="T931" s="129"/>
      <c r="U931" s="129"/>
      <c r="V931" s="129"/>
      <c r="W931" s="129"/>
      <c r="X931" s="129"/>
      <c r="Y931" s="129"/>
      <c r="Z931" s="129"/>
      <c r="AA931" s="129"/>
      <c r="AB931" s="129"/>
      <c r="AC931" s="129"/>
      <c r="AD931" s="129"/>
      <c r="AE931" s="129"/>
      <c r="AF931" s="129"/>
      <c r="AG931" s="129"/>
      <c r="AH931" s="129"/>
      <c r="AI931" s="129"/>
      <c r="AJ931" s="129"/>
      <c r="AK931" s="129"/>
      <c r="AL931" s="129"/>
      <c r="AM931" s="129"/>
      <c r="AN931" s="129"/>
      <c r="AO931" s="129"/>
      <c r="AP931" s="129"/>
      <c r="AQ931" s="129"/>
    </row>
    <row r="932" spans="1:43" ht="12.75" customHeight="1">
      <c r="A932" s="129"/>
      <c r="B932" s="129"/>
      <c r="C932" s="129"/>
      <c r="D932" s="129"/>
      <c r="E932" s="129"/>
      <c r="F932" s="129"/>
      <c r="G932" s="129"/>
      <c r="H932" s="129"/>
      <c r="I932" s="129"/>
      <c r="J932" s="129"/>
      <c r="K932" s="129"/>
      <c r="L932" s="129"/>
      <c r="M932" s="129"/>
      <c r="N932" s="129"/>
      <c r="O932" s="129"/>
      <c r="P932" s="129"/>
      <c r="Q932" s="129"/>
      <c r="R932" s="129"/>
      <c r="S932" s="129"/>
      <c r="T932" s="129"/>
      <c r="U932" s="129"/>
      <c r="V932" s="129"/>
      <c r="W932" s="129"/>
      <c r="X932" s="129"/>
      <c r="Y932" s="129"/>
      <c r="Z932" s="129"/>
      <c r="AA932" s="129"/>
      <c r="AB932" s="129"/>
      <c r="AC932" s="129"/>
      <c r="AD932" s="129"/>
      <c r="AE932" s="129"/>
      <c r="AF932" s="129"/>
      <c r="AG932" s="129"/>
      <c r="AH932" s="129"/>
      <c r="AI932" s="129"/>
      <c r="AJ932" s="129"/>
      <c r="AK932" s="129"/>
      <c r="AL932" s="129"/>
      <c r="AM932" s="129"/>
      <c r="AN932" s="129"/>
      <c r="AO932" s="129"/>
      <c r="AP932" s="129"/>
      <c r="AQ932" s="129"/>
    </row>
    <row r="933" spans="1:43" ht="12.75" customHeight="1">
      <c r="A933" s="129"/>
      <c r="B933" s="129"/>
      <c r="C933" s="129"/>
      <c r="D933" s="129"/>
      <c r="E933" s="129"/>
      <c r="F933" s="129"/>
      <c r="G933" s="129"/>
      <c r="H933" s="129"/>
      <c r="I933" s="129"/>
      <c r="J933" s="129"/>
      <c r="K933" s="129"/>
      <c r="L933" s="129"/>
      <c r="M933" s="129"/>
      <c r="N933" s="129"/>
      <c r="O933" s="129"/>
      <c r="P933" s="129"/>
      <c r="Q933" s="129"/>
      <c r="R933" s="129"/>
      <c r="S933" s="129"/>
      <c r="T933" s="129"/>
      <c r="U933" s="129"/>
      <c r="V933" s="129"/>
      <c r="W933" s="129"/>
      <c r="X933" s="129"/>
      <c r="Y933" s="129"/>
      <c r="Z933" s="129"/>
      <c r="AA933" s="129"/>
      <c r="AB933" s="129"/>
      <c r="AC933" s="129"/>
      <c r="AD933" s="129"/>
      <c r="AE933" s="129"/>
      <c r="AF933" s="129"/>
      <c r="AG933" s="129"/>
      <c r="AH933" s="129"/>
      <c r="AI933" s="129"/>
      <c r="AJ933" s="129"/>
      <c r="AK933" s="129"/>
      <c r="AL933" s="129"/>
      <c r="AM933" s="129"/>
      <c r="AN933" s="129"/>
      <c r="AO933" s="129"/>
      <c r="AP933" s="129"/>
      <c r="AQ933" s="129"/>
    </row>
    <row r="934" spans="1:43" ht="12.75" customHeight="1">
      <c r="A934" s="129"/>
      <c r="B934" s="129"/>
      <c r="C934" s="129"/>
      <c r="D934" s="129"/>
      <c r="E934" s="129"/>
      <c r="F934" s="129"/>
      <c r="G934" s="129"/>
      <c r="H934" s="129"/>
      <c r="I934" s="129"/>
      <c r="J934" s="129"/>
      <c r="K934" s="129"/>
      <c r="L934" s="129"/>
      <c r="M934" s="129"/>
      <c r="N934" s="129"/>
      <c r="O934" s="129"/>
      <c r="P934" s="129"/>
      <c r="Q934" s="129"/>
      <c r="R934" s="129"/>
      <c r="S934" s="129"/>
      <c r="T934" s="129"/>
      <c r="U934" s="129"/>
      <c r="V934" s="129"/>
      <c r="W934" s="129"/>
      <c r="X934" s="129"/>
      <c r="Y934" s="129"/>
      <c r="Z934" s="129"/>
      <c r="AA934" s="129"/>
      <c r="AB934" s="129"/>
      <c r="AC934" s="129"/>
      <c r="AD934" s="129"/>
      <c r="AE934" s="129"/>
      <c r="AF934" s="129"/>
      <c r="AG934" s="129"/>
      <c r="AH934" s="129"/>
      <c r="AI934" s="129"/>
      <c r="AJ934" s="129"/>
      <c r="AK934" s="129"/>
      <c r="AL934" s="129"/>
      <c r="AM934" s="129"/>
      <c r="AN934" s="129"/>
      <c r="AO934" s="129"/>
      <c r="AP934" s="129"/>
      <c r="AQ934" s="129"/>
    </row>
    <row r="935" spans="1:43" ht="12.75" customHeight="1">
      <c r="A935" s="129"/>
      <c r="B935" s="129"/>
      <c r="C935" s="129"/>
      <c r="D935" s="129"/>
      <c r="E935" s="129"/>
      <c r="F935" s="129"/>
      <c r="G935" s="129"/>
      <c r="H935" s="129"/>
      <c r="I935" s="129"/>
      <c r="J935" s="129"/>
      <c r="K935" s="129"/>
      <c r="L935" s="129"/>
      <c r="M935" s="129"/>
      <c r="N935" s="129"/>
      <c r="O935" s="129"/>
      <c r="P935" s="129"/>
      <c r="Q935" s="129"/>
      <c r="R935" s="129"/>
      <c r="S935" s="129"/>
      <c r="T935" s="129"/>
      <c r="U935" s="129"/>
      <c r="V935" s="129"/>
      <c r="W935" s="129"/>
      <c r="X935" s="129"/>
      <c r="Y935" s="129"/>
      <c r="Z935" s="129"/>
      <c r="AA935" s="129"/>
      <c r="AB935" s="129"/>
      <c r="AC935" s="129"/>
      <c r="AD935" s="129"/>
      <c r="AE935" s="129"/>
      <c r="AF935" s="129"/>
      <c r="AG935" s="129"/>
      <c r="AH935" s="129"/>
      <c r="AI935" s="129"/>
      <c r="AJ935" s="129"/>
      <c r="AK935" s="129"/>
      <c r="AL935" s="129"/>
      <c r="AM935" s="129"/>
      <c r="AN935" s="129"/>
      <c r="AO935" s="129"/>
      <c r="AP935" s="129"/>
      <c r="AQ935" s="129"/>
    </row>
    <row r="936" spans="1:43" ht="12.75" customHeight="1">
      <c r="A936" s="129"/>
      <c r="B936" s="129"/>
      <c r="C936" s="129"/>
      <c r="D936" s="129"/>
      <c r="E936" s="129"/>
      <c r="F936" s="129"/>
      <c r="G936" s="129"/>
      <c r="H936" s="129"/>
      <c r="I936" s="129"/>
      <c r="J936" s="129"/>
      <c r="K936" s="129"/>
      <c r="L936" s="129"/>
      <c r="M936" s="129"/>
      <c r="N936" s="129"/>
      <c r="O936" s="129"/>
      <c r="P936" s="129"/>
      <c r="Q936" s="129"/>
      <c r="R936" s="129"/>
      <c r="S936" s="129"/>
      <c r="T936" s="129"/>
      <c r="U936" s="129"/>
      <c r="V936" s="129"/>
      <c r="W936" s="129"/>
      <c r="X936" s="129"/>
      <c r="Y936" s="129"/>
      <c r="Z936" s="129"/>
      <c r="AA936" s="129"/>
      <c r="AB936" s="129"/>
      <c r="AC936" s="129"/>
      <c r="AD936" s="129"/>
      <c r="AE936" s="129"/>
      <c r="AF936" s="129"/>
      <c r="AG936" s="129"/>
      <c r="AH936" s="129"/>
      <c r="AI936" s="129"/>
      <c r="AJ936" s="129"/>
      <c r="AK936" s="129"/>
      <c r="AL936" s="129"/>
      <c r="AM936" s="129"/>
      <c r="AN936" s="129"/>
      <c r="AO936" s="129"/>
      <c r="AP936" s="129"/>
      <c r="AQ936" s="129"/>
    </row>
    <row r="937" spans="1:43" ht="12.75" customHeight="1">
      <c r="A937" s="129"/>
      <c r="B937" s="129"/>
      <c r="C937" s="129"/>
      <c r="D937" s="129"/>
      <c r="E937" s="129"/>
      <c r="F937" s="129"/>
      <c r="G937" s="129"/>
      <c r="H937" s="129"/>
      <c r="I937" s="129"/>
      <c r="J937" s="129"/>
      <c r="K937" s="129"/>
      <c r="L937" s="129"/>
      <c r="M937" s="129"/>
      <c r="N937" s="129"/>
      <c r="O937" s="129"/>
      <c r="P937" s="129"/>
      <c r="Q937" s="129"/>
      <c r="R937" s="129"/>
      <c r="S937" s="129"/>
      <c r="T937" s="129"/>
      <c r="U937" s="129"/>
      <c r="V937" s="129"/>
      <c r="W937" s="129"/>
      <c r="X937" s="129"/>
      <c r="Y937" s="129"/>
      <c r="Z937" s="129"/>
      <c r="AA937" s="129"/>
      <c r="AB937" s="129"/>
      <c r="AC937" s="129"/>
      <c r="AD937" s="129"/>
      <c r="AE937" s="129"/>
      <c r="AF937" s="129"/>
      <c r="AG937" s="129"/>
      <c r="AH937" s="129"/>
      <c r="AI937" s="129"/>
      <c r="AJ937" s="129"/>
      <c r="AK937" s="129"/>
      <c r="AL937" s="129"/>
      <c r="AM937" s="129"/>
      <c r="AN937" s="129"/>
      <c r="AO937" s="129"/>
      <c r="AP937" s="129"/>
      <c r="AQ937" s="129"/>
    </row>
    <row r="938" spans="1:43" ht="12.75" customHeight="1">
      <c r="A938" s="129"/>
      <c r="B938" s="129"/>
      <c r="C938" s="129"/>
      <c r="D938" s="129"/>
      <c r="E938" s="129"/>
      <c r="F938" s="129"/>
      <c r="G938" s="129"/>
      <c r="H938" s="129"/>
      <c r="I938" s="129"/>
      <c r="J938" s="129"/>
      <c r="K938" s="129"/>
      <c r="L938" s="129"/>
      <c r="M938" s="129"/>
      <c r="N938" s="129"/>
      <c r="O938" s="129"/>
      <c r="P938" s="129"/>
      <c r="Q938" s="129"/>
      <c r="R938" s="129"/>
      <c r="S938" s="129"/>
      <c r="T938" s="129"/>
      <c r="U938" s="129"/>
      <c r="V938" s="129"/>
      <c r="W938" s="129"/>
      <c r="X938" s="129"/>
      <c r="Y938" s="129"/>
      <c r="Z938" s="129"/>
      <c r="AA938" s="129"/>
      <c r="AB938" s="129"/>
      <c r="AC938" s="129"/>
      <c r="AD938" s="129"/>
      <c r="AE938" s="129"/>
      <c r="AF938" s="129"/>
      <c r="AG938" s="129"/>
      <c r="AH938" s="129"/>
      <c r="AI938" s="129"/>
      <c r="AJ938" s="129"/>
      <c r="AK938" s="129"/>
      <c r="AL938" s="129"/>
      <c r="AM938" s="129"/>
      <c r="AN938" s="129"/>
      <c r="AO938" s="129"/>
      <c r="AP938" s="129"/>
      <c r="AQ938" s="129"/>
    </row>
    <row r="939" spans="1:43" ht="12.75" customHeight="1">
      <c r="A939" s="129"/>
      <c r="B939" s="129"/>
      <c r="C939" s="129"/>
      <c r="D939" s="129"/>
      <c r="E939" s="129"/>
      <c r="F939" s="129"/>
      <c r="G939" s="129"/>
      <c r="H939" s="129"/>
      <c r="I939" s="129"/>
      <c r="J939" s="129"/>
      <c r="K939" s="129"/>
      <c r="L939" s="129"/>
      <c r="M939" s="129"/>
      <c r="N939" s="129"/>
      <c r="O939" s="129"/>
      <c r="P939" s="129"/>
      <c r="Q939" s="129"/>
      <c r="R939" s="129"/>
      <c r="S939" s="129"/>
      <c r="T939" s="129"/>
      <c r="U939" s="129"/>
      <c r="V939" s="129"/>
      <c r="W939" s="129"/>
      <c r="X939" s="129"/>
      <c r="Y939" s="129"/>
      <c r="Z939" s="129"/>
      <c r="AA939" s="129"/>
      <c r="AB939" s="129"/>
      <c r="AC939" s="129"/>
      <c r="AD939" s="129"/>
      <c r="AE939" s="129"/>
      <c r="AF939" s="129"/>
      <c r="AG939" s="129"/>
      <c r="AH939" s="129"/>
      <c r="AI939" s="129"/>
      <c r="AJ939" s="129"/>
      <c r="AK939" s="129"/>
      <c r="AL939" s="129"/>
      <c r="AM939" s="129"/>
      <c r="AN939" s="129"/>
      <c r="AO939" s="129"/>
      <c r="AP939" s="129"/>
      <c r="AQ939" s="129"/>
    </row>
    <row r="940" spans="1:43" ht="12.75" customHeight="1">
      <c r="A940" s="129"/>
      <c r="B940" s="129"/>
      <c r="C940" s="129"/>
      <c r="D940" s="129"/>
      <c r="E940" s="129"/>
      <c r="F940" s="129"/>
      <c r="G940" s="129"/>
      <c r="H940" s="129"/>
      <c r="I940" s="129"/>
      <c r="J940" s="129"/>
      <c r="K940" s="129"/>
      <c r="L940" s="129"/>
      <c r="M940" s="129"/>
      <c r="N940" s="129"/>
      <c r="O940" s="129"/>
      <c r="P940" s="129"/>
      <c r="Q940" s="129"/>
      <c r="R940" s="129"/>
      <c r="S940" s="129"/>
      <c r="T940" s="129"/>
      <c r="U940" s="129"/>
      <c r="V940" s="129"/>
      <c r="W940" s="129"/>
      <c r="X940" s="129"/>
      <c r="Y940" s="129"/>
      <c r="Z940" s="129"/>
      <c r="AA940" s="129"/>
      <c r="AB940" s="129"/>
      <c r="AC940" s="129"/>
      <c r="AD940" s="129"/>
      <c r="AE940" s="129"/>
      <c r="AF940" s="129"/>
      <c r="AG940" s="129"/>
      <c r="AH940" s="129"/>
      <c r="AI940" s="129"/>
      <c r="AJ940" s="129"/>
      <c r="AK940" s="129"/>
      <c r="AL940" s="129"/>
      <c r="AM940" s="129"/>
      <c r="AN940" s="129"/>
      <c r="AO940" s="129"/>
      <c r="AP940" s="129"/>
      <c r="AQ940" s="129"/>
    </row>
    <row r="941" spans="1:43" ht="12.75" customHeight="1">
      <c r="A941" s="129"/>
      <c r="B941" s="129"/>
      <c r="C941" s="129"/>
      <c r="D941" s="129"/>
      <c r="E941" s="129"/>
      <c r="F941" s="129"/>
      <c r="G941" s="129"/>
      <c r="H941" s="129"/>
      <c r="I941" s="129"/>
      <c r="J941" s="129"/>
      <c r="K941" s="129"/>
      <c r="L941" s="129"/>
      <c r="M941" s="129"/>
      <c r="N941" s="129"/>
      <c r="O941" s="129"/>
      <c r="P941" s="129"/>
      <c r="Q941" s="129"/>
      <c r="R941" s="129"/>
      <c r="S941" s="129"/>
      <c r="T941" s="129"/>
      <c r="U941" s="129"/>
      <c r="V941" s="129"/>
      <c r="W941" s="129"/>
      <c r="X941" s="129"/>
      <c r="Y941" s="129"/>
      <c r="Z941" s="129"/>
      <c r="AA941" s="129"/>
      <c r="AB941" s="129"/>
      <c r="AC941" s="129"/>
      <c r="AD941" s="129"/>
      <c r="AE941" s="129"/>
      <c r="AF941" s="129"/>
      <c r="AG941" s="129"/>
      <c r="AH941" s="129"/>
      <c r="AI941" s="129"/>
      <c r="AJ941" s="129"/>
      <c r="AK941" s="129"/>
      <c r="AL941" s="129"/>
      <c r="AM941" s="129"/>
      <c r="AN941" s="129"/>
      <c r="AO941" s="129"/>
      <c r="AP941" s="129"/>
      <c r="AQ941" s="129"/>
    </row>
    <row r="942" spans="1:43" ht="12.75" customHeight="1">
      <c r="A942" s="129"/>
      <c r="B942" s="129"/>
      <c r="C942" s="129"/>
      <c r="D942" s="129"/>
      <c r="E942" s="129"/>
      <c r="F942" s="129"/>
      <c r="G942" s="129"/>
      <c r="H942" s="129"/>
      <c r="I942" s="129"/>
      <c r="J942" s="129"/>
      <c r="K942" s="129"/>
      <c r="L942" s="129"/>
      <c r="M942" s="129"/>
      <c r="N942" s="129"/>
      <c r="O942" s="129"/>
      <c r="P942" s="129"/>
      <c r="Q942" s="129"/>
      <c r="R942" s="129"/>
      <c r="S942" s="129"/>
      <c r="T942" s="129"/>
      <c r="U942" s="129"/>
      <c r="V942" s="129"/>
      <c r="W942" s="129"/>
      <c r="X942" s="129"/>
      <c r="Y942" s="129"/>
      <c r="Z942" s="129"/>
      <c r="AA942" s="129"/>
      <c r="AB942" s="129"/>
      <c r="AC942" s="129"/>
      <c r="AD942" s="129"/>
      <c r="AE942" s="129"/>
      <c r="AF942" s="129"/>
      <c r="AG942" s="129"/>
      <c r="AH942" s="129"/>
      <c r="AI942" s="129"/>
      <c r="AJ942" s="129"/>
      <c r="AK942" s="129"/>
      <c r="AL942" s="129"/>
      <c r="AM942" s="129"/>
      <c r="AN942" s="129"/>
      <c r="AO942" s="129"/>
      <c r="AP942" s="129"/>
      <c r="AQ942" s="129"/>
    </row>
    <row r="943" spans="1:43" ht="12.75" customHeight="1">
      <c r="A943" s="129"/>
      <c r="B943" s="129"/>
      <c r="C943" s="129"/>
      <c r="D943" s="129"/>
      <c r="E943" s="129"/>
      <c r="F943" s="129"/>
      <c r="G943" s="129"/>
      <c r="H943" s="129"/>
      <c r="I943" s="129"/>
      <c r="J943" s="129"/>
      <c r="K943" s="129"/>
      <c r="L943" s="129"/>
      <c r="M943" s="129"/>
      <c r="N943" s="129"/>
      <c r="O943" s="129"/>
      <c r="P943" s="129"/>
      <c r="Q943" s="129"/>
      <c r="R943" s="129"/>
      <c r="S943" s="129"/>
      <c r="T943" s="129"/>
      <c r="U943" s="129"/>
      <c r="V943" s="129"/>
      <c r="W943" s="129"/>
      <c r="X943" s="129"/>
      <c r="Y943" s="129"/>
      <c r="Z943" s="129"/>
      <c r="AA943" s="129"/>
      <c r="AB943" s="129"/>
      <c r="AC943" s="129"/>
      <c r="AD943" s="129"/>
      <c r="AE943" s="129"/>
      <c r="AF943" s="129"/>
      <c r="AG943" s="129"/>
      <c r="AH943" s="129"/>
      <c r="AI943" s="129"/>
      <c r="AJ943" s="129"/>
      <c r="AK943" s="129"/>
      <c r="AL943" s="129"/>
      <c r="AM943" s="129"/>
      <c r="AN943" s="129"/>
      <c r="AO943" s="129"/>
      <c r="AP943" s="129"/>
      <c r="AQ943" s="129"/>
    </row>
    <row r="944" spans="1:43" ht="12.75" customHeight="1">
      <c r="A944" s="129"/>
      <c r="B944" s="129"/>
      <c r="C944" s="129"/>
      <c r="D944" s="129"/>
      <c r="E944" s="129"/>
      <c r="F944" s="129"/>
      <c r="G944" s="129"/>
      <c r="H944" s="129"/>
      <c r="I944" s="129"/>
      <c r="J944" s="129"/>
      <c r="K944" s="129"/>
      <c r="L944" s="129"/>
      <c r="M944" s="129"/>
      <c r="N944" s="129"/>
      <c r="O944" s="129"/>
      <c r="P944" s="129"/>
      <c r="Q944" s="129"/>
      <c r="R944" s="129"/>
      <c r="S944" s="129"/>
      <c r="T944" s="129"/>
      <c r="U944" s="129"/>
      <c r="V944" s="129"/>
      <c r="W944" s="129"/>
      <c r="X944" s="129"/>
      <c r="Y944" s="129"/>
      <c r="Z944" s="129"/>
      <c r="AA944" s="129"/>
      <c r="AB944" s="129"/>
      <c r="AC944" s="129"/>
      <c r="AD944" s="129"/>
      <c r="AE944" s="129"/>
      <c r="AF944" s="129"/>
      <c r="AG944" s="129"/>
      <c r="AH944" s="129"/>
      <c r="AI944" s="129"/>
      <c r="AJ944" s="129"/>
      <c r="AK944" s="129"/>
      <c r="AL944" s="129"/>
      <c r="AM944" s="129"/>
      <c r="AN944" s="129"/>
      <c r="AO944" s="129"/>
      <c r="AP944" s="129"/>
      <c r="AQ944" s="129"/>
    </row>
    <row r="945" spans="1:43" ht="12.75" customHeight="1">
      <c r="A945" s="129"/>
      <c r="B945" s="129"/>
      <c r="C945" s="129"/>
      <c r="D945" s="129"/>
      <c r="E945" s="129"/>
      <c r="F945" s="129"/>
      <c r="G945" s="129"/>
      <c r="H945" s="129"/>
      <c r="I945" s="129"/>
      <c r="J945" s="129"/>
      <c r="K945" s="129"/>
      <c r="L945" s="129"/>
      <c r="M945" s="129"/>
      <c r="N945" s="129"/>
      <c r="O945" s="129"/>
      <c r="P945" s="129"/>
      <c r="Q945" s="129"/>
      <c r="R945" s="129"/>
      <c r="S945" s="129"/>
      <c r="T945" s="129"/>
      <c r="U945" s="129"/>
      <c r="V945" s="129"/>
      <c r="W945" s="129"/>
      <c r="X945" s="129"/>
      <c r="Y945" s="129"/>
      <c r="Z945" s="129"/>
      <c r="AA945" s="129"/>
      <c r="AB945" s="129"/>
      <c r="AC945" s="129"/>
      <c r="AD945" s="129"/>
      <c r="AE945" s="129"/>
      <c r="AF945" s="129"/>
      <c r="AG945" s="129"/>
      <c r="AH945" s="129"/>
      <c r="AI945" s="129"/>
      <c r="AJ945" s="129"/>
      <c r="AK945" s="129"/>
      <c r="AL945" s="129"/>
      <c r="AM945" s="129"/>
      <c r="AN945" s="129"/>
      <c r="AO945" s="129"/>
      <c r="AP945" s="129"/>
      <c r="AQ945" s="129"/>
    </row>
    <row r="946" spans="1:43" ht="12.75" customHeight="1">
      <c r="A946" s="129"/>
      <c r="B946" s="129"/>
      <c r="C946" s="129"/>
      <c r="D946" s="129"/>
      <c r="E946" s="129"/>
      <c r="F946" s="129"/>
      <c r="G946" s="129"/>
      <c r="H946" s="129"/>
      <c r="I946" s="129"/>
      <c r="J946" s="129"/>
      <c r="K946" s="129"/>
      <c r="L946" s="129"/>
      <c r="M946" s="129"/>
      <c r="N946" s="129"/>
      <c r="O946" s="129"/>
      <c r="P946" s="129"/>
      <c r="Q946" s="129"/>
      <c r="R946" s="129"/>
      <c r="S946" s="129"/>
      <c r="T946" s="129"/>
      <c r="U946" s="129"/>
      <c r="V946" s="129"/>
      <c r="W946" s="129"/>
      <c r="X946" s="129"/>
      <c r="Y946" s="129"/>
      <c r="Z946" s="129"/>
      <c r="AA946" s="129"/>
      <c r="AB946" s="129"/>
      <c r="AC946" s="129"/>
      <c r="AD946" s="129"/>
      <c r="AE946" s="129"/>
      <c r="AF946" s="129"/>
      <c r="AG946" s="129"/>
      <c r="AH946" s="129"/>
      <c r="AI946" s="129"/>
      <c r="AJ946" s="129"/>
      <c r="AK946" s="129"/>
      <c r="AL946" s="129"/>
      <c r="AM946" s="129"/>
      <c r="AN946" s="129"/>
      <c r="AO946" s="129"/>
      <c r="AP946" s="129"/>
      <c r="AQ946" s="129"/>
    </row>
    <row r="947" spans="1:43" ht="12.75" customHeight="1">
      <c r="A947" s="129"/>
      <c r="B947" s="129"/>
      <c r="C947" s="129"/>
      <c r="D947" s="129"/>
      <c r="E947" s="129"/>
      <c r="F947" s="129"/>
      <c r="G947" s="129"/>
      <c r="H947" s="129"/>
      <c r="I947" s="129"/>
      <c r="J947" s="129"/>
      <c r="K947" s="129"/>
      <c r="L947" s="129"/>
      <c r="M947" s="129"/>
      <c r="N947" s="129"/>
      <c r="O947" s="129"/>
      <c r="P947" s="129"/>
      <c r="Q947" s="129"/>
      <c r="R947" s="129"/>
      <c r="S947" s="129"/>
      <c r="T947" s="129"/>
      <c r="U947" s="129"/>
      <c r="V947" s="129"/>
      <c r="W947" s="129"/>
      <c r="X947" s="129"/>
      <c r="Y947" s="129"/>
      <c r="Z947" s="129"/>
      <c r="AA947" s="129"/>
      <c r="AB947" s="129"/>
      <c r="AC947" s="129"/>
      <c r="AD947" s="129"/>
      <c r="AE947" s="129"/>
      <c r="AF947" s="129"/>
      <c r="AG947" s="129"/>
      <c r="AH947" s="129"/>
      <c r="AI947" s="129"/>
      <c r="AJ947" s="129"/>
      <c r="AK947" s="129"/>
      <c r="AL947" s="129"/>
      <c r="AM947" s="129"/>
      <c r="AN947" s="129"/>
      <c r="AO947" s="129"/>
      <c r="AP947" s="129"/>
      <c r="AQ947" s="129"/>
    </row>
    <row r="948" spans="1:43" ht="12.75" customHeight="1">
      <c r="A948" s="129"/>
      <c r="B948" s="129"/>
      <c r="C948" s="129"/>
      <c r="D948" s="129"/>
      <c r="E948" s="129"/>
      <c r="F948" s="129"/>
      <c r="G948" s="129"/>
      <c r="H948" s="129"/>
      <c r="I948" s="129"/>
      <c r="J948" s="129"/>
      <c r="K948" s="129"/>
      <c r="L948" s="129"/>
      <c r="M948" s="129"/>
      <c r="N948" s="129"/>
      <c r="O948" s="129"/>
      <c r="P948" s="129"/>
      <c r="Q948" s="129"/>
      <c r="R948" s="129"/>
      <c r="S948" s="129"/>
      <c r="T948" s="129"/>
      <c r="U948" s="129"/>
      <c r="V948" s="129"/>
      <c r="W948" s="129"/>
      <c r="X948" s="129"/>
      <c r="Y948" s="129"/>
      <c r="Z948" s="129"/>
      <c r="AA948" s="129"/>
      <c r="AB948" s="129"/>
      <c r="AC948" s="129"/>
      <c r="AD948" s="129"/>
      <c r="AE948" s="129"/>
      <c r="AF948" s="129"/>
      <c r="AG948" s="129"/>
      <c r="AH948" s="129"/>
      <c r="AI948" s="129"/>
      <c r="AJ948" s="129"/>
      <c r="AK948" s="129"/>
      <c r="AL948" s="129"/>
      <c r="AM948" s="129"/>
      <c r="AN948" s="129"/>
      <c r="AO948" s="129"/>
      <c r="AP948" s="129"/>
      <c r="AQ948" s="129"/>
    </row>
    <row r="949" spans="1:43" ht="12.75" customHeight="1">
      <c r="A949" s="129"/>
      <c r="B949" s="129"/>
      <c r="C949" s="129"/>
      <c r="D949" s="129"/>
      <c r="E949" s="129"/>
      <c r="F949" s="129"/>
      <c r="G949" s="129"/>
      <c r="H949" s="129"/>
      <c r="I949" s="129"/>
      <c r="J949" s="129"/>
      <c r="K949" s="129"/>
      <c r="L949" s="129"/>
      <c r="M949" s="129"/>
      <c r="N949" s="129"/>
      <c r="O949" s="129"/>
      <c r="P949" s="129"/>
      <c r="Q949" s="129"/>
      <c r="R949" s="129"/>
      <c r="S949" s="129"/>
      <c r="T949" s="129"/>
      <c r="U949" s="129"/>
      <c r="V949" s="129"/>
      <c r="W949" s="129"/>
      <c r="X949" s="129"/>
      <c r="Y949" s="129"/>
      <c r="Z949" s="129"/>
      <c r="AA949" s="129"/>
      <c r="AB949" s="129"/>
      <c r="AC949" s="129"/>
      <c r="AD949" s="129"/>
      <c r="AE949" s="129"/>
      <c r="AF949" s="129"/>
      <c r="AG949" s="129"/>
      <c r="AH949" s="129"/>
      <c r="AI949" s="129"/>
      <c r="AJ949" s="129"/>
      <c r="AK949" s="129"/>
      <c r="AL949" s="129"/>
      <c r="AM949" s="129"/>
      <c r="AN949" s="129"/>
      <c r="AO949" s="129"/>
      <c r="AP949" s="129"/>
      <c r="AQ949" s="129"/>
    </row>
    <row r="950" spans="1:43" ht="12.75" customHeight="1">
      <c r="A950" s="129"/>
      <c r="B950" s="129"/>
      <c r="C950" s="129"/>
      <c r="D950" s="129"/>
      <c r="E950" s="129"/>
      <c r="F950" s="129"/>
      <c r="G950" s="129"/>
      <c r="H950" s="129"/>
      <c r="I950" s="129"/>
      <c r="J950" s="129"/>
      <c r="K950" s="129"/>
      <c r="L950" s="129"/>
      <c r="M950" s="129"/>
      <c r="N950" s="129"/>
      <c r="O950" s="129"/>
      <c r="P950" s="129"/>
      <c r="Q950" s="129"/>
      <c r="R950" s="129"/>
      <c r="S950" s="129"/>
      <c r="T950" s="129"/>
      <c r="U950" s="129"/>
      <c r="V950" s="129"/>
      <c r="W950" s="129"/>
      <c r="X950" s="129"/>
      <c r="Y950" s="129"/>
      <c r="Z950" s="129"/>
      <c r="AA950" s="129"/>
      <c r="AB950" s="129"/>
      <c r="AC950" s="129"/>
      <c r="AD950" s="129"/>
      <c r="AE950" s="129"/>
      <c r="AF950" s="129"/>
      <c r="AG950" s="129"/>
      <c r="AH950" s="129"/>
      <c r="AI950" s="129"/>
      <c r="AJ950" s="129"/>
      <c r="AK950" s="129"/>
      <c r="AL950" s="129"/>
      <c r="AM950" s="129"/>
      <c r="AN950" s="129"/>
      <c r="AO950" s="129"/>
      <c r="AP950" s="129"/>
      <c r="AQ950" s="129"/>
    </row>
    <row r="951" spans="1:43" ht="12.75" customHeight="1">
      <c r="A951" s="129"/>
      <c r="B951" s="129"/>
      <c r="C951" s="129"/>
      <c r="D951" s="129"/>
      <c r="E951" s="129"/>
      <c r="F951" s="129"/>
      <c r="G951" s="129"/>
      <c r="H951" s="129"/>
      <c r="I951" s="129"/>
      <c r="J951" s="129"/>
      <c r="K951" s="129"/>
      <c r="L951" s="129"/>
      <c r="M951" s="129"/>
      <c r="N951" s="129"/>
      <c r="O951" s="129"/>
      <c r="P951" s="129"/>
      <c r="Q951" s="129"/>
      <c r="R951" s="129"/>
      <c r="S951" s="129"/>
      <c r="T951" s="129"/>
      <c r="U951" s="129"/>
      <c r="V951" s="129"/>
      <c r="W951" s="129"/>
      <c r="X951" s="129"/>
      <c r="Y951" s="129"/>
      <c r="Z951" s="129"/>
      <c r="AA951" s="129"/>
      <c r="AB951" s="129"/>
      <c r="AC951" s="129"/>
      <c r="AD951" s="129"/>
      <c r="AE951" s="129"/>
      <c r="AF951" s="129"/>
      <c r="AG951" s="129"/>
      <c r="AH951" s="129"/>
      <c r="AI951" s="129"/>
      <c r="AJ951" s="129"/>
      <c r="AK951" s="129"/>
      <c r="AL951" s="129"/>
      <c r="AM951" s="129"/>
      <c r="AN951" s="129"/>
      <c r="AO951" s="129"/>
      <c r="AP951" s="129"/>
      <c r="AQ951" s="129"/>
    </row>
    <row r="952" spans="1:43" ht="12.75" customHeight="1">
      <c r="A952" s="129"/>
      <c r="B952" s="129"/>
      <c r="C952" s="129"/>
      <c r="D952" s="129"/>
      <c r="E952" s="129"/>
      <c r="F952" s="129"/>
      <c r="G952" s="129"/>
      <c r="H952" s="129"/>
      <c r="I952" s="129"/>
      <c r="J952" s="129"/>
      <c r="K952" s="129"/>
      <c r="L952" s="129"/>
      <c r="M952" s="129"/>
      <c r="N952" s="129"/>
      <c r="O952" s="129"/>
      <c r="P952" s="129"/>
      <c r="Q952" s="129"/>
      <c r="R952" s="129"/>
      <c r="S952" s="129"/>
      <c r="T952" s="129"/>
      <c r="U952" s="129"/>
      <c r="V952" s="129"/>
      <c r="W952" s="129"/>
      <c r="X952" s="129"/>
      <c r="Y952" s="129"/>
      <c r="Z952" s="129"/>
      <c r="AA952" s="129"/>
      <c r="AB952" s="129"/>
      <c r="AC952" s="129"/>
      <c r="AD952" s="129"/>
      <c r="AE952" s="129"/>
      <c r="AF952" s="129"/>
      <c r="AG952" s="129"/>
      <c r="AH952" s="129"/>
      <c r="AI952" s="129"/>
      <c r="AJ952" s="129"/>
      <c r="AK952" s="129"/>
      <c r="AL952" s="129"/>
      <c r="AM952" s="129"/>
      <c r="AN952" s="129"/>
      <c r="AO952" s="129"/>
      <c r="AP952" s="129"/>
      <c r="AQ952" s="129"/>
    </row>
    <row r="953" spans="1:43" ht="12.75" customHeight="1">
      <c r="A953" s="129"/>
      <c r="B953" s="129"/>
      <c r="C953" s="129"/>
      <c r="D953" s="129"/>
      <c r="E953" s="129"/>
      <c r="F953" s="129"/>
      <c r="G953" s="129"/>
      <c r="H953" s="129"/>
      <c r="I953" s="129"/>
      <c r="J953" s="129"/>
      <c r="K953" s="129"/>
      <c r="L953" s="129"/>
      <c r="M953" s="129"/>
      <c r="N953" s="129"/>
      <c r="O953" s="129"/>
      <c r="P953" s="129"/>
      <c r="Q953" s="129"/>
      <c r="R953" s="129"/>
      <c r="S953" s="129"/>
      <c r="T953" s="129"/>
      <c r="U953" s="129"/>
      <c r="V953" s="129"/>
      <c r="W953" s="129"/>
      <c r="X953" s="129"/>
      <c r="Y953" s="129"/>
      <c r="Z953" s="129"/>
      <c r="AA953" s="129"/>
      <c r="AB953" s="129"/>
      <c r="AC953" s="129"/>
      <c r="AD953" s="129"/>
      <c r="AE953" s="129"/>
      <c r="AF953" s="129"/>
      <c r="AG953" s="129"/>
      <c r="AH953" s="129"/>
      <c r="AI953" s="129"/>
      <c r="AJ953" s="129"/>
      <c r="AK953" s="129"/>
      <c r="AL953" s="129"/>
      <c r="AM953" s="129"/>
      <c r="AN953" s="129"/>
      <c r="AO953" s="129"/>
      <c r="AP953" s="129"/>
      <c r="AQ953" s="129"/>
    </row>
    <row r="954" spans="1:43" ht="12.75" customHeight="1">
      <c r="A954" s="129"/>
      <c r="B954" s="129"/>
      <c r="C954" s="129"/>
      <c r="D954" s="129"/>
      <c r="E954" s="129"/>
      <c r="F954" s="129"/>
      <c r="G954" s="129"/>
      <c r="H954" s="129"/>
      <c r="I954" s="129"/>
      <c r="J954" s="129"/>
      <c r="K954" s="129"/>
      <c r="L954" s="129"/>
      <c r="M954" s="129"/>
      <c r="N954" s="129"/>
      <c r="O954" s="129"/>
      <c r="P954" s="129"/>
      <c r="Q954" s="129"/>
      <c r="R954" s="129"/>
      <c r="S954" s="129"/>
      <c r="T954" s="129"/>
      <c r="U954" s="129"/>
      <c r="V954" s="129"/>
      <c r="W954" s="129"/>
      <c r="X954" s="129"/>
      <c r="Y954" s="129"/>
      <c r="Z954" s="129"/>
      <c r="AA954" s="129"/>
      <c r="AB954" s="129"/>
      <c r="AC954" s="129"/>
      <c r="AD954" s="129"/>
      <c r="AE954" s="129"/>
      <c r="AF954" s="129"/>
      <c r="AG954" s="129"/>
      <c r="AH954" s="129"/>
      <c r="AI954" s="129"/>
      <c r="AJ954" s="129"/>
      <c r="AK954" s="129"/>
      <c r="AL954" s="129"/>
      <c r="AM954" s="129"/>
      <c r="AN954" s="129"/>
      <c r="AO954" s="129"/>
      <c r="AP954" s="129"/>
      <c r="AQ954" s="129"/>
    </row>
    <row r="955" spans="1:43" ht="12.75" customHeight="1">
      <c r="A955" s="129"/>
      <c r="B955" s="129"/>
      <c r="C955" s="129"/>
      <c r="D955" s="129"/>
      <c r="E955" s="129"/>
      <c r="F955" s="129"/>
      <c r="G955" s="129"/>
      <c r="H955" s="129"/>
      <c r="I955" s="129"/>
      <c r="J955" s="129"/>
      <c r="K955" s="129"/>
      <c r="L955" s="129"/>
      <c r="M955" s="129"/>
      <c r="N955" s="129"/>
      <c r="O955" s="129"/>
      <c r="P955" s="129"/>
      <c r="Q955" s="129"/>
      <c r="R955" s="129"/>
      <c r="S955" s="129"/>
      <c r="T955" s="129"/>
      <c r="U955" s="129"/>
      <c r="V955" s="129"/>
      <c r="W955" s="129"/>
      <c r="X955" s="129"/>
      <c r="Y955" s="129"/>
      <c r="Z955" s="129"/>
      <c r="AA955" s="129"/>
      <c r="AB955" s="129"/>
      <c r="AC955" s="129"/>
      <c r="AD955" s="129"/>
      <c r="AE955" s="129"/>
      <c r="AF955" s="129"/>
      <c r="AG955" s="129"/>
      <c r="AH955" s="129"/>
      <c r="AI955" s="129"/>
      <c r="AJ955" s="129"/>
      <c r="AK955" s="129"/>
      <c r="AL955" s="129"/>
      <c r="AM955" s="129"/>
      <c r="AN955" s="129"/>
      <c r="AO955" s="129"/>
      <c r="AP955" s="129"/>
      <c r="AQ955" s="129"/>
    </row>
    <row r="956" spans="1:43" ht="12.75" customHeight="1">
      <c r="A956" s="129"/>
      <c r="B956" s="129"/>
      <c r="C956" s="129"/>
      <c r="D956" s="129"/>
      <c r="E956" s="129"/>
      <c r="F956" s="129"/>
      <c r="G956" s="129"/>
      <c r="H956" s="129"/>
      <c r="I956" s="129"/>
      <c r="J956" s="129"/>
      <c r="K956" s="129"/>
      <c r="L956" s="129"/>
      <c r="M956" s="129"/>
      <c r="N956" s="129"/>
      <c r="O956" s="129"/>
      <c r="P956" s="129"/>
      <c r="Q956" s="129"/>
      <c r="R956" s="129"/>
      <c r="S956" s="129"/>
      <c r="T956" s="129"/>
      <c r="U956" s="129"/>
      <c r="V956" s="129"/>
      <c r="W956" s="129"/>
      <c r="X956" s="129"/>
      <c r="Y956" s="129"/>
      <c r="Z956" s="129"/>
      <c r="AA956" s="129"/>
      <c r="AB956" s="129"/>
      <c r="AC956" s="129"/>
      <c r="AD956" s="129"/>
      <c r="AE956" s="129"/>
      <c r="AF956" s="129"/>
      <c r="AG956" s="129"/>
      <c r="AH956" s="129"/>
      <c r="AI956" s="129"/>
      <c r="AJ956" s="129"/>
      <c r="AK956" s="129"/>
      <c r="AL956" s="129"/>
      <c r="AM956" s="129"/>
      <c r="AN956" s="129"/>
      <c r="AO956" s="129"/>
      <c r="AP956" s="129"/>
      <c r="AQ956" s="129"/>
    </row>
    <row r="957" spans="1:43" ht="12.75" customHeight="1">
      <c r="A957" s="129"/>
      <c r="B957" s="129"/>
      <c r="C957" s="129"/>
      <c r="D957" s="129"/>
      <c r="E957" s="129"/>
      <c r="F957" s="129"/>
      <c r="G957" s="129"/>
      <c r="H957" s="129"/>
      <c r="I957" s="129"/>
      <c r="J957" s="129"/>
      <c r="K957" s="129"/>
      <c r="L957" s="129"/>
      <c r="M957" s="129"/>
      <c r="N957" s="129"/>
      <c r="O957" s="129"/>
      <c r="P957" s="129"/>
      <c r="Q957" s="129"/>
      <c r="R957" s="129"/>
      <c r="S957" s="129"/>
      <c r="T957" s="129"/>
      <c r="U957" s="129"/>
      <c r="V957" s="129"/>
      <c r="W957" s="129"/>
      <c r="X957" s="129"/>
      <c r="Y957" s="129"/>
      <c r="Z957" s="129"/>
      <c r="AA957" s="129"/>
      <c r="AB957" s="129"/>
      <c r="AC957" s="129"/>
      <c r="AD957" s="129"/>
      <c r="AE957" s="129"/>
      <c r="AF957" s="129"/>
      <c r="AG957" s="129"/>
      <c r="AH957" s="129"/>
      <c r="AI957" s="129"/>
      <c r="AJ957" s="129"/>
      <c r="AK957" s="129"/>
      <c r="AL957" s="129"/>
      <c r="AM957" s="129"/>
      <c r="AN957" s="129"/>
      <c r="AO957" s="129"/>
      <c r="AP957" s="129"/>
      <c r="AQ957" s="129"/>
    </row>
    <row r="958" spans="1:43" ht="12.75" customHeight="1">
      <c r="A958" s="129"/>
      <c r="B958" s="129"/>
      <c r="C958" s="129"/>
      <c r="D958" s="129"/>
      <c r="E958" s="129"/>
      <c r="F958" s="129"/>
      <c r="G958" s="129"/>
      <c r="H958" s="129"/>
      <c r="I958" s="129"/>
      <c r="J958" s="129"/>
      <c r="K958" s="129"/>
      <c r="L958" s="129"/>
      <c r="M958" s="129"/>
      <c r="N958" s="129"/>
      <c r="O958" s="129"/>
      <c r="P958" s="129"/>
      <c r="Q958" s="129"/>
      <c r="R958" s="129"/>
      <c r="S958" s="129"/>
      <c r="T958" s="129"/>
      <c r="U958" s="129"/>
      <c r="V958" s="129"/>
      <c r="W958" s="129"/>
      <c r="X958" s="129"/>
      <c r="Y958" s="129"/>
      <c r="Z958" s="129"/>
      <c r="AA958" s="129"/>
      <c r="AB958" s="129"/>
      <c r="AC958" s="129"/>
      <c r="AD958" s="129"/>
      <c r="AE958" s="129"/>
      <c r="AF958" s="129"/>
      <c r="AG958" s="129"/>
      <c r="AH958" s="129"/>
      <c r="AI958" s="129"/>
      <c r="AJ958" s="129"/>
      <c r="AK958" s="129"/>
      <c r="AL958" s="129"/>
      <c r="AM958" s="129"/>
      <c r="AN958" s="129"/>
      <c r="AO958" s="129"/>
      <c r="AP958" s="129"/>
      <c r="AQ958" s="129"/>
    </row>
    <row r="959" spans="1:43" ht="12.75" customHeight="1">
      <c r="A959" s="129"/>
      <c r="B959" s="129"/>
      <c r="C959" s="129"/>
      <c r="D959" s="129"/>
      <c r="E959" s="129"/>
      <c r="F959" s="129"/>
      <c r="G959" s="129"/>
      <c r="H959" s="129"/>
      <c r="I959" s="129"/>
      <c r="J959" s="129"/>
      <c r="K959" s="129"/>
      <c r="L959" s="129"/>
      <c r="M959" s="129"/>
      <c r="N959" s="129"/>
      <c r="O959" s="129"/>
      <c r="P959" s="129"/>
      <c r="Q959" s="129"/>
      <c r="R959" s="129"/>
      <c r="S959" s="129"/>
      <c r="T959" s="129"/>
      <c r="U959" s="129"/>
      <c r="V959" s="129"/>
      <c r="W959" s="129"/>
      <c r="X959" s="129"/>
      <c r="Y959" s="129"/>
      <c r="Z959" s="129"/>
      <c r="AA959" s="129"/>
      <c r="AB959" s="129"/>
      <c r="AC959" s="129"/>
      <c r="AD959" s="129"/>
      <c r="AE959" s="129"/>
      <c r="AF959" s="129"/>
      <c r="AG959" s="129"/>
      <c r="AH959" s="129"/>
      <c r="AI959" s="129"/>
      <c r="AJ959" s="129"/>
      <c r="AK959" s="129"/>
      <c r="AL959" s="129"/>
      <c r="AM959" s="129"/>
      <c r="AN959" s="129"/>
      <c r="AO959" s="129"/>
      <c r="AP959" s="129"/>
      <c r="AQ959" s="129"/>
    </row>
    <row r="960" spans="1:43" ht="12.75" customHeight="1">
      <c r="A960" s="129"/>
      <c r="B960" s="129"/>
      <c r="C960" s="129"/>
      <c r="D960" s="129"/>
      <c r="E960" s="129"/>
      <c r="F960" s="129"/>
      <c r="G960" s="129"/>
      <c r="H960" s="129"/>
      <c r="I960" s="129"/>
      <c r="J960" s="129"/>
      <c r="K960" s="129"/>
      <c r="L960" s="129"/>
      <c r="M960" s="129"/>
      <c r="N960" s="129"/>
      <c r="O960" s="129"/>
      <c r="P960" s="129"/>
      <c r="Q960" s="129"/>
      <c r="R960" s="129"/>
      <c r="S960" s="129"/>
      <c r="T960" s="129"/>
      <c r="U960" s="129"/>
      <c r="V960" s="129"/>
      <c r="W960" s="129"/>
      <c r="X960" s="129"/>
      <c r="Y960" s="129"/>
      <c r="Z960" s="129"/>
      <c r="AA960" s="129"/>
      <c r="AB960" s="129"/>
      <c r="AC960" s="129"/>
      <c r="AD960" s="129"/>
      <c r="AE960" s="129"/>
      <c r="AF960" s="129"/>
      <c r="AG960" s="129"/>
      <c r="AH960" s="129"/>
      <c r="AI960" s="129"/>
      <c r="AJ960" s="129"/>
      <c r="AK960" s="129"/>
      <c r="AL960" s="129"/>
      <c r="AM960" s="129"/>
      <c r="AN960" s="129"/>
      <c r="AO960" s="129"/>
      <c r="AP960" s="129"/>
      <c r="AQ960" s="129"/>
    </row>
    <row r="961" spans="1:43" ht="12.75" customHeight="1">
      <c r="A961" s="129"/>
      <c r="B961" s="129"/>
      <c r="C961" s="129"/>
      <c r="D961" s="129"/>
      <c r="E961" s="129"/>
      <c r="F961" s="129"/>
      <c r="G961" s="129"/>
      <c r="H961" s="129"/>
      <c r="I961" s="129"/>
      <c r="J961" s="129"/>
      <c r="K961" s="129"/>
      <c r="L961" s="129"/>
      <c r="M961" s="129"/>
      <c r="N961" s="129"/>
      <c r="O961" s="129"/>
      <c r="P961" s="129"/>
      <c r="Q961" s="129"/>
      <c r="R961" s="129"/>
      <c r="S961" s="129"/>
      <c r="T961" s="129"/>
      <c r="U961" s="129"/>
      <c r="V961" s="129"/>
      <c r="W961" s="129"/>
      <c r="X961" s="129"/>
      <c r="Y961" s="129"/>
      <c r="Z961" s="129"/>
      <c r="AA961" s="129"/>
      <c r="AB961" s="129"/>
      <c r="AC961" s="129"/>
      <c r="AD961" s="129"/>
      <c r="AE961" s="129"/>
      <c r="AF961" s="129"/>
      <c r="AG961" s="129"/>
      <c r="AH961" s="129"/>
      <c r="AI961" s="129"/>
      <c r="AJ961" s="129"/>
      <c r="AK961" s="129"/>
      <c r="AL961" s="129"/>
      <c r="AM961" s="129"/>
      <c r="AN961" s="129"/>
      <c r="AO961" s="129"/>
      <c r="AP961" s="129"/>
      <c r="AQ961" s="129"/>
    </row>
    <row r="962" spans="1:43" ht="12.75" customHeight="1">
      <c r="A962" s="129"/>
      <c r="B962" s="129"/>
      <c r="C962" s="129"/>
      <c r="D962" s="129"/>
      <c r="E962" s="129"/>
      <c r="F962" s="129"/>
      <c r="G962" s="129"/>
      <c r="H962" s="129"/>
      <c r="I962" s="129"/>
      <c r="J962" s="129"/>
      <c r="K962" s="129"/>
      <c r="L962" s="129"/>
      <c r="M962" s="129"/>
      <c r="N962" s="129"/>
      <c r="O962" s="129"/>
      <c r="P962" s="129"/>
      <c r="Q962" s="129"/>
      <c r="R962" s="129"/>
      <c r="S962" s="129"/>
      <c r="T962" s="129"/>
      <c r="U962" s="129"/>
      <c r="V962" s="129"/>
      <c r="W962" s="129"/>
      <c r="X962" s="129"/>
      <c r="Y962" s="129"/>
      <c r="Z962" s="129"/>
      <c r="AA962" s="129"/>
      <c r="AB962" s="129"/>
      <c r="AC962" s="129"/>
      <c r="AD962" s="129"/>
      <c r="AE962" s="129"/>
      <c r="AF962" s="129"/>
      <c r="AG962" s="129"/>
      <c r="AH962" s="129"/>
      <c r="AI962" s="129"/>
      <c r="AJ962" s="129"/>
      <c r="AK962" s="129"/>
      <c r="AL962" s="129"/>
      <c r="AM962" s="129"/>
      <c r="AN962" s="129"/>
      <c r="AO962" s="129"/>
      <c r="AP962" s="129"/>
      <c r="AQ962" s="129"/>
    </row>
    <row r="963" spans="1:43" ht="12.75" customHeight="1">
      <c r="A963" s="129"/>
      <c r="B963" s="129"/>
      <c r="C963" s="129"/>
      <c r="D963" s="129"/>
      <c r="E963" s="129"/>
      <c r="F963" s="129"/>
      <c r="G963" s="129"/>
      <c r="H963" s="129"/>
      <c r="I963" s="129"/>
      <c r="J963" s="129"/>
      <c r="K963" s="129"/>
      <c r="L963" s="129"/>
      <c r="M963" s="129"/>
      <c r="N963" s="129"/>
      <c r="O963" s="129"/>
      <c r="P963" s="129"/>
      <c r="Q963" s="129"/>
      <c r="R963" s="129"/>
      <c r="S963" s="129"/>
      <c r="T963" s="129"/>
      <c r="U963" s="129"/>
      <c r="V963" s="129"/>
      <c r="W963" s="129"/>
      <c r="X963" s="129"/>
      <c r="Y963" s="129"/>
      <c r="Z963" s="129"/>
      <c r="AA963" s="129"/>
      <c r="AB963" s="129"/>
      <c r="AC963" s="129"/>
      <c r="AD963" s="129"/>
      <c r="AE963" s="129"/>
      <c r="AF963" s="129"/>
      <c r="AG963" s="129"/>
      <c r="AH963" s="129"/>
      <c r="AI963" s="129"/>
      <c r="AJ963" s="129"/>
      <c r="AK963" s="129"/>
      <c r="AL963" s="129"/>
      <c r="AM963" s="129"/>
      <c r="AN963" s="129"/>
      <c r="AO963" s="129"/>
      <c r="AP963" s="129"/>
      <c r="AQ963" s="129"/>
    </row>
    <row r="964" spans="1:43" ht="12.75" customHeight="1">
      <c r="A964" s="129"/>
      <c r="B964" s="129"/>
      <c r="C964" s="129"/>
      <c r="D964" s="129"/>
      <c r="E964" s="129"/>
      <c r="F964" s="129"/>
      <c r="G964" s="129"/>
      <c r="H964" s="129"/>
      <c r="I964" s="129"/>
      <c r="J964" s="129"/>
      <c r="K964" s="129"/>
      <c r="L964" s="129"/>
      <c r="M964" s="129"/>
      <c r="N964" s="129"/>
      <c r="O964" s="129"/>
      <c r="P964" s="129"/>
      <c r="Q964" s="129"/>
      <c r="R964" s="129"/>
      <c r="S964" s="129"/>
      <c r="T964" s="129"/>
      <c r="U964" s="129"/>
      <c r="V964" s="129"/>
      <c r="W964" s="129"/>
      <c r="X964" s="129"/>
      <c r="Y964" s="129"/>
      <c r="Z964" s="129"/>
      <c r="AA964" s="129"/>
      <c r="AB964" s="129"/>
      <c r="AC964" s="129"/>
      <c r="AD964" s="129"/>
      <c r="AE964" s="129"/>
      <c r="AF964" s="129"/>
      <c r="AG964" s="129"/>
      <c r="AH964" s="129"/>
      <c r="AI964" s="129"/>
      <c r="AJ964" s="129"/>
      <c r="AK964" s="129"/>
      <c r="AL964" s="129"/>
      <c r="AM964" s="129"/>
      <c r="AN964" s="129"/>
      <c r="AO964" s="129"/>
      <c r="AP964" s="129"/>
      <c r="AQ964" s="129"/>
    </row>
    <row r="965" spans="1:43" ht="12.75" customHeight="1">
      <c r="A965" s="129"/>
      <c r="B965" s="129"/>
      <c r="C965" s="129"/>
      <c r="D965" s="129"/>
      <c r="E965" s="129"/>
      <c r="F965" s="129"/>
      <c r="G965" s="129"/>
      <c r="H965" s="129"/>
      <c r="I965" s="129"/>
      <c r="J965" s="129"/>
      <c r="K965" s="129"/>
      <c r="L965" s="129"/>
      <c r="M965" s="129"/>
      <c r="N965" s="129"/>
      <c r="O965" s="129"/>
      <c r="P965" s="129"/>
      <c r="Q965" s="129"/>
      <c r="R965" s="129"/>
      <c r="S965" s="129"/>
      <c r="T965" s="129"/>
      <c r="U965" s="129"/>
      <c r="V965" s="129"/>
      <c r="W965" s="129"/>
      <c r="X965" s="129"/>
      <c r="Y965" s="129"/>
      <c r="Z965" s="129"/>
      <c r="AA965" s="129"/>
      <c r="AB965" s="129"/>
      <c r="AC965" s="129"/>
      <c r="AD965" s="129"/>
      <c r="AE965" s="129"/>
      <c r="AF965" s="129"/>
      <c r="AG965" s="129"/>
      <c r="AH965" s="129"/>
      <c r="AI965" s="129"/>
      <c r="AJ965" s="129"/>
      <c r="AK965" s="129"/>
      <c r="AL965" s="129"/>
      <c r="AM965" s="129"/>
      <c r="AN965" s="129"/>
      <c r="AO965" s="129"/>
      <c r="AP965" s="129"/>
      <c r="AQ965" s="129"/>
    </row>
    <row r="966" spans="1:43" ht="12.75" customHeight="1">
      <c r="A966" s="129"/>
      <c r="B966" s="129"/>
      <c r="C966" s="129"/>
      <c r="D966" s="129"/>
      <c r="E966" s="129"/>
      <c r="F966" s="129"/>
      <c r="G966" s="129"/>
      <c r="H966" s="129"/>
      <c r="I966" s="129"/>
      <c r="J966" s="129"/>
      <c r="K966" s="129"/>
      <c r="L966" s="129"/>
      <c r="M966" s="129"/>
      <c r="N966" s="129"/>
      <c r="O966" s="129"/>
      <c r="P966" s="129"/>
      <c r="Q966" s="129"/>
      <c r="R966" s="129"/>
      <c r="S966" s="129"/>
      <c r="T966" s="129"/>
      <c r="U966" s="129"/>
      <c r="V966" s="129"/>
      <c r="W966" s="129"/>
      <c r="X966" s="129"/>
      <c r="Y966" s="129"/>
      <c r="Z966" s="129"/>
      <c r="AA966" s="129"/>
      <c r="AB966" s="129"/>
      <c r="AC966" s="129"/>
      <c r="AD966" s="129"/>
      <c r="AE966" s="129"/>
      <c r="AF966" s="129"/>
      <c r="AG966" s="129"/>
      <c r="AH966" s="129"/>
      <c r="AI966" s="129"/>
      <c r="AJ966" s="129"/>
      <c r="AK966" s="129"/>
      <c r="AL966" s="129"/>
      <c r="AM966" s="129"/>
      <c r="AN966" s="129"/>
      <c r="AO966" s="129"/>
      <c r="AP966" s="129"/>
      <c r="AQ966" s="129"/>
    </row>
    <row r="967" spans="1:43" ht="12.75" customHeight="1">
      <c r="A967" s="129"/>
      <c r="B967" s="129"/>
      <c r="C967" s="129"/>
      <c r="D967" s="129"/>
      <c r="E967" s="129"/>
      <c r="F967" s="129"/>
      <c r="G967" s="129"/>
      <c r="H967" s="129"/>
      <c r="I967" s="129"/>
      <c r="J967" s="129"/>
      <c r="K967" s="129"/>
      <c r="L967" s="129"/>
      <c r="M967" s="129"/>
      <c r="N967" s="129"/>
      <c r="O967" s="129"/>
      <c r="P967" s="129"/>
      <c r="Q967" s="129"/>
      <c r="R967" s="129"/>
      <c r="S967" s="129"/>
      <c r="T967" s="129"/>
      <c r="U967" s="129"/>
      <c r="V967" s="129"/>
      <c r="W967" s="129"/>
      <c r="X967" s="129"/>
      <c r="Y967" s="129"/>
      <c r="Z967" s="129"/>
      <c r="AA967" s="129"/>
      <c r="AB967" s="129"/>
      <c r="AC967" s="129"/>
      <c r="AD967" s="129"/>
      <c r="AE967" s="129"/>
      <c r="AF967" s="129"/>
      <c r="AG967" s="129"/>
      <c r="AH967" s="129"/>
      <c r="AI967" s="129"/>
      <c r="AJ967" s="129"/>
      <c r="AK967" s="129"/>
      <c r="AL967" s="129"/>
      <c r="AM967" s="129"/>
      <c r="AN967" s="129"/>
      <c r="AO967" s="129"/>
      <c r="AP967" s="129"/>
      <c r="AQ967" s="129"/>
    </row>
    <row r="968" spans="1:43" ht="12.75" customHeight="1">
      <c r="A968" s="129"/>
      <c r="B968" s="129"/>
      <c r="C968" s="129"/>
      <c r="D968" s="129"/>
      <c r="E968" s="129"/>
      <c r="F968" s="129"/>
      <c r="G968" s="129"/>
      <c r="H968" s="129"/>
      <c r="I968" s="129"/>
      <c r="J968" s="129"/>
      <c r="K968" s="129"/>
      <c r="L968" s="129"/>
      <c r="M968" s="129"/>
      <c r="N968" s="129"/>
      <c r="O968" s="129"/>
      <c r="P968" s="129"/>
      <c r="Q968" s="129"/>
      <c r="R968" s="129"/>
      <c r="S968" s="129"/>
      <c r="T968" s="129"/>
      <c r="U968" s="129"/>
      <c r="V968" s="129"/>
      <c r="W968" s="129"/>
      <c r="X968" s="129"/>
      <c r="Y968" s="129"/>
      <c r="Z968" s="129"/>
      <c r="AA968" s="129"/>
      <c r="AB968" s="129"/>
      <c r="AC968" s="129"/>
      <c r="AD968" s="129"/>
      <c r="AE968" s="129"/>
      <c r="AF968" s="129"/>
      <c r="AG968" s="129"/>
      <c r="AH968" s="129"/>
      <c r="AI968" s="129"/>
      <c r="AJ968" s="129"/>
      <c r="AK968" s="129"/>
      <c r="AL968" s="129"/>
      <c r="AM968" s="129"/>
      <c r="AN968" s="129"/>
      <c r="AO968" s="129"/>
      <c r="AP968" s="129"/>
      <c r="AQ968" s="129"/>
    </row>
    <row r="969" spans="1:43" ht="12.75" customHeight="1">
      <c r="A969" s="129"/>
      <c r="B969" s="129"/>
      <c r="C969" s="129"/>
      <c r="D969" s="129"/>
      <c r="E969" s="129"/>
      <c r="F969" s="129"/>
      <c r="G969" s="129"/>
      <c r="H969" s="129"/>
      <c r="I969" s="129"/>
      <c r="J969" s="129"/>
      <c r="K969" s="129"/>
      <c r="L969" s="129"/>
      <c r="M969" s="129"/>
      <c r="N969" s="129"/>
      <c r="O969" s="129"/>
      <c r="P969" s="129"/>
      <c r="Q969" s="129"/>
      <c r="R969" s="129"/>
      <c r="S969" s="129"/>
      <c r="T969" s="129"/>
      <c r="U969" s="129"/>
      <c r="V969" s="129"/>
      <c r="W969" s="129"/>
      <c r="X969" s="129"/>
      <c r="Y969" s="129"/>
      <c r="Z969" s="129"/>
      <c r="AA969" s="129"/>
      <c r="AB969" s="129"/>
      <c r="AC969" s="129"/>
      <c r="AD969" s="129"/>
      <c r="AE969" s="129"/>
      <c r="AF969" s="129"/>
      <c r="AG969" s="129"/>
      <c r="AH969" s="129"/>
      <c r="AI969" s="129"/>
      <c r="AJ969" s="129"/>
      <c r="AK969" s="129"/>
      <c r="AL969" s="129"/>
      <c r="AM969" s="129"/>
      <c r="AN969" s="129"/>
      <c r="AO969" s="129"/>
      <c r="AP969" s="129"/>
      <c r="AQ969" s="129"/>
    </row>
    <row r="970" spans="1:43" ht="12.75" customHeight="1">
      <c r="A970" s="129"/>
      <c r="B970" s="129"/>
      <c r="C970" s="129"/>
      <c r="D970" s="129"/>
      <c r="E970" s="129"/>
      <c r="F970" s="129"/>
      <c r="G970" s="129"/>
      <c r="H970" s="129"/>
      <c r="I970" s="129"/>
      <c r="J970" s="129"/>
      <c r="K970" s="129"/>
      <c r="L970" s="129"/>
      <c r="M970" s="129"/>
      <c r="N970" s="129"/>
      <c r="O970" s="129"/>
      <c r="P970" s="129"/>
      <c r="Q970" s="129"/>
      <c r="R970" s="129"/>
      <c r="S970" s="129"/>
      <c r="T970" s="129"/>
      <c r="U970" s="129"/>
      <c r="V970" s="129"/>
      <c r="W970" s="129"/>
      <c r="X970" s="129"/>
      <c r="Y970" s="129"/>
      <c r="Z970" s="129"/>
      <c r="AA970" s="129"/>
      <c r="AB970" s="129"/>
      <c r="AC970" s="129"/>
      <c r="AD970" s="129"/>
      <c r="AE970" s="129"/>
      <c r="AF970" s="129"/>
      <c r="AG970" s="129"/>
      <c r="AH970" s="129"/>
      <c r="AI970" s="129"/>
      <c r="AJ970" s="129"/>
      <c r="AK970" s="129"/>
      <c r="AL970" s="129"/>
      <c r="AM970" s="129"/>
      <c r="AN970" s="129"/>
      <c r="AO970" s="129"/>
      <c r="AP970" s="129"/>
      <c r="AQ970" s="129"/>
    </row>
    <row r="971" spans="1:43" ht="12.75" customHeight="1">
      <c r="A971" s="129"/>
      <c r="B971" s="129"/>
      <c r="C971" s="129"/>
      <c r="D971" s="129"/>
      <c r="E971" s="129"/>
      <c r="F971" s="129"/>
      <c r="G971" s="129"/>
      <c r="H971" s="129"/>
      <c r="I971" s="129"/>
      <c r="J971" s="129"/>
      <c r="K971" s="129"/>
      <c r="L971" s="129"/>
      <c r="M971" s="129"/>
      <c r="N971" s="129"/>
      <c r="O971" s="129"/>
      <c r="P971" s="129"/>
      <c r="Q971" s="129"/>
      <c r="R971" s="129"/>
      <c r="S971" s="129"/>
      <c r="T971" s="129"/>
      <c r="U971" s="129"/>
      <c r="V971" s="129"/>
      <c r="W971" s="129"/>
      <c r="X971" s="129"/>
      <c r="Y971" s="129"/>
      <c r="Z971" s="129"/>
      <c r="AA971" s="129"/>
      <c r="AB971" s="129"/>
      <c r="AC971" s="129"/>
      <c r="AD971" s="129"/>
      <c r="AE971" s="129"/>
      <c r="AF971" s="129"/>
      <c r="AG971" s="129"/>
      <c r="AH971" s="129"/>
      <c r="AI971" s="129"/>
      <c r="AJ971" s="129"/>
      <c r="AK971" s="129"/>
      <c r="AL971" s="129"/>
      <c r="AM971" s="129"/>
      <c r="AN971" s="129"/>
      <c r="AO971" s="129"/>
      <c r="AP971" s="129"/>
      <c r="AQ971" s="129"/>
    </row>
    <row r="972" spans="1:43" ht="12.75" customHeight="1">
      <c r="A972" s="129"/>
      <c r="B972" s="129"/>
      <c r="C972" s="129"/>
      <c r="D972" s="129"/>
      <c r="E972" s="129"/>
      <c r="F972" s="129"/>
      <c r="G972" s="129"/>
      <c r="H972" s="129"/>
      <c r="I972" s="129"/>
      <c r="J972" s="129"/>
      <c r="K972" s="129"/>
      <c r="L972" s="129"/>
      <c r="M972" s="129"/>
      <c r="N972" s="129"/>
      <c r="O972" s="129"/>
      <c r="P972" s="129"/>
      <c r="Q972" s="129"/>
      <c r="R972" s="129"/>
      <c r="S972" s="129"/>
      <c r="T972" s="129"/>
      <c r="U972" s="129"/>
      <c r="V972" s="129"/>
      <c r="W972" s="129"/>
      <c r="X972" s="129"/>
      <c r="Y972" s="129"/>
      <c r="Z972" s="129"/>
      <c r="AA972" s="129"/>
      <c r="AB972" s="129"/>
      <c r="AC972" s="129"/>
      <c r="AD972" s="129"/>
      <c r="AE972" s="129"/>
      <c r="AF972" s="129"/>
      <c r="AG972" s="129"/>
      <c r="AH972" s="129"/>
      <c r="AI972" s="129"/>
      <c r="AJ972" s="129"/>
      <c r="AK972" s="129"/>
      <c r="AL972" s="129"/>
      <c r="AM972" s="129"/>
      <c r="AN972" s="129"/>
      <c r="AO972" s="129"/>
      <c r="AP972" s="129"/>
      <c r="AQ972" s="129"/>
    </row>
    <row r="973" spans="1:43" ht="12.75" customHeight="1">
      <c r="A973" s="129"/>
      <c r="B973" s="129"/>
      <c r="C973" s="129"/>
      <c r="D973" s="129"/>
      <c r="E973" s="129"/>
      <c r="F973" s="129"/>
      <c r="G973" s="129"/>
      <c r="H973" s="129"/>
      <c r="I973" s="129"/>
      <c r="J973" s="129"/>
      <c r="K973" s="129"/>
      <c r="L973" s="129"/>
      <c r="M973" s="129"/>
      <c r="N973" s="129"/>
      <c r="O973" s="129"/>
      <c r="P973" s="129"/>
      <c r="Q973" s="129"/>
      <c r="R973" s="129"/>
      <c r="S973" s="129"/>
      <c r="T973" s="129"/>
      <c r="U973" s="129"/>
      <c r="V973" s="129"/>
      <c r="W973" s="129"/>
      <c r="X973" s="129"/>
      <c r="Y973" s="129"/>
      <c r="Z973" s="129"/>
      <c r="AA973" s="129"/>
      <c r="AB973" s="129"/>
      <c r="AC973" s="129"/>
      <c r="AD973" s="129"/>
      <c r="AE973" s="129"/>
      <c r="AF973" s="129"/>
      <c r="AG973" s="129"/>
      <c r="AH973" s="129"/>
      <c r="AI973" s="129"/>
      <c r="AJ973" s="129"/>
      <c r="AK973" s="129"/>
      <c r="AL973" s="129"/>
      <c r="AM973" s="129"/>
      <c r="AN973" s="129"/>
      <c r="AO973" s="129"/>
      <c r="AP973" s="129"/>
      <c r="AQ973" s="129"/>
    </row>
    <row r="974" spans="1:43" ht="12.75" customHeight="1">
      <c r="A974" s="129"/>
      <c r="B974" s="129"/>
      <c r="C974" s="129"/>
      <c r="D974" s="129"/>
      <c r="E974" s="129"/>
      <c r="F974" s="129"/>
      <c r="G974" s="129"/>
      <c r="H974" s="129"/>
      <c r="I974" s="129"/>
      <c r="J974" s="129"/>
      <c r="K974" s="129"/>
      <c r="L974" s="129"/>
      <c r="M974" s="129"/>
      <c r="N974" s="129"/>
      <c r="O974" s="129"/>
      <c r="P974" s="129"/>
      <c r="Q974" s="129"/>
      <c r="R974" s="129"/>
      <c r="S974" s="129"/>
      <c r="T974" s="129"/>
      <c r="U974" s="129"/>
      <c r="V974" s="129"/>
      <c r="W974" s="129"/>
      <c r="X974" s="129"/>
      <c r="Y974" s="129"/>
      <c r="Z974" s="129"/>
      <c r="AA974" s="129"/>
      <c r="AB974" s="129"/>
      <c r="AC974" s="129"/>
      <c r="AD974" s="129"/>
      <c r="AE974" s="129"/>
      <c r="AF974" s="129"/>
      <c r="AG974" s="129"/>
      <c r="AH974" s="129"/>
      <c r="AI974" s="129"/>
      <c r="AJ974" s="129"/>
      <c r="AK974" s="129"/>
      <c r="AL974" s="129"/>
      <c r="AM974" s="129"/>
      <c r="AN974" s="129"/>
      <c r="AO974" s="129"/>
      <c r="AP974" s="129"/>
      <c r="AQ974" s="129"/>
    </row>
    <row r="975" spans="1:43" ht="12.75" customHeight="1">
      <c r="A975" s="129"/>
      <c r="B975" s="129"/>
      <c r="C975" s="129"/>
      <c r="D975" s="129"/>
      <c r="E975" s="129"/>
      <c r="F975" s="129"/>
      <c r="G975" s="129"/>
      <c r="H975" s="129"/>
      <c r="I975" s="129"/>
      <c r="J975" s="129"/>
      <c r="K975" s="129"/>
      <c r="L975" s="129"/>
      <c r="M975" s="129"/>
      <c r="N975" s="129"/>
      <c r="O975" s="129"/>
      <c r="P975" s="129"/>
      <c r="Q975" s="129"/>
      <c r="R975" s="129"/>
      <c r="S975" s="129"/>
      <c r="T975" s="129"/>
      <c r="U975" s="129"/>
      <c r="V975" s="129"/>
      <c r="W975" s="129"/>
      <c r="X975" s="129"/>
      <c r="Y975" s="129"/>
      <c r="Z975" s="129"/>
      <c r="AA975" s="129"/>
      <c r="AB975" s="129"/>
      <c r="AC975" s="129"/>
      <c r="AD975" s="129"/>
      <c r="AE975" s="129"/>
      <c r="AF975" s="129"/>
      <c r="AG975" s="129"/>
      <c r="AH975" s="129"/>
      <c r="AI975" s="129"/>
      <c r="AJ975" s="129"/>
      <c r="AK975" s="129"/>
      <c r="AL975" s="129"/>
      <c r="AM975" s="129"/>
      <c r="AN975" s="129"/>
      <c r="AO975" s="129"/>
      <c r="AP975" s="129"/>
      <c r="AQ975" s="129"/>
    </row>
    <row r="976" spans="1:43" ht="12.75" customHeight="1">
      <c r="A976" s="129"/>
      <c r="B976" s="129"/>
      <c r="C976" s="129"/>
      <c r="D976" s="129"/>
      <c r="E976" s="129"/>
      <c r="F976" s="129"/>
      <c r="G976" s="129"/>
      <c r="H976" s="129"/>
      <c r="I976" s="129"/>
      <c r="J976" s="129"/>
      <c r="K976" s="129"/>
      <c r="L976" s="129"/>
      <c r="M976" s="129"/>
      <c r="N976" s="129"/>
      <c r="O976" s="129"/>
      <c r="P976" s="129"/>
      <c r="Q976" s="129"/>
      <c r="R976" s="129"/>
      <c r="S976" s="129"/>
      <c r="T976" s="129"/>
      <c r="U976" s="129"/>
      <c r="V976" s="129"/>
      <c r="W976" s="129"/>
      <c r="X976" s="129"/>
      <c r="Y976" s="129"/>
      <c r="Z976" s="129"/>
      <c r="AA976" s="129"/>
      <c r="AB976" s="129"/>
      <c r="AC976" s="129"/>
      <c r="AD976" s="129"/>
      <c r="AE976" s="129"/>
      <c r="AF976" s="129"/>
      <c r="AG976" s="129"/>
      <c r="AH976" s="129"/>
      <c r="AI976" s="129"/>
      <c r="AJ976" s="129"/>
      <c r="AK976" s="129"/>
      <c r="AL976" s="129"/>
      <c r="AM976" s="129"/>
      <c r="AN976" s="129"/>
      <c r="AO976" s="129"/>
      <c r="AP976" s="129"/>
      <c r="AQ976" s="129"/>
    </row>
    <row r="977" spans="1:43" ht="12.75" customHeight="1">
      <c r="A977" s="129"/>
      <c r="B977" s="129"/>
      <c r="C977" s="129"/>
      <c r="D977" s="129"/>
      <c r="E977" s="129"/>
      <c r="F977" s="129"/>
      <c r="G977" s="129"/>
      <c r="H977" s="129"/>
      <c r="I977" s="129"/>
      <c r="J977" s="129"/>
      <c r="K977" s="129"/>
      <c r="L977" s="129"/>
      <c r="M977" s="129"/>
      <c r="N977" s="129"/>
      <c r="O977" s="129"/>
      <c r="P977" s="129"/>
      <c r="Q977" s="129"/>
      <c r="R977" s="129"/>
      <c r="S977" s="129"/>
      <c r="T977" s="129"/>
      <c r="U977" s="129"/>
      <c r="V977" s="129"/>
      <c r="W977" s="129"/>
      <c r="X977" s="129"/>
      <c r="Y977" s="129"/>
      <c r="Z977" s="129"/>
      <c r="AA977" s="129"/>
      <c r="AB977" s="129"/>
      <c r="AC977" s="129"/>
      <c r="AD977" s="129"/>
      <c r="AE977" s="129"/>
      <c r="AF977" s="129"/>
      <c r="AG977" s="129"/>
      <c r="AH977" s="129"/>
      <c r="AI977" s="129"/>
      <c r="AJ977" s="129"/>
      <c r="AK977" s="129"/>
      <c r="AL977" s="129"/>
      <c r="AM977" s="129"/>
      <c r="AN977" s="129"/>
      <c r="AO977" s="129"/>
      <c r="AP977" s="129"/>
      <c r="AQ977" s="129"/>
    </row>
    <row r="978" spans="1:43" ht="12.75" customHeight="1">
      <c r="A978" s="129"/>
      <c r="B978" s="129"/>
      <c r="C978" s="129"/>
      <c r="D978" s="129"/>
      <c r="E978" s="129"/>
      <c r="F978" s="129"/>
      <c r="G978" s="129"/>
      <c r="H978" s="129"/>
      <c r="I978" s="129"/>
      <c r="J978" s="129"/>
      <c r="K978" s="129"/>
      <c r="L978" s="129"/>
      <c r="M978" s="129"/>
      <c r="N978" s="129"/>
      <c r="O978" s="129"/>
      <c r="P978" s="129"/>
      <c r="Q978" s="129"/>
      <c r="R978" s="129"/>
      <c r="S978" s="129"/>
      <c r="T978" s="129"/>
      <c r="U978" s="129"/>
      <c r="V978" s="129"/>
      <c r="W978" s="129"/>
      <c r="X978" s="129"/>
      <c r="Y978" s="129"/>
      <c r="Z978" s="129"/>
      <c r="AA978" s="129"/>
      <c r="AB978" s="129"/>
      <c r="AC978" s="129"/>
      <c r="AD978" s="129"/>
      <c r="AE978" s="129"/>
      <c r="AF978" s="129"/>
      <c r="AG978" s="129"/>
      <c r="AH978" s="129"/>
      <c r="AI978" s="129"/>
      <c r="AJ978" s="129"/>
      <c r="AK978" s="129"/>
      <c r="AL978" s="129"/>
      <c r="AM978" s="129"/>
      <c r="AN978" s="129"/>
      <c r="AO978" s="129"/>
      <c r="AP978" s="129"/>
      <c r="AQ978" s="129"/>
    </row>
    <row r="979" spans="1:43" ht="12.75" customHeight="1">
      <c r="A979" s="129"/>
      <c r="B979" s="129"/>
      <c r="C979" s="129"/>
      <c r="D979" s="129"/>
      <c r="E979" s="129"/>
      <c r="F979" s="129"/>
      <c r="G979" s="129"/>
      <c r="H979" s="129"/>
      <c r="I979" s="129"/>
      <c r="J979" s="129"/>
      <c r="K979" s="129"/>
      <c r="L979" s="129"/>
      <c r="M979" s="129"/>
      <c r="N979" s="129"/>
      <c r="O979" s="129"/>
      <c r="P979" s="129"/>
      <c r="Q979" s="129"/>
      <c r="R979" s="129"/>
      <c r="S979" s="129"/>
      <c r="T979" s="129"/>
      <c r="U979" s="129"/>
      <c r="V979" s="129"/>
      <c r="W979" s="129"/>
      <c r="X979" s="129"/>
      <c r="Y979" s="129"/>
      <c r="Z979" s="129"/>
      <c r="AA979" s="129"/>
      <c r="AB979" s="129"/>
      <c r="AC979" s="129"/>
      <c r="AD979" s="129"/>
      <c r="AE979" s="129"/>
      <c r="AF979" s="129"/>
      <c r="AG979" s="129"/>
      <c r="AH979" s="129"/>
      <c r="AI979" s="129"/>
      <c r="AJ979" s="129"/>
      <c r="AK979" s="129"/>
      <c r="AL979" s="129"/>
      <c r="AM979" s="129"/>
      <c r="AN979" s="129"/>
      <c r="AO979" s="129"/>
      <c r="AP979" s="129"/>
      <c r="AQ979" s="129"/>
    </row>
    <row r="980" spans="1:43" ht="12.75" customHeight="1">
      <c r="A980" s="129"/>
      <c r="B980" s="129"/>
      <c r="C980" s="129"/>
      <c r="D980" s="129"/>
      <c r="E980" s="129"/>
      <c r="F980" s="129"/>
      <c r="G980" s="129"/>
      <c r="H980" s="129"/>
      <c r="I980" s="129"/>
      <c r="J980" s="129"/>
      <c r="K980" s="129"/>
      <c r="L980" s="129"/>
      <c r="M980" s="129"/>
      <c r="N980" s="129"/>
      <c r="O980" s="129"/>
      <c r="P980" s="129"/>
      <c r="Q980" s="129"/>
      <c r="R980" s="129"/>
      <c r="S980" s="129"/>
      <c r="T980" s="129"/>
      <c r="U980" s="129"/>
      <c r="V980" s="129"/>
      <c r="W980" s="129"/>
      <c r="X980" s="129"/>
      <c r="Y980" s="129"/>
      <c r="Z980" s="129"/>
      <c r="AA980" s="129"/>
      <c r="AB980" s="129"/>
      <c r="AC980" s="129"/>
      <c r="AD980" s="129"/>
      <c r="AE980" s="129"/>
      <c r="AF980" s="129"/>
      <c r="AG980" s="129"/>
      <c r="AH980" s="129"/>
      <c r="AI980" s="129"/>
      <c r="AJ980" s="129"/>
      <c r="AK980" s="129"/>
      <c r="AL980" s="129"/>
      <c r="AM980" s="129"/>
      <c r="AN980" s="129"/>
      <c r="AO980" s="129"/>
      <c r="AP980" s="129"/>
      <c r="AQ980" s="129"/>
    </row>
    <row r="981" spans="1:43" ht="12.75" customHeight="1">
      <c r="A981" s="129"/>
      <c r="B981" s="129"/>
      <c r="C981" s="129"/>
      <c r="D981" s="129"/>
      <c r="E981" s="129"/>
      <c r="F981" s="129"/>
      <c r="G981" s="129"/>
      <c r="H981" s="129"/>
      <c r="I981" s="129"/>
      <c r="J981" s="129"/>
      <c r="K981" s="129"/>
      <c r="L981" s="129"/>
      <c r="M981" s="129"/>
      <c r="N981" s="129"/>
      <c r="O981" s="129"/>
      <c r="P981" s="129"/>
      <c r="Q981" s="129"/>
      <c r="R981" s="129"/>
      <c r="S981" s="129"/>
      <c r="T981" s="129"/>
      <c r="U981" s="129"/>
      <c r="V981" s="129"/>
      <c r="W981" s="129"/>
      <c r="X981" s="129"/>
      <c r="Y981" s="129"/>
      <c r="Z981" s="129"/>
      <c r="AA981" s="129"/>
      <c r="AB981" s="129"/>
      <c r="AC981" s="129"/>
      <c r="AD981" s="129"/>
      <c r="AE981" s="129"/>
      <c r="AF981" s="129"/>
      <c r="AG981" s="129"/>
      <c r="AH981" s="129"/>
      <c r="AI981" s="129"/>
      <c r="AJ981" s="129"/>
      <c r="AK981" s="129"/>
      <c r="AL981" s="129"/>
      <c r="AM981" s="129"/>
      <c r="AN981" s="129"/>
      <c r="AO981" s="129"/>
      <c r="AP981" s="129"/>
      <c r="AQ981" s="129"/>
    </row>
    <row r="982" spans="1:43" ht="12.75" customHeight="1">
      <c r="A982" s="129"/>
      <c r="B982" s="129"/>
      <c r="C982" s="129"/>
      <c r="D982" s="129"/>
      <c r="E982" s="129"/>
      <c r="F982" s="129"/>
      <c r="G982" s="129"/>
      <c r="H982" s="129"/>
      <c r="I982" s="129"/>
      <c r="J982" s="129"/>
      <c r="K982" s="129"/>
      <c r="L982" s="129"/>
      <c r="M982" s="129"/>
      <c r="N982" s="129"/>
      <c r="O982" s="129"/>
      <c r="P982" s="129"/>
      <c r="Q982" s="129"/>
      <c r="R982" s="129"/>
      <c r="S982" s="129"/>
      <c r="T982" s="129"/>
      <c r="U982" s="129"/>
      <c r="V982" s="129"/>
      <c r="W982" s="129"/>
      <c r="X982" s="129"/>
      <c r="Y982" s="129"/>
      <c r="Z982" s="129"/>
      <c r="AA982" s="129"/>
      <c r="AB982" s="129"/>
      <c r="AC982" s="129"/>
      <c r="AD982" s="129"/>
      <c r="AE982" s="129"/>
      <c r="AF982" s="129"/>
      <c r="AG982" s="129"/>
      <c r="AH982" s="129"/>
      <c r="AI982" s="129"/>
      <c r="AJ982" s="129"/>
      <c r="AK982" s="129"/>
      <c r="AL982" s="129"/>
      <c r="AM982" s="129"/>
      <c r="AN982" s="129"/>
      <c r="AO982" s="129"/>
      <c r="AP982" s="129"/>
      <c r="AQ982" s="129"/>
    </row>
    <row r="983" spans="1:43" ht="12.75" customHeight="1">
      <c r="A983" s="129"/>
      <c r="B983" s="129"/>
      <c r="C983" s="129"/>
      <c r="D983" s="129"/>
      <c r="E983" s="129"/>
      <c r="F983" s="129"/>
      <c r="G983" s="129"/>
      <c r="H983" s="129"/>
      <c r="I983" s="129"/>
      <c r="J983" s="129"/>
      <c r="K983" s="129"/>
      <c r="L983" s="129"/>
      <c r="M983" s="129"/>
      <c r="N983" s="129"/>
      <c r="O983" s="129"/>
      <c r="P983" s="129"/>
      <c r="Q983" s="129"/>
      <c r="R983" s="129"/>
      <c r="S983" s="129"/>
      <c r="T983" s="129"/>
      <c r="U983" s="129"/>
      <c r="V983" s="129"/>
      <c r="W983" s="129"/>
      <c r="X983" s="129"/>
      <c r="Y983" s="129"/>
      <c r="Z983" s="129"/>
      <c r="AA983" s="129"/>
      <c r="AB983" s="129"/>
      <c r="AC983" s="129"/>
      <c r="AD983" s="129"/>
      <c r="AE983" s="129"/>
      <c r="AF983" s="129"/>
      <c r="AG983" s="129"/>
      <c r="AH983" s="129"/>
      <c r="AI983" s="129"/>
      <c r="AJ983" s="129"/>
      <c r="AK983" s="129"/>
      <c r="AL983" s="129"/>
      <c r="AM983" s="129"/>
      <c r="AN983" s="129"/>
      <c r="AO983" s="129"/>
      <c r="AP983" s="129"/>
      <c r="AQ983" s="129"/>
    </row>
    <row r="984" spans="1:43" ht="12.75" customHeight="1">
      <c r="A984" s="129"/>
      <c r="B984" s="129"/>
      <c r="C984" s="129"/>
      <c r="D984" s="129"/>
      <c r="E984" s="129"/>
      <c r="F984" s="129"/>
      <c r="G984" s="129"/>
      <c r="H984" s="129"/>
      <c r="I984" s="129"/>
      <c r="J984" s="129"/>
      <c r="K984" s="129"/>
      <c r="L984" s="129"/>
      <c r="M984" s="129"/>
      <c r="N984" s="129"/>
      <c r="O984" s="129"/>
      <c r="P984" s="129"/>
      <c r="Q984" s="129"/>
      <c r="R984" s="129"/>
      <c r="S984" s="129"/>
      <c r="T984" s="129"/>
      <c r="U984" s="129"/>
      <c r="V984" s="129"/>
      <c r="W984" s="129"/>
      <c r="X984" s="129"/>
      <c r="Y984" s="129"/>
      <c r="Z984" s="129"/>
      <c r="AA984" s="129"/>
      <c r="AB984" s="129"/>
      <c r="AC984" s="129"/>
      <c r="AD984" s="129"/>
      <c r="AE984" s="129"/>
      <c r="AF984" s="129"/>
      <c r="AG984" s="129"/>
      <c r="AH984" s="129"/>
      <c r="AI984" s="129"/>
      <c r="AJ984" s="129"/>
      <c r="AK984" s="129"/>
      <c r="AL984" s="129"/>
      <c r="AM984" s="129"/>
      <c r="AN984" s="129"/>
      <c r="AO984" s="129"/>
      <c r="AP984" s="129"/>
      <c r="AQ984" s="129"/>
    </row>
    <row r="985" spans="1:43" ht="12.75" customHeight="1">
      <c r="A985" s="129"/>
      <c r="B985" s="129"/>
      <c r="C985" s="129"/>
      <c r="D985" s="129"/>
      <c r="E985" s="129"/>
      <c r="F985" s="129"/>
      <c r="G985" s="129"/>
      <c r="H985" s="129"/>
      <c r="I985" s="129"/>
      <c r="J985" s="129"/>
      <c r="K985" s="129"/>
      <c r="L985" s="129"/>
      <c r="M985" s="129"/>
      <c r="N985" s="129"/>
      <c r="O985" s="129"/>
      <c r="P985" s="129"/>
      <c r="Q985" s="129"/>
      <c r="R985" s="129"/>
      <c r="S985" s="129"/>
      <c r="T985" s="129"/>
      <c r="U985" s="129"/>
      <c r="V985" s="129"/>
      <c r="W985" s="129"/>
      <c r="X985" s="129"/>
      <c r="Y985" s="129"/>
      <c r="Z985" s="129"/>
      <c r="AA985" s="129"/>
      <c r="AB985" s="129"/>
      <c r="AC985" s="129"/>
      <c r="AD985" s="129"/>
      <c r="AE985" s="129"/>
      <c r="AF985" s="129"/>
      <c r="AG985" s="129"/>
      <c r="AH985" s="129"/>
      <c r="AI985" s="129"/>
      <c r="AJ985" s="129"/>
      <c r="AK985" s="129"/>
      <c r="AL985" s="129"/>
      <c r="AM985" s="129"/>
      <c r="AN985" s="129"/>
      <c r="AO985" s="129"/>
      <c r="AP985" s="129"/>
      <c r="AQ985" s="129"/>
    </row>
    <row r="986" spans="1:43" ht="12.75" customHeight="1">
      <c r="A986" s="129"/>
      <c r="B986" s="129"/>
      <c r="C986" s="129"/>
      <c r="D986" s="129"/>
      <c r="E986" s="129"/>
      <c r="F986" s="129"/>
      <c r="G986" s="129"/>
      <c r="H986" s="129"/>
      <c r="I986" s="129"/>
      <c r="J986" s="129"/>
      <c r="K986" s="129"/>
      <c r="L986" s="129"/>
      <c r="M986" s="129"/>
      <c r="N986" s="129"/>
      <c r="O986" s="129"/>
      <c r="P986" s="129"/>
      <c r="Q986" s="129"/>
      <c r="R986" s="129"/>
      <c r="S986" s="129"/>
      <c r="T986" s="129"/>
      <c r="U986" s="129"/>
      <c r="V986" s="129"/>
      <c r="W986" s="129"/>
      <c r="X986" s="129"/>
      <c r="Y986" s="129"/>
      <c r="Z986" s="129"/>
      <c r="AA986" s="129"/>
      <c r="AB986" s="129"/>
      <c r="AC986" s="129"/>
      <c r="AD986" s="129"/>
      <c r="AE986" s="129"/>
      <c r="AF986" s="129"/>
      <c r="AG986" s="129"/>
      <c r="AH986" s="129"/>
      <c r="AI986" s="129"/>
      <c r="AJ986" s="129"/>
      <c r="AK986" s="129"/>
      <c r="AL986" s="129"/>
      <c r="AM986" s="129"/>
      <c r="AN986" s="129"/>
      <c r="AO986" s="129"/>
      <c r="AP986" s="129"/>
      <c r="AQ986" s="129"/>
    </row>
    <row r="987" spans="1:43" ht="12.75" customHeight="1">
      <c r="A987" s="129"/>
      <c r="B987" s="129"/>
      <c r="C987" s="129"/>
      <c r="D987" s="129"/>
      <c r="E987" s="129"/>
      <c r="F987" s="129"/>
      <c r="G987" s="129"/>
      <c r="H987" s="129"/>
      <c r="I987" s="129"/>
      <c r="J987" s="129"/>
      <c r="K987" s="129"/>
      <c r="L987" s="129"/>
      <c r="M987" s="129"/>
      <c r="N987" s="129"/>
      <c r="O987" s="129"/>
      <c r="P987" s="129"/>
      <c r="Q987" s="129"/>
      <c r="R987" s="129"/>
      <c r="S987" s="129"/>
      <c r="T987" s="129"/>
      <c r="U987" s="129"/>
      <c r="V987" s="129"/>
      <c r="W987" s="129"/>
      <c r="X987" s="129"/>
      <c r="Y987" s="129"/>
      <c r="Z987" s="129"/>
      <c r="AA987" s="129"/>
      <c r="AB987" s="129"/>
      <c r="AC987" s="129"/>
      <c r="AD987" s="129"/>
      <c r="AE987" s="129"/>
      <c r="AF987" s="129"/>
      <c r="AG987" s="129"/>
      <c r="AH987" s="129"/>
      <c r="AI987" s="129"/>
      <c r="AJ987" s="129"/>
      <c r="AK987" s="129"/>
      <c r="AL987" s="129"/>
      <c r="AM987" s="129"/>
      <c r="AN987" s="129"/>
      <c r="AO987" s="129"/>
      <c r="AP987" s="129"/>
      <c r="AQ987" s="129"/>
    </row>
    <row r="988" spans="1:43" ht="12.75" customHeight="1">
      <c r="A988" s="129"/>
      <c r="B988" s="129"/>
      <c r="C988" s="129"/>
      <c r="D988" s="129"/>
      <c r="E988" s="129"/>
      <c r="F988" s="129"/>
      <c r="G988" s="129"/>
      <c r="H988" s="129"/>
      <c r="I988" s="129"/>
      <c r="J988" s="129"/>
      <c r="K988" s="129"/>
      <c r="L988" s="129"/>
      <c r="M988" s="129"/>
      <c r="N988" s="129"/>
      <c r="O988" s="129"/>
      <c r="P988" s="129"/>
      <c r="Q988" s="129"/>
      <c r="R988" s="129"/>
      <c r="S988" s="129"/>
      <c r="T988" s="129"/>
      <c r="U988" s="129"/>
      <c r="V988" s="129"/>
      <c r="W988" s="129"/>
      <c r="X988" s="129"/>
      <c r="Y988" s="129"/>
      <c r="Z988" s="129"/>
      <c r="AA988" s="129"/>
      <c r="AB988" s="129"/>
      <c r="AC988" s="129"/>
      <c r="AD988" s="129"/>
      <c r="AE988" s="129"/>
      <c r="AF988" s="129"/>
      <c r="AG988" s="129"/>
      <c r="AH988" s="129"/>
      <c r="AI988" s="129"/>
      <c r="AJ988" s="129"/>
      <c r="AK988" s="129"/>
      <c r="AL988" s="129"/>
      <c r="AM988" s="129"/>
      <c r="AN988" s="129"/>
      <c r="AO988" s="129"/>
      <c r="AP988" s="129"/>
      <c r="AQ988" s="129"/>
    </row>
    <row r="989" spans="1:43" ht="12.75" customHeight="1">
      <c r="A989" s="129"/>
      <c r="B989" s="129"/>
      <c r="C989" s="129"/>
      <c r="D989" s="129"/>
      <c r="E989" s="129"/>
      <c r="F989" s="129"/>
      <c r="G989" s="129"/>
      <c r="H989" s="129"/>
      <c r="I989" s="129"/>
      <c r="J989" s="129"/>
      <c r="K989" s="129"/>
      <c r="L989" s="129"/>
      <c r="M989" s="129"/>
      <c r="N989" s="129"/>
      <c r="O989" s="129"/>
      <c r="P989" s="129"/>
      <c r="Q989" s="129"/>
      <c r="R989" s="129"/>
      <c r="S989" s="129"/>
      <c r="T989" s="129"/>
      <c r="U989" s="129"/>
      <c r="V989" s="129"/>
      <c r="W989" s="129"/>
      <c r="X989" s="129"/>
      <c r="Y989" s="129"/>
      <c r="Z989" s="129"/>
      <c r="AA989" s="129"/>
      <c r="AB989" s="129"/>
      <c r="AC989" s="129"/>
      <c r="AD989" s="129"/>
      <c r="AE989" s="129"/>
      <c r="AF989" s="129"/>
      <c r="AG989" s="129"/>
      <c r="AH989" s="129"/>
      <c r="AI989" s="129"/>
      <c r="AJ989" s="129"/>
      <c r="AK989" s="129"/>
      <c r="AL989" s="129"/>
      <c r="AM989" s="129"/>
      <c r="AN989" s="129"/>
      <c r="AO989" s="129"/>
      <c r="AP989" s="129"/>
      <c r="AQ989" s="129"/>
    </row>
    <row r="990" spans="1:43" ht="12.75" customHeight="1">
      <c r="A990" s="129"/>
      <c r="B990" s="129"/>
      <c r="C990" s="129"/>
      <c r="D990" s="129"/>
      <c r="E990" s="129"/>
      <c r="F990" s="129"/>
      <c r="G990" s="129"/>
      <c r="H990" s="129"/>
      <c r="I990" s="129"/>
      <c r="J990" s="129"/>
      <c r="K990" s="129"/>
      <c r="L990" s="129"/>
      <c r="M990" s="129"/>
      <c r="N990" s="129"/>
      <c r="O990" s="129"/>
      <c r="P990" s="129"/>
      <c r="Q990" s="129"/>
      <c r="R990" s="129"/>
      <c r="S990" s="129"/>
      <c r="T990" s="129"/>
      <c r="U990" s="129"/>
      <c r="V990" s="129"/>
      <c r="W990" s="129"/>
      <c r="X990" s="129"/>
      <c r="Y990" s="129"/>
      <c r="Z990" s="129"/>
      <c r="AA990" s="129"/>
      <c r="AB990" s="129"/>
      <c r="AC990" s="129"/>
      <c r="AD990" s="129"/>
      <c r="AE990" s="129"/>
      <c r="AF990" s="129"/>
      <c r="AG990" s="129"/>
      <c r="AH990" s="129"/>
      <c r="AI990" s="129"/>
      <c r="AJ990" s="129"/>
      <c r="AK990" s="129"/>
      <c r="AL990" s="129"/>
      <c r="AM990" s="129"/>
      <c r="AN990" s="129"/>
      <c r="AO990" s="129"/>
      <c r="AP990" s="129"/>
      <c r="AQ990" s="129"/>
    </row>
    <row r="991" spans="1:43" ht="12.75" customHeight="1">
      <c r="A991" s="129"/>
      <c r="B991" s="129"/>
      <c r="C991" s="129"/>
      <c r="D991" s="129"/>
      <c r="E991" s="129"/>
      <c r="F991" s="129"/>
      <c r="G991" s="129"/>
      <c r="H991" s="129"/>
      <c r="I991" s="129"/>
      <c r="J991" s="129"/>
      <c r="K991" s="129"/>
      <c r="L991" s="129"/>
      <c r="M991" s="129"/>
      <c r="N991" s="129"/>
      <c r="O991" s="129"/>
      <c r="P991" s="129"/>
      <c r="Q991" s="129"/>
      <c r="R991" s="129"/>
      <c r="S991" s="129"/>
      <c r="T991" s="129"/>
      <c r="U991" s="129"/>
      <c r="V991" s="129"/>
      <c r="W991" s="129"/>
      <c r="X991" s="129"/>
      <c r="Y991" s="129"/>
      <c r="Z991" s="129"/>
      <c r="AA991" s="129"/>
      <c r="AB991" s="129"/>
      <c r="AC991" s="129"/>
      <c r="AD991" s="129"/>
      <c r="AE991" s="129"/>
      <c r="AF991" s="129"/>
      <c r="AG991" s="129"/>
      <c r="AH991" s="129"/>
      <c r="AI991" s="129"/>
      <c r="AJ991" s="129"/>
      <c r="AK991" s="129"/>
      <c r="AL991" s="129"/>
      <c r="AM991" s="129"/>
      <c r="AN991" s="129"/>
      <c r="AO991" s="129"/>
      <c r="AP991" s="129"/>
      <c r="AQ991" s="129"/>
    </row>
    <row r="992" spans="1:43" ht="12.75" customHeight="1">
      <c r="A992" s="129"/>
      <c r="B992" s="129"/>
      <c r="C992" s="129"/>
      <c r="D992" s="129"/>
      <c r="E992" s="129"/>
      <c r="F992" s="129"/>
      <c r="G992" s="129"/>
      <c r="H992" s="129"/>
      <c r="I992" s="129"/>
      <c r="J992" s="129"/>
      <c r="K992" s="129"/>
      <c r="L992" s="129"/>
      <c r="M992" s="129"/>
      <c r="N992" s="129"/>
      <c r="O992" s="129"/>
      <c r="P992" s="129"/>
      <c r="Q992" s="129"/>
      <c r="R992" s="129"/>
      <c r="S992" s="129"/>
      <c r="T992" s="129"/>
      <c r="U992" s="129"/>
      <c r="V992" s="129"/>
      <c r="W992" s="129"/>
      <c r="X992" s="129"/>
      <c r="Y992" s="129"/>
      <c r="Z992" s="129"/>
      <c r="AA992" s="129"/>
      <c r="AB992" s="129"/>
      <c r="AC992" s="129"/>
      <c r="AD992" s="129"/>
      <c r="AE992" s="129"/>
      <c r="AF992" s="129"/>
      <c r="AG992" s="129"/>
      <c r="AH992" s="129"/>
      <c r="AI992" s="129"/>
      <c r="AJ992" s="129"/>
      <c r="AK992" s="129"/>
      <c r="AL992" s="129"/>
      <c r="AM992" s="129"/>
      <c r="AN992" s="129"/>
      <c r="AO992" s="129"/>
      <c r="AP992" s="129"/>
      <c r="AQ992" s="129"/>
    </row>
    <row r="993" spans="1:43" ht="12.75" customHeight="1">
      <c r="A993" s="129"/>
      <c r="B993" s="129"/>
      <c r="C993" s="129"/>
      <c r="D993" s="129"/>
      <c r="E993" s="129"/>
      <c r="F993" s="129"/>
      <c r="G993" s="129"/>
      <c r="H993" s="129"/>
      <c r="I993" s="129"/>
      <c r="J993" s="129"/>
      <c r="K993" s="129"/>
      <c r="L993" s="129"/>
      <c r="M993" s="129"/>
      <c r="N993" s="129"/>
      <c r="O993" s="129"/>
      <c r="P993" s="129"/>
      <c r="Q993" s="129"/>
      <c r="R993" s="129"/>
      <c r="S993" s="129"/>
      <c r="T993" s="129"/>
      <c r="U993" s="129"/>
      <c r="V993" s="129"/>
      <c r="W993" s="129"/>
      <c r="X993" s="129"/>
      <c r="Y993" s="129"/>
      <c r="Z993" s="129"/>
      <c r="AA993" s="129"/>
      <c r="AB993" s="129"/>
      <c r="AC993" s="129"/>
      <c r="AD993" s="129"/>
      <c r="AE993" s="129"/>
      <c r="AF993" s="129"/>
      <c r="AG993" s="129"/>
      <c r="AH993" s="129"/>
      <c r="AI993" s="129"/>
      <c r="AJ993" s="129"/>
      <c r="AK993" s="129"/>
      <c r="AL993" s="129"/>
      <c r="AM993" s="129"/>
      <c r="AN993" s="129"/>
      <c r="AO993" s="129"/>
      <c r="AP993" s="129"/>
      <c r="AQ993" s="129"/>
    </row>
    <row r="994" spans="1:43" ht="12.75" customHeight="1">
      <c r="A994" s="129"/>
      <c r="B994" s="129"/>
      <c r="C994" s="129"/>
      <c r="D994" s="129"/>
      <c r="E994" s="129"/>
      <c r="F994" s="129"/>
      <c r="G994" s="129"/>
      <c r="H994" s="129"/>
      <c r="I994" s="129"/>
      <c r="J994" s="129"/>
      <c r="K994" s="129"/>
      <c r="L994" s="129"/>
      <c r="M994" s="129"/>
      <c r="N994" s="129"/>
      <c r="O994" s="129"/>
      <c r="P994" s="129"/>
      <c r="Q994" s="129"/>
      <c r="R994" s="129"/>
      <c r="S994" s="129"/>
      <c r="T994" s="129"/>
      <c r="U994" s="129"/>
      <c r="V994" s="129"/>
      <c r="W994" s="129"/>
      <c r="X994" s="129"/>
      <c r="Y994" s="129"/>
      <c r="Z994" s="129"/>
      <c r="AA994" s="129"/>
      <c r="AB994" s="129"/>
      <c r="AC994" s="129"/>
      <c r="AD994" s="129"/>
      <c r="AE994" s="129"/>
      <c r="AF994" s="129"/>
      <c r="AG994" s="129"/>
      <c r="AH994" s="129"/>
      <c r="AI994" s="129"/>
      <c r="AJ994" s="129"/>
      <c r="AK994" s="129"/>
      <c r="AL994" s="129"/>
      <c r="AM994" s="129"/>
      <c r="AN994" s="129"/>
      <c r="AO994" s="129"/>
      <c r="AP994" s="129"/>
      <c r="AQ994" s="129"/>
    </row>
    <row r="995" spans="1:43" ht="12.75" customHeight="1">
      <c r="A995" s="129"/>
      <c r="B995" s="129"/>
      <c r="C995" s="129"/>
      <c r="D995" s="129"/>
      <c r="E995" s="129"/>
      <c r="F995" s="129"/>
      <c r="G995" s="129"/>
      <c r="H995" s="129"/>
      <c r="I995" s="129"/>
      <c r="J995" s="129"/>
      <c r="K995" s="129"/>
      <c r="L995" s="129"/>
      <c r="M995" s="129"/>
      <c r="N995" s="129"/>
      <c r="O995" s="129"/>
      <c r="P995" s="129"/>
      <c r="Q995" s="129"/>
      <c r="R995" s="129"/>
      <c r="S995" s="129"/>
      <c r="T995" s="129"/>
      <c r="U995" s="129"/>
      <c r="V995" s="129"/>
      <c r="W995" s="129"/>
      <c r="X995" s="129"/>
      <c r="Y995" s="129"/>
      <c r="Z995" s="129"/>
      <c r="AA995" s="129"/>
      <c r="AB995" s="129"/>
      <c r="AC995" s="129"/>
      <c r="AD995" s="129"/>
      <c r="AE995" s="129"/>
      <c r="AF995" s="129"/>
      <c r="AG995" s="129"/>
      <c r="AH995" s="129"/>
      <c r="AI995" s="129"/>
      <c r="AJ995" s="129"/>
      <c r="AK995" s="129"/>
      <c r="AL995" s="129"/>
      <c r="AM995" s="129"/>
      <c r="AN995" s="129"/>
      <c r="AO995" s="129"/>
      <c r="AP995" s="129"/>
      <c r="AQ995" s="129"/>
    </row>
    <row r="996" spans="1:43" ht="12.75" customHeight="1">
      <c r="A996" s="129"/>
      <c r="B996" s="129"/>
      <c r="C996" s="129"/>
      <c r="D996" s="129"/>
      <c r="E996" s="129"/>
      <c r="F996" s="129"/>
      <c r="G996" s="129"/>
      <c r="H996" s="129"/>
      <c r="I996" s="129"/>
      <c r="J996" s="129"/>
      <c r="K996" s="129"/>
      <c r="L996" s="129"/>
      <c r="M996" s="129"/>
      <c r="N996" s="129"/>
      <c r="O996" s="129"/>
      <c r="P996" s="129"/>
      <c r="Q996" s="129"/>
      <c r="R996" s="129"/>
      <c r="S996" s="129"/>
      <c r="T996" s="129"/>
      <c r="U996" s="129"/>
      <c r="V996" s="129"/>
      <c r="W996" s="129"/>
      <c r="X996" s="129"/>
      <c r="Y996" s="129"/>
      <c r="Z996" s="129"/>
      <c r="AA996" s="129"/>
      <c r="AB996" s="129"/>
      <c r="AC996" s="129"/>
      <c r="AD996" s="129"/>
      <c r="AE996" s="129"/>
      <c r="AF996" s="129"/>
      <c r="AG996" s="129"/>
      <c r="AH996" s="129"/>
      <c r="AI996" s="129"/>
      <c r="AJ996" s="129"/>
      <c r="AK996" s="129"/>
      <c r="AL996" s="129"/>
      <c r="AM996" s="129"/>
      <c r="AN996" s="129"/>
      <c r="AO996" s="129"/>
      <c r="AP996" s="129"/>
      <c r="AQ996" s="129"/>
    </row>
    <row r="997" spans="1:43" ht="12.75" customHeight="1">
      <c r="A997" s="129"/>
      <c r="B997" s="129"/>
      <c r="C997" s="129"/>
      <c r="D997" s="129"/>
      <c r="E997" s="129"/>
      <c r="F997" s="129"/>
      <c r="G997" s="129"/>
      <c r="H997" s="129"/>
      <c r="I997" s="129"/>
      <c r="J997" s="129"/>
      <c r="K997" s="129"/>
      <c r="L997" s="129"/>
      <c r="M997" s="129"/>
      <c r="N997" s="129"/>
      <c r="O997" s="129"/>
      <c r="P997" s="129"/>
      <c r="Q997" s="129"/>
      <c r="R997" s="129"/>
      <c r="S997" s="129"/>
      <c r="T997" s="129"/>
      <c r="U997" s="129"/>
      <c r="V997" s="129"/>
      <c r="W997" s="129"/>
      <c r="X997" s="129"/>
      <c r="Y997" s="129"/>
      <c r="Z997" s="129"/>
      <c r="AA997" s="129"/>
      <c r="AB997" s="129"/>
      <c r="AC997" s="129"/>
      <c r="AD997" s="129"/>
      <c r="AE997" s="129"/>
      <c r="AF997" s="129"/>
      <c r="AG997" s="129"/>
      <c r="AH997" s="129"/>
      <c r="AI997" s="129"/>
      <c r="AJ997" s="129"/>
      <c r="AK997" s="129"/>
      <c r="AL997" s="129"/>
      <c r="AM997" s="129"/>
      <c r="AN997" s="129"/>
      <c r="AO997" s="129"/>
      <c r="AP997" s="129"/>
      <c r="AQ997" s="129"/>
    </row>
    <row r="998" spans="1:43" ht="12.75" customHeight="1">
      <c r="A998" s="129"/>
      <c r="B998" s="129"/>
      <c r="C998" s="129"/>
      <c r="D998" s="129"/>
      <c r="E998" s="129"/>
      <c r="F998" s="129"/>
      <c r="G998" s="129"/>
      <c r="H998" s="129"/>
      <c r="I998" s="129"/>
      <c r="J998" s="129"/>
      <c r="K998" s="129"/>
      <c r="L998" s="129"/>
      <c r="M998" s="129"/>
      <c r="N998" s="129"/>
      <c r="O998" s="129"/>
      <c r="P998" s="129"/>
      <c r="Q998" s="129"/>
      <c r="R998" s="129"/>
      <c r="S998" s="129"/>
      <c r="T998" s="129"/>
      <c r="U998" s="129"/>
      <c r="V998" s="129"/>
      <c r="W998" s="129"/>
      <c r="X998" s="129"/>
      <c r="Y998" s="129"/>
      <c r="Z998" s="129"/>
      <c r="AA998" s="129"/>
      <c r="AB998" s="129"/>
      <c r="AC998" s="129"/>
      <c r="AD998" s="129"/>
      <c r="AE998" s="129"/>
      <c r="AF998" s="129"/>
      <c r="AG998" s="129"/>
      <c r="AH998" s="129"/>
      <c r="AI998" s="129"/>
      <c r="AJ998" s="129"/>
      <c r="AK998" s="129"/>
      <c r="AL998" s="129"/>
      <c r="AM998" s="129"/>
      <c r="AN998" s="129"/>
      <c r="AO998" s="129"/>
      <c r="AP998" s="129"/>
      <c r="AQ998" s="129"/>
    </row>
    <row r="999" spans="1:43" ht="12.75" customHeight="1">
      <c r="A999" s="129"/>
      <c r="B999" s="129"/>
      <c r="C999" s="129"/>
      <c r="D999" s="129"/>
      <c r="E999" s="129"/>
      <c r="F999" s="129"/>
      <c r="G999" s="129"/>
      <c r="H999" s="129"/>
      <c r="I999" s="129"/>
      <c r="J999" s="129"/>
      <c r="K999" s="129"/>
      <c r="L999" s="129"/>
      <c r="M999" s="129"/>
      <c r="N999" s="129"/>
      <c r="O999" s="129"/>
      <c r="P999" s="129"/>
      <c r="Q999" s="129"/>
      <c r="R999" s="129"/>
      <c r="S999" s="129"/>
      <c r="T999" s="129"/>
      <c r="U999" s="129"/>
      <c r="V999" s="129"/>
      <c r="W999" s="129"/>
      <c r="X999" s="129"/>
      <c r="Y999" s="129"/>
      <c r="Z999" s="129"/>
      <c r="AA999" s="129"/>
      <c r="AB999" s="129"/>
      <c r="AC999" s="129"/>
      <c r="AD999" s="129"/>
      <c r="AE999" s="129"/>
      <c r="AF999" s="129"/>
      <c r="AG999" s="129"/>
      <c r="AH999" s="129"/>
      <c r="AI999" s="129"/>
      <c r="AJ999" s="129"/>
      <c r="AK999" s="129"/>
      <c r="AL999" s="129"/>
      <c r="AM999" s="129"/>
      <c r="AN999" s="129"/>
      <c r="AO999" s="129"/>
      <c r="AP999" s="129"/>
      <c r="AQ999" s="129"/>
    </row>
    <row r="1000" spans="1:43" ht="12.75" customHeight="1">
      <c r="A1000" s="129"/>
      <c r="B1000" s="129"/>
      <c r="C1000" s="129"/>
      <c r="D1000" s="129"/>
      <c r="E1000" s="129"/>
      <c r="F1000" s="129"/>
      <c r="G1000" s="129"/>
      <c r="H1000" s="129"/>
      <c r="I1000" s="129"/>
      <c r="J1000" s="129"/>
      <c r="K1000" s="129"/>
      <c r="L1000" s="129"/>
      <c r="M1000" s="129"/>
      <c r="N1000" s="129"/>
      <c r="O1000" s="129"/>
      <c r="P1000" s="129"/>
      <c r="Q1000" s="129"/>
      <c r="R1000" s="129"/>
      <c r="S1000" s="129"/>
      <c r="T1000" s="129"/>
      <c r="U1000" s="129"/>
      <c r="V1000" s="129"/>
      <c r="W1000" s="129"/>
      <c r="X1000" s="129"/>
      <c r="Y1000" s="129"/>
      <c r="Z1000" s="129"/>
      <c r="AA1000" s="129"/>
      <c r="AB1000" s="129"/>
      <c r="AC1000" s="129"/>
      <c r="AD1000" s="129"/>
      <c r="AE1000" s="129"/>
      <c r="AF1000" s="129"/>
      <c r="AG1000" s="129"/>
      <c r="AH1000" s="129"/>
      <c r="AI1000" s="129"/>
      <c r="AJ1000" s="129"/>
      <c r="AK1000" s="129"/>
      <c r="AL1000" s="129"/>
      <c r="AM1000" s="129"/>
      <c r="AN1000" s="129"/>
      <c r="AO1000" s="129"/>
      <c r="AP1000" s="129"/>
      <c r="AQ1000" s="129"/>
    </row>
  </sheetData>
  <sheetProtection algorithmName="SHA-512" hashValue="e0e6z3KXBPTkU0Z7Ud+nkQg6+ohlyHFPEWHT4l1N3lAocOxY7+o6KeBCinN8YAgZ0gwNVTUatOWQIgrkPXCfog==" saltValue="lnG3zx+u+nMA/XaM/EjLUw==" spinCount="100000" sheet="1" objects="1" scenarios="1" formatCells="0"/>
  <autoFilter ref="B70:W85"/>
  <mergeCells count="1">
    <mergeCell ref="B1:W1"/>
  </mergeCells>
  <printOptions horizontalCentered="1"/>
  <pageMargins left="0.43307086614173229" right="0.43307086614173229" top="0.35433070866141736" bottom="0.74803149606299213" header="0" footer="0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defaultColWidth="12.625" defaultRowHeight="15" customHeight="1"/>
  <cols>
    <col min="1" max="1" width="7.625" customWidth="1"/>
    <col min="2" max="2" width="10.375" customWidth="1"/>
    <col min="3" max="3" width="10.25" customWidth="1"/>
    <col min="4" max="4" width="7.625" customWidth="1"/>
    <col min="5" max="5" width="9.875" customWidth="1"/>
    <col min="6" max="6" width="16.25" customWidth="1"/>
    <col min="7" max="7" width="17.75" customWidth="1"/>
    <col min="8" max="8" width="16.625" customWidth="1"/>
    <col min="9" max="26" width="7.625" customWidth="1"/>
  </cols>
  <sheetData>
    <row r="1" spans="1:8" ht="15.75">
      <c r="A1" s="164" t="s">
        <v>3485</v>
      </c>
      <c r="B1" s="164"/>
      <c r="C1" s="164"/>
      <c r="D1" s="164"/>
      <c r="E1" s="164"/>
      <c r="F1" s="164"/>
      <c r="G1" s="164"/>
    </row>
    <row r="2" spans="1:8" ht="15.75">
      <c r="A2" s="164"/>
      <c r="B2" s="164"/>
      <c r="C2" s="164"/>
      <c r="D2" s="164"/>
      <c r="E2" s="164"/>
      <c r="F2" s="164"/>
      <c r="G2" s="164"/>
    </row>
    <row r="3" spans="1:8" ht="15.75">
      <c r="A3" s="164"/>
      <c r="B3" s="164"/>
      <c r="C3" s="164"/>
      <c r="D3" s="164"/>
      <c r="E3" s="164"/>
      <c r="F3" s="164"/>
      <c r="G3" s="164"/>
    </row>
    <row r="5" spans="1:8">
      <c r="A5" s="165" t="s">
        <v>3486</v>
      </c>
      <c r="B5" s="44"/>
      <c r="C5" s="44"/>
      <c r="D5" s="44"/>
      <c r="E5" s="44"/>
      <c r="F5" s="44"/>
    </row>
    <row r="6" spans="1:8">
      <c r="A6" s="165"/>
      <c r="B6" s="44"/>
      <c r="C6" s="44"/>
      <c r="D6" s="44"/>
      <c r="E6" s="44"/>
      <c r="F6" s="44"/>
    </row>
    <row r="8" spans="1:8" ht="15.75">
      <c r="A8" s="164" t="s">
        <v>3487</v>
      </c>
      <c r="B8" s="164"/>
    </row>
    <row r="10" spans="1:8" ht="15" customHeight="1">
      <c r="A10" s="256" t="s">
        <v>16</v>
      </c>
      <c r="B10" s="258" t="s">
        <v>3488</v>
      </c>
      <c r="C10" s="258" t="s">
        <v>3489</v>
      </c>
      <c r="D10" s="260" t="s">
        <v>3490</v>
      </c>
      <c r="E10" s="254" t="s">
        <v>3491</v>
      </c>
      <c r="F10" s="254" t="s">
        <v>3492</v>
      </c>
      <c r="G10" s="254" t="s">
        <v>3493</v>
      </c>
      <c r="H10" s="254" t="s">
        <v>3494</v>
      </c>
    </row>
    <row r="11" spans="1:8" ht="14.25">
      <c r="A11" s="257"/>
      <c r="B11" s="259"/>
      <c r="C11" s="259"/>
      <c r="D11" s="261"/>
      <c r="E11" s="255"/>
      <c r="F11" s="255"/>
      <c r="G11" s="255"/>
      <c r="H11" s="255"/>
    </row>
    <row r="12" spans="1:8">
      <c r="A12" s="166"/>
      <c r="B12" s="167"/>
      <c r="C12" s="168"/>
      <c r="D12" s="169"/>
      <c r="E12" s="170"/>
      <c r="F12" s="171"/>
      <c r="G12" s="172"/>
      <c r="H12" s="173"/>
    </row>
    <row r="13" spans="1:8">
      <c r="A13" s="174"/>
      <c r="B13" s="175"/>
      <c r="C13" s="176"/>
      <c r="D13" s="177"/>
      <c r="E13" s="178"/>
      <c r="F13" s="179"/>
      <c r="G13" s="180"/>
      <c r="H13" s="181"/>
    </row>
    <row r="14" spans="1:8">
      <c r="A14" s="174"/>
      <c r="B14" s="175"/>
      <c r="C14" s="176"/>
      <c r="D14" s="177"/>
      <c r="E14" s="178"/>
      <c r="F14" s="179"/>
      <c r="G14" s="180"/>
      <c r="H14" s="181"/>
    </row>
    <row r="15" spans="1:8">
      <c r="A15" s="174"/>
      <c r="B15" s="175"/>
      <c r="C15" s="176"/>
      <c r="D15" s="177"/>
      <c r="E15" s="178"/>
      <c r="F15" s="179"/>
      <c r="G15" s="180"/>
      <c r="H15" s="181"/>
    </row>
    <row r="16" spans="1:8">
      <c r="A16" s="174"/>
      <c r="B16" s="175"/>
      <c r="C16" s="176"/>
      <c r="D16" s="177"/>
      <c r="E16" s="178"/>
      <c r="F16" s="179"/>
      <c r="G16" s="180"/>
      <c r="H16" s="181"/>
    </row>
    <row r="17" spans="1:26">
      <c r="A17" s="174"/>
      <c r="B17" s="175"/>
      <c r="C17" s="176"/>
      <c r="D17" s="177"/>
      <c r="E17" s="178"/>
      <c r="F17" s="179"/>
      <c r="G17" s="180"/>
      <c r="H17" s="181"/>
    </row>
    <row r="18" spans="1:26">
      <c r="A18" s="174"/>
      <c r="B18" s="175"/>
      <c r="C18" s="176"/>
      <c r="D18" s="177"/>
      <c r="E18" s="178"/>
      <c r="F18" s="179"/>
      <c r="G18" s="180"/>
      <c r="H18" s="181"/>
    </row>
    <row r="19" spans="1:26">
      <c r="A19" s="174"/>
      <c r="B19" s="175"/>
      <c r="C19" s="176"/>
      <c r="D19" s="177"/>
      <c r="E19" s="178"/>
      <c r="F19" s="179"/>
      <c r="G19" s="180"/>
      <c r="H19" s="181"/>
    </row>
    <row r="20" spans="1:26">
      <c r="A20" s="182"/>
      <c r="B20" s="183"/>
      <c r="C20" s="184"/>
      <c r="D20" s="185"/>
      <c r="E20" s="186"/>
      <c r="F20" s="187"/>
      <c r="G20" s="188"/>
      <c r="H20" s="189"/>
    </row>
    <row r="21" spans="1:26" ht="15.75" customHeight="1">
      <c r="A21" s="44"/>
      <c r="B21" s="44"/>
      <c r="C21" s="44"/>
      <c r="D21" s="44"/>
      <c r="E21" s="44"/>
      <c r="F21" s="190"/>
      <c r="G21" s="190"/>
      <c r="H21" s="190"/>
    </row>
    <row r="22" spans="1:26" ht="15.75" customHeight="1"/>
    <row r="23" spans="1:26" ht="15.75" customHeight="1">
      <c r="A23" s="191" t="s">
        <v>3495</v>
      </c>
      <c r="B23" s="192"/>
      <c r="C23" s="193"/>
      <c r="D23" s="193"/>
      <c r="E23" s="193"/>
      <c r="F23" s="193"/>
      <c r="G23" s="194" t="s">
        <v>3496</v>
      </c>
      <c r="H23" s="193"/>
      <c r="I23" s="193"/>
      <c r="J23" s="193"/>
      <c r="K23" s="193"/>
      <c r="L23" s="193"/>
      <c r="M23" s="193"/>
      <c r="N23" s="193"/>
      <c r="O23" s="193"/>
      <c r="P23" s="44"/>
      <c r="Q23" s="195"/>
      <c r="R23" s="195"/>
      <c r="S23" s="195"/>
      <c r="T23" s="195"/>
      <c r="U23" s="196"/>
      <c r="V23" s="196"/>
      <c r="W23" s="196"/>
      <c r="X23" s="44"/>
      <c r="Y23" s="44"/>
      <c r="Z23" s="44"/>
    </row>
    <row r="24" spans="1:26" ht="15.75" customHeight="1">
      <c r="A24" s="191"/>
      <c r="B24" s="192"/>
      <c r="C24" s="193"/>
      <c r="D24" s="193"/>
      <c r="E24" s="193"/>
      <c r="F24" s="193"/>
      <c r="G24" s="194"/>
      <c r="H24" s="193"/>
      <c r="I24" s="193"/>
      <c r="J24" s="193"/>
      <c r="K24" s="193"/>
      <c r="L24" s="193"/>
      <c r="M24" s="193"/>
      <c r="N24" s="193"/>
      <c r="O24" s="193"/>
      <c r="P24" s="44"/>
      <c r="Q24" s="195"/>
      <c r="R24" s="195"/>
      <c r="S24" s="195"/>
      <c r="T24" s="195"/>
      <c r="U24" s="196"/>
      <c r="V24" s="196"/>
      <c r="W24" s="196"/>
      <c r="X24" s="44"/>
      <c r="Y24" s="44"/>
      <c r="Z24" s="44"/>
    </row>
    <row r="25" spans="1:26" ht="15.75" customHeight="1">
      <c r="A25" s="191"/>
      <c r="B25" s="192"/>
      <c r="C25" s="193"/>
      <c r="D25" s="193"/>
      <c r="E25" s="193"/>
      <c r="F25" s="193"/>
      <c r="G25" s="194"/>
      <c r="H25" s="193"/>
      <c r="I25" s="193"/>
      <c r="J25" s="193"/>
      <c r="K25" s="193"/>
      <c r="L25" s="193"/>
      <c r="M25" s="193"/>
      <c r="N25" s="193"/>
      <c r="O25" s="193"/>
      <c r="P25" s="44"/>
      <c r="Q25" s="195"/>
      <c r="R25" s="195"/>
      <c r="S25" s="195"/>
      <c r="T25" s="195"/>
      <c r="U25" s="196"/>
      <c r="V25" s="196"/>
      <c r="W25" s="196"/>
      <c r="X25" s="44"/>
      <c r="Y25" s="44"/>
      <c r="Z25" s="44"/>
    </row>
    <row r="26" spans="1:26" ht="15.75" customHeight="1">
      <c r="A26" s="191"/>
      <c r="B26" s="192"/>
      <c r="C26" s="193"/>
      <c r="D26" s="193"/>
      <c r="E26" s="193"/>
      <c r="F26" s="193"/>
      <c r="G26" s="194"/>
      <c r="H26" s="193"/>
      <c r="I26" s="193"/>
      <c r="J26" s="193"/>
      <c r="K26" s="193"/>
      <c r="L26" s="193"/>
      <c r="M26" s="193"/>
      <c r="N26" s="193"/>
      <c r="O26" s="193"/>
      <c r="P26" s="44"/>
      <c r="Q26" s="195"/>
      <c r="R26" s="195"/>
      <c r="S26" s="195"/>
      <c r="T26" s="195"/>
      <c r="U26" s="196"/>
      <c r="V26" s="196"/>
      <c r="W26" s="196"/>
      <c r="X26" s="44"/>
      <c r="Y26" s="44"/>
      <c r="Z26" s="44"/>
    </row>
    <row r="27" spans="1:26" ht="15.75" customHeight="1">
      <c r="A27" s="197" t="s">
        <v>3497</v>
      </c>
    </row>
    <row r="28" spans="1:26" ht="15.75" customHeight="1"/>
    <row r="29" spans="1:26" ht="15.75" customHeight="1"/>
    <row r="30" spans="1:26" ht="15.75" customHeight="1"/>
    <row r="31" spans="1:26" ht="15.75" customHeight="1"/>
    <row r="32" spans="1:26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8">
    <mergeCell ref="F10:F11"/>
    <mergeCell ref="G10:G11"/>
    <mergeCell ref="H10:H11"/>
    <mergeCell ref="A10:A11"/>
    <mergeCell ref="B10:B11"/>
    <mergeCell ref="C10:C11"/>
    <mergeCell ref="D10:D11"/>
    <mergeCell ref="E10:E11"/>
  </mergeCells>
  <pageMargins left="0.7" right="0.7" top="0.75" bottom="0.75" header="0" footer="0"/>
  <pageSetup orientation="landscape"/>
  <drawing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defaultColWidth="12.625" defaultRowHeight="15" customHeight="1"/>
  <cols>
    <col min="1" max="1" width="13.875" customWidth="1"/>
    <col min="2" max="2" width="99.375" customWidth="1"/>
    <col min="3" max="26" width="7.625" customWidth="1"/>
  </cols>
  <sheetData>
    <row r="1" spans="1:26" ht="14.25">
      <c r="A1" s="198" t="s">
        <v>3498</v>
      </c>
      <c r="B1" s="198" t="s">
        <v>37</v>
      </c>
    </row>
    <row r="2" spans="1:26">
      <c r="A2" s="199" t="s">
        <v>3499</v>
      </c>
      <c r="B2" s="64" t="s">
        <v>3500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</row>
    <row r="3" spans="1:26" ht="14.25">
      <c r="A3" s="198" t="s">
        <v>27</v>
      </c>
      <c r="B3" s="198" t="s">
        <v>3501</v>
      </c>
    </row>
    <row r="4" spans="1:26" ht="32.25" customHeight="1">
      <c r="A4" s="200" t="s">
        <v>613</v>
      </c>
      <c r="B4" s="200" t="s">
        <v>614</v>
      </c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</row>
    <row r="5" spans="1:26">
      <c r="A5" s="200" t="s">
        <v>616</v>
      </c>
      <c r="B5" s="200" t="s">
        <v>617</v>
      </c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4"/>
    </row>
    <row r="6" spans="1:26">
      <c r="A6" s="200" t="s">
        <v>619</v>
      </c>
      <c r="B6" s="200" t="s">
        <v>620</v>
      </c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</row>
    <row r="7" spans="1:26">
      <c r="A7" s="200" t="s">
        <v>622</v>
      </c>
      <c r="B7" s="200" t="s">
        <v>623</v>
      </c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  <c r="Y7" s="44"/>
      <c r="Z7" s="44"/>
    </row>
    <row r="8" spans="1:26">
      <c r="A8" s="200" t="s">
        <v>625</v>
      </c>
      <c r="B8" s="200" t="s">
        <v>626</v>
      </c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  <c r="Z8" s="44"/>
    </row>
    <row r="9" spans="1:26">
      <c r="A9" s="200" t="s">
        <v>629</v>
      </c>
      <c r="B9" s="200" t="s">
        <v>630</v>
      </c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</row>
    <row r="10" spans="1:26">
      <c r="A10" s="200" t="s">
        <v>632</v>
      </c>
      <c r="B10" s="200" t="s">
        <v>633</v>
      </c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</row>
    <row r="11" spans="1:26">
      <c r="A11" s="200" t="s">
        <v>635</v>
      </c>
      <c r="B11" s="200" t="s">
        <v>636</v>
      </c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</row>
    <row r="12" spans="1:26">
      <c r="A12" s="200" t="s">
        <v>638</v>
      </c>
      <c r="B12" s="200" t="s">
        <v>639</v>
      </c>
      <c r="C12" s="44"/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</row>
    <row r="13" spans="1:26">
      <c r="A13" s="200" t="s">
        <v>641</v>
      </c>
      <c r="B13" s="200" t="s">
        <v>642</v>
      </c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</row>
    <row r="14" spans="1:26">
      <c r="A14" s="200" t="s">
        <v>644</v>
      </c>
      <c r="B14" s="200" t="s">
        <v>645</v>
      </c>
      <c r="C14" s="44"/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</row>
    <row r="15" spans="1:26">
      <c r="A15" s="200" t="s">
        <v>647</v>
      </c>
      <c r="B15" s="200" t="s">
        <v>648</v>
      </c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</row>
    <row r="16" spans="1:26">
      <c r="A16" s="200" t="s">
        <v>651</v>
      </c>
      <c r="B16" s="200" t="s">
        <v>652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</row>
    <row r="17" spans="1:26">
      <c r="A17" s="200" t="s">
        <v>654</v>
      </c>
      <c r="B17" s="200" t="s">
        <v>655</v>
      </c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</row>
    <row r="18" spans="1:26">
      <c r="A18" s="200" t="s">
        <v>657</v>
      </c>
      <c r="B18" s="200" t="s">
        <v>658</v>
      </c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</row>
    <row r="19" spans="1:26">
      <c r="A19" s="200" t="s">
        <v>660</v>
      </c>
      <c r="B19" s="200" t="s">
        <v>661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</row>
    <row r="20" spans="1:26">
      <c r="A20" s="200" t="s">
        <v>663</v>
      </c>
      <c r="B20" s="200" t="s">
        <v>664</v>
      </c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</row>
    <row r="21" spans="1:26" ht="15.75" customHeight="1">
      <c r="A21" s="200" t="s">
        <v>666</v>
      </c>
      <c r="B21" s="200" t="s">
        <v>667</v>
      </c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</row>
    <row r="22" spans="1:26" ht="15.75" customHeight="1">
      <c r="A22" s="200" t="s">
        <v>669</v>
      </c>
      <c r="B22" s="200" t="s">
        <v>670</v>
      </c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</row>
    <row r="23" spans="1:26" ht="15.75" customHeight="1">
      <c r="A23" s="200" t="s">
        <v>672</v>
      </c>
      <c r="B23" s="200" t="s">
        <v>673</v>
      </c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</row>
    <row r="24" spans="1:26" ht="15.75" customHeight="1">
      <c r="A24" s="200" t="s">
        <v>675</v>
      </c>
      <c r="B24" s="200" t="s">
        <v>676</v>
      </c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</row>
    <row r="25" spans="1:26" ht="15.75" customHeight="1">
      <c r="A25" s="200" t="s">
        <v>678</v>
      </c>
      <c r="B25" s="200" t="s">
        <v>679</v>
      </c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</row>
    <row r="26" spans="1:26" ht="15.75" customHeight="1">
      <c r="A26" s="200" t="s">
        <v>681</v>
      </c>
      <c r="B26" s="200" t="s">
        <v>682</v>
      </c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</row>
    <row r="27" spans="1:26" ht="15.75" customHeight="1">
      <c r="A27" s="200" t="s">
        <v>684</v>
      </c>
      <c r="B27" s="200" t="s">
        <v>685</v>
      </c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</row>
    <row r="28" spans="1:26" ht="15.75" customHeight="1">
      <c r="A28" s="200" t="s">
        <v>687</v>
      </c>
      <c r="B28" s="200" t="s">
        <v>688</v>
      </c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</row>
    <row r="29" spans="1:26" ht="15.75" customHeight="1">
      <c r="A29" s="200" t="s">
        <v>690</v>
      </c>
      <c r="B29" s="200" t="s">
        <v>691</v>
      </c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</row>
    <row r="30" spans="1:26" ht="15.75" customHeight="1">
      <c r="A30" s="200" t="s">
        <v>693</v>
      </c>
      <c r="B30" s="200" t="s">
        <v>694</v>
      </c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</row>
    <row r="31" spans="1:26" ht="15.75" customHeight="1">
      <c r="A31" s="200" t="s">
        <v>696</v>
      </c>
      <c r="B31" s="200" t="s">
        <v>697</v>
      </c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</row>
    <row r="32" spans="1:26" ht="15.75" customHeight="1">
      <c r="A32" s="200" t="s">
        <v>699</v>
      </c>
      <c r="B32" s="200" t="s">
        <v>700</v>
      </c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4"/>
    </row>
    <row r="33" spans="1:26" ht="15.75" customHeight="1">
      <c r="A33" s="200" t="s">
        <v>702</v>
      </c>
      <c r="B33" s="200" t="s">
        <v>703</v>
      </c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4"/>
    </row>
    <row r="34" spans="1:26" ht="15.75" customHeight="1">
      <c r="A34" s="200" t="s">
        <v>705</v>
      </c>
      <c r="B34" s="200" t="s">
        <v>706</v>
      </c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</row>
    <row r="35" spans="1:26" ht="15.75" customHeight="1">
      <c r="A35" s="200" t="s">
        <v>708</v>
      </c>
      <c r="B35" s="200" t="s">
        <v>709</v>
      </c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</row>
    <row r="36" spans="1:26" ht="15.75" customHeight="1">
      <c r="A36" s="200" t="s">
        <v>711</v>
      </c>
      <c r="B36" s="200" t="s">
        <v>712</v>
      </c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</row>
    <row r="37" spans="1:26" ht="15.75" customHeight="1">
      <c r="A37" s="200" t="s">
        <v>714</v>
      </c>
      <c r="B37" s="200" t="s">
        <v>715</v>
      </c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</row>
    <row r="38" spans="1:26" ht="15.75" customHeight="1">
      <c r="A38" s="200" t="s">
        <v>717</v>
      </c>
      <c r="B38" s="200" t="s">
        <v>718</v>
      </c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</row>
    <row r="39" spans="1:26" ht="15.75" customHeight="1">
      <c r="A39" s="200" t="s">
        <v>719</v>
      </c>
      <c r="B39" s="200" t="s">
        <v>720</v>
      </c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</row>
    <row r="40" spans="1:26" ht="15.75" customHeight="1">
      <c r="A40" s="200" t="s">
        <v>722</v>
      </c>
      <c r="B40" s="200" t="s">
        <v>723</v>
      </c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</row>
    <row r="41" spans="1:26" ht="15.75" customHeight="1">
      <c r="A41" s="200" t="s">
        <v>725</v>
      </c>
      <c r="B41" s="200" t="s">
        <v>726</v>
      </c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</row>
    <row r="42" spans="1:26" ht="15.75" customHeight="1">
      <c r="A42" s="200" t="s">
        <v>728</v>
      </c>
      <c r="B42" s="200" t="s">
        <v>715</v>
      </c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4"/>
    </row>
    <row r="43" spans="1:26" ht="15.75" customHeight="1">
      <c r="A43" s="200" t="s">
        <v>730</v>
      </c>
      <c r="B43" s="200" t="s">
        <v>731</v>
      </c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</row>
    <row r="44" spans="1:26" ht="15.75" customHeight="1">
      <c r="A44" s="200" t="s">
        <v>733</v>
      </c>
      <c r="B44" s="200" t="s">
        <v>734</v>
      </c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</row>
    <row r="45" spans="1:26" ht="15.75" customHeight="1">
      <c r="A45" s="200" t="s">
        <v>736</v>
      </c>
      <c r="B45" s="200" t="s">
        <v>737</v>
      </c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</row>
    <row r="46" spans="1:26" ht="15.75" customHeight="1">
      <c r="A46" s="200" t="s">
        <v>739</v>
      </c>
      <c r="B46" s="200" t="s">
        <v>740</v>
      </c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</row>
    <row r="47" spans="1:26" ht="15.75" customHeight="1">
      <c r="A47" s="200" t="s">
        <v>742</v>
      </c>
      <c r="B47" s="200" t="s">
        <v>743</v>
      </c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</row>
    <row r="48" spans="1:26" ht="15.75" customHeight="1">
      <c r="A48" s="200" t="s">
        <v>745</v>
      </c>
      <c r="B48" s="200" t="s">
        <v>746</v>
      </c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4"/>
    </row>
    <row r="49" spans="1:26" ht="15.75" customHeight="1">
      <c r="A49" s="200" t="s">
        <v>748</v>
      </c>
      <c r="B49" s="200" t="s">
        <v>749</v>
      </c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4"/>
    </row>
    <row r="50" spans="1:26" ht="15.75" customHeight="1">
      <c r="A50" s="200" t="s">
        <v>751</v>
      </c>
      <c r="B50" s="200" t="s">
        <v>752</v>
      </c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4"/>
    </row>
    <row r="51" spans="1:26" ht="15.75" customHeight="1">
      <c r="A51" s="200" t="s">
        <v>754</v>
      </c>
      <c r="B51" s="200" t="s">
        <v>755</v>
      </c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</row>
    <row r="52" spans="1:26" ht="15.75" customHeight="1">
      <c r="A52" s="200" t="s">
        <v>757</v>
      </c>
      <c r="B52" s="200" t="s">
        <v>758</v>
      </c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4"/>
    </row>
    <row r="53" spans="1:26" ht="15.75" customHeight="1">
      <c r="A53" s="200" t="s">
        <v>760</v>
      </c>
      <c r="B53" s="200" t="s">
        <v>761</v>
      </c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4"/>
    </row>
    <row r="54" spans="1:26" ht="15.75" customHeight="1">
      <c r="A54" s="200" t="s">
        <v>763</v>
      </c>
      <c r="B54" s="200" t="s">
        <v>764</v>
      </c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  <c r="Z54" s="44"/>
    </row>
    <row r="55" spans="1:26" ht="15.75" customHeight="1">
      <c r="A55" s="200" t="s">
        <v>766</v>
      </c>
      <c r="B55" s="200" t="s">
        <v>767</v>
      </c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</row>
    <row r="56" spans="1:26" ht="15.75" customHeight="1">
      <c r="A56" s="200" t="s">
        <v>769</v>
      </c>
      <c r="B56" s="200" t="s">
        <v>770</v>
      </c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  <c r="Y56" s="44"/>
      <c r="Z56" s="44"/>
    </row>
    <row r="57" spans="1:26" ht="15.75" customHeight="1">
      <c r="A57" s="200" t="s">
        <v>772</v>
      </c>
      <c r="B57" s="200" t="s">
        <v>773</v>
      </c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44"/>
      <c r="S57" s="44"/>
      <c r="T57" s="44"/>
      <c r="U57" s="44"/>
      <c r="V57" s="44"/>
      <c r="W57" s="44"/>
      <c r="X57" s="44"/>
      <c r="Y57" s="44"/>
      <c r="Z57" s="44"/>
    </row>
    <row r="58" spans="1:26" ht="15.75" customHeight="1">
      <c r="A58" s="200" t="s">
        <v>775</v>
      </c>
      <c r="B58" s="200" t="s">
        <v>776</v>
      </c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  <c r="Z58" s="44"/>
    </row>
    <row r="59" spans="1:26" ht="15.75" customHeight="1">
      <c r="A59" s="200" t="s">
        <v>777</v>
      </c>
      <c r="B59" s="200" t="s">
        <v>778</v>
      </c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  <c r="Z59" s="44"/>
    </row>
    <row r="60" spans="1:26" ht="15.75" customHeight="1">
      <c r="A60" s="200" t="s">
        <v>779</v>
      </c>
      <c r="B60" s="200" t="s">
        <v>780</v>
      </c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</row>
    <row r="61" spans="1:26" ht="15.75" customHeight="1">
      <c r="A61" s="200" t="s">
        <v>782</v>
      </c>
      <c r="B61" s="200" t="s">
        <v>783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</row>
    <row r="62" spans="1:26" ht="15.75" customHeight="1">
      <c r="A62" s="200" t="s">
        <v>785</v>
      </c>
      <c r="B62" s="200" t="s">
        <v>786</v>
      </c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44"/>
      <c r="V62" s="44"/>
      <c r="W62" s="44"/>
      <c r="X62" s="44"/>
      <c r="Y62" s="44"/>
      <c r="Z62" s="44"/>
    </row>
    <row r="63" spans="1:26" ht="15.75" customHeight="1">
      <c r="A63" s="200" t="s">
        <v>788</v>
      </c>
      <c r="B63" s="200" t="s">
        <v>789</v>
      </c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</row>
    <row r="64" spans="1:26" ht="15.75" customHeight="1">
      <c r="A64" s="200" t="s">
        <v>791</v>
      </c>
      <c r="B64" s="200" t="s">
        <v>792</v>
      </c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</row>
    <row r="65" spans="1:26" ht="15.75" customHeight="1">
      <c r="A65" s="200" t="s">
        <v>794</v>
      </c>
      <c r="B65" s="200" t="s">
        <v>795</v>
      </c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4"/>
    </row>
    <row r="66" spans="1:26" ht="15.75" customHeight="1">
      <c r="A66" s="200" t="s">
        <v>797</v>
      </c>
      <c r="B66" s="200" t="s">
        <v>798</v>
      </c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4"/>
      <c r="Z66" s="44"/>
    </row>
    <row r="67" spans="1:26" ht="15.75" customHeight="1">
      <c r="A67" s="200" t="s">
        <v>800</v>
      </c>
      <c r="B67" s="200" t="s">
        <v>801</v>
      </c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4"/>
      <c r="Z67" s="44"/>
    </row>
    <row r="68" spans="1:26" ht="15.75" customHeight="1">
      <c r="A68" s="200" t="s">
        <v>803</v>
      </c>
      <c r="B68" s="200" t="s">
        <v>804</v>
      </c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4"/>
      <c r="Z68" s="44"/>
    </row>
    <row r="69" spans="1:26" ht="15.75" customHeight="1">
      <c r="A69" s="200" t="s">
        <v>806</v>
      </c>
      <c r="B69" s="200" t="s">
        <v>807</v>
      </c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  <c r="Z69" s="44"/>
    </row>
    <row r="70" spans="1:26" ht="15.75" customHeight="1">
      <c r="A70" s="200" t="s">
        <v>809</v>
      </c>
      <c r="B70" s="200" t="s">
        <v>810</v>
      </c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4"/>
    </row>
    <row r="71" spans="1:26" ht="15.75" customHeight="1">
      <c r="A71" s="200" t="s">
        <v>812</v>
      </c>
      <c r="B71" s="200" t="s">
        <v>813</v>
      </c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4"/>
      <c r="Z71" s="44"/>
    </row>
    <row r="72" spans="1:26" ht="15.75" customHeight="1">
      <c r="A72" s="200" t="s">
        <v>815</v>
      </c>
      <c r="B72" s="200" t="s">
        <v>816</v>
      </c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4"/>
      <c r="S72" s="44"/>
      <c r="T72" s="44"/>
      <c r="U72" s="44"/>
      <c r="V72" s="44"/>
      <c r="W72" s="44"/>
      <c r="X72" s="44"/>
      <c r="Y72" s="44"/>
      <c r="Z72" s="44"/>
    </row>
    <row r="73" spans="1:26" ht="15.75" customHeight="1">
      <c r="A73" s="200" t="s">
        <v>818</v>
      </c>
      <c r="B73" s="200" t="s">
        <v>819</v>
      </c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44"/>
      <c r="Z73" s="44"/>
    </row>
    <row r="74" spans="1:26" ht="15.75" customHeight="1">
      <c r="A74" s="200" t="s">
        <v>821</v>
      </c>
      <c r="B74" s="200" t="s">
        <v>822</v>
      </c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  <c r="S74" s="44"/>
      <c r="T74" s="44"/>
      <c r="U74" s="44"/>
      <c r="V74" s="44"/>
      <c r="W74" s="44"/>
      <c r="X74" s="44"/>
      <c r="Y74" s="44"/>
      <c r="Z74" s="44"/>
    </row>
    <row r="75" spans="1:26" ht="15.75" customHeight="1">
      <c r="A75" s="200" t="s">
        <v>824</v>
      </c>
      <c r="B75" s="200" t="s">
        <v>825</v>
      </c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4"/>
      <c r="S75" s="44"/>
      <c r="T75" s="44"/>
      <c r="U75" s="44"/>
      <c r="V75" s="44"/>
      <c r="W75" s="44"/>
      <c r="X75" s="44"/>
      <c r="Y75" s="44"/>
      <c r="Z75" s="44"/>
    </row>
    <row r="76" spans="1:26" ht="15.75" customHeight="1">
      <c r="A76" s="200" t="s">
        <v>827</v>
      </c>
      <c r="B76" s="200" t="s">
        <v>828</v>
      </c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44"/>
      <c r="Z76" s="44"/>
    </row>
    <row r="77" spans="1:26" ht="15.75" customHeight="1">
      <c r="A77" s="200" t="s">
        <v>830</v>
      </c>
      <c r="B77" s="200" t="s">
        <v>831</v>
      </c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4"/>
      <c r="X77" s="44"/>
      <c r="Y77" s="44"/>
      <c r="Z77" s="44"/>
    </row>
    <row r="78" spans="1:26" ht="15.75" customHeight="1">
      <c r="A78" s="200" t="s">
        <v>833</v>
      </c>
      <c r="B78" s="200" t="s">
        <v>834</v>
      </c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44"/>
      <c r="X78" s="44"/>
      <c r="Y78" s="44"/>
      <c r="Z78" s="44"/>
    </row>
    <row r="79" spans="1:26" ht="15.75" customHeight="1">
      <c r="A79" s="200" t="s">
        <v>836</v>
      </c>
      <c r="B79" s="200" t="s">
        <v>837</v>
      </c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44"/>
      <c r="Z79" s="44"/>
    </row>
    <row r="80" spans="1:26" ht="15.75" customHeight="1">
      <c r="A80" s="200" t="s">
        <v>839</v>
      </c>
      <c r="B80" s="200" t="s">
        <v>840</v>
      </c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4"/>
      <c r="Z80" s="44"/>
    </row>
    <row r="81" spans="1:26" ht="15.75" customHeight="1">
      <c r="A81" s="200" t="s">
        <v>842</v>
      </c>
      <c r="B81" s="200" t="s">
        <v>843</v>
      </c>
      <c r="C81" s="44"/>
      <c r="D81" s="44"/>
      <c r="E81" s="44"/>
      <c r="F81" s="44"/>
      <c r="G81" s="44"/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4"/>
      <c r="Z81" s="44"/>
    </row>
    <row r="82" spans="1:26" ht="15.75" customHeight="1">
      <c r="A82" s="200" t="s">
        <v>845</v>
      </c>
      <c r="B82" s="200" t="s">
        <v>846</v>
      </c>
      <c r="C82" s="44"/>
      <c r="D82" s="44"/>
      <c r="E82" s="44"/>
      <c r="F82" s="44"/>
      <c r="G82" s="44"/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4"/>
      <c r="Z82" s="44"/>
    </row>
    <row r="83" spans="1:26" ht="15.75" customHeight="1">
      <c r="A83" s="200" t="s">
        <v>848</v>
      </c>
      <c r="B83" s="200" t="s">
        <v>849</v>
      </c>
      <c r="C83" s="44"/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</row>
    <row r="84" spans="1:26" ht="15.75" customHeight="1">
      <c r="A84" s="200" t="s">
        <v>851</v>
      </c>
      <c r="B84" s="200" t="s">
        <v>852</v>
      </c>
      <c r="C84" s="44"/>
      <c r="D84" s="44"/>
      <c r="E84" s="44"/>
      <c r="F84" s="44"/>
      <c r="G84" s="44"/>
      <c r="H84" s="44"/>
      <c r="I84" s="44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44"/>
      <c r="Z84" s="44"/>
    </row>
    <row r="85" spans="1:26" ht="15.75" customHeight="1">
      <c r="A85" s="200" t="s">
        <v>854</v>
      </c>
      <c r="B85" s="200" t="s">
        <v>855</v>
      </c>
      <c r="C85" s="44"/>
      <c r="D85" s="44"/>
      <c r="E85" s="44"/>
      <c r="F85" s="44"/>
      <c r="G85" s="44"/>
      <c r="H85" s="44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44"/>
      <c r="Z85" s="44"/>
    </row>
    <row r="86" spans="1:26" ht="15.75" customHeight="1">
      <c r="A86" s="200" t="s">
        <v>857</v>
      </c>
      <c r="B86" s="200" t="s">
        <v>858</v>
      </c>
      <c r="C86" s="44"/>
      <c r="D86" s="44"/>
      <c r="E86" s="44"/>
      <c r="F86" s="44"/>
      <c r="G86" s="44"/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44"/>
      <c r="Z86" s="44"/>
    </row>
    <row r="87" spans="1:26" ht="15.75" customHeight="1">
      <c r="A87" s="200" t="s">
        <v>860</v>
      </c>
      <c r="B87" s="200" t="s">
        <v>861</v>
      </c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44"/>
      <c r="U87" s="44"/>
      <c r="V87" s="44"/>
      <c r="W87" s="44"/>
      <c r="X87" s="44"/>
      <c r="Y87" s="44"/>
      <c r="Z87" s="44"/>
    </row>
    <row r="88" spans="1:26" ht="15.75" customHeight="1">
      <c r="A88" s="200" t="s">
        <v>863</v>
      </c>
      <c r="B88" s="200" t="s">
        <v>864</v>
      </c>
      <c r="C88" s="44"/>
      <c r="D88" s="44"/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44"/>
      <c r="Z88" s="44"/>
    </row>
    <row r="89" spans="1:26" ht="15.75" customHeight="1">
      <c r="A89" s="200" t="s">
        <v>866</v>
      </c>
      <c r="B89" s="200" t="s">
        <v>867</v>
      </c>
      <c r="C89" s="44"/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  <c r="Z89" s="44"/>
    </row>
    <row r="90" spans="1:26" ht="15.75" customHeight="1">
      <c r="A90" s="200" t="s">
        <v>869</v>
      </c>
      <c r="B90" s="200" t="s">
        <v>870</v>
      </c>
      <c r="C90" s="44"/>
      <c r="D90" s="44"/>
      <c r="E90" s="44"/>
      <c r="F90" s="44"/>
      <c r="G90" s="44"/>
      <c r="H90" s="44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44"/>
      <c r="U90" s="44"/>
      <c r="V90" s="44"/>
      <c r="W90" s="44"/>
      <c r="X90" s="44"/>
      <c r="Y90" s="44"/>
      <c r="Z90" s="44"/>
    </row>
    <row r="91" spans="1:26" ht="15.75" customHeight="1">
      <c r="A91" s="200" t="s">
        <v>872</v>
      </c>
      <c r="B91" s="200" t="s">
        <v>873</v>
      </c>
      <c r="C91" s="44"/>
      <c r="D91" s="44"/>
      <c r="E91" s="44"/>
      <c r="F91" s="44"/>
      <c r="G91" s="44"/>
      <c r="H91" s="44"/>
      <c r="I91" s="44"/>
      <c r="J91" s="44"/>
      <c r="K91" s="44"/>
      <c r="L91" s="44"/>
      <c r="M91" s="44"/>
      <c r="N91" s="44"/>
      <c r="O91" s="44"/>
      <c r="P91" s="44"/>
      <c r="Q91" s="44"/>
      <c r="R91" s="44"/>
      <c r="S91" s="44"/>
      <c r="T91" s="44"/>
      <c r="U91" s="44"/>
      <c r="V91" s="44"/>
      <c r="W91" s="44"/>
      <c r="X91" s="44"/>
      <c r="Y91" s="44"/>
      <c r="Z91" s="44"/>
    </row>
    <row r="92" spans="1:26" ht="15.75" customHeight="1">
      <c r="A92" s="200" t="s">
        <v>875</v>
      </c>
      <c r="B92" s="200" t="s">
        <v>876</v>
      </c>
      <c r="C92" s="44"/>
      <c r="D92" s="44"/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44"/>
      <c r="V92" s="44"/>
      <c r="W92" s="44"/>
      <c r="X92" s="44"/>
      <c r="Y92" s="44"/>
      <c r="Z92" s="44"/>
    </row>
    <row r="93" spans="1:26" ht="15.75" customHeight="1">
      <c r="A93" s="200" t="s">
        <v>878</v>
      </c>
      <c r="B93" s="200" t="s">
        <v>879</v>
      </c>
      <c r="C93" s="44"/>
      <c r="D93" s="44"/>
      <c r="E93" s="44"/>
      <c r="F93" s="44"/>
      <c r="G93" s="44"/>
      <c r="H93" s="44"/>
      <c r="I93" s="44"/>
      <c r="J93" s="44"/>
      <c r="K93" s="44"/>
      <c r="L93" s="44"/>
      <c r="M93" s="44"/>
      <c r="N93" s="44"/>
      <c r="O93" s="44"/>
      <c r="P93" s="44"/>
      <c r="Q93" s="44"/>
      <c r="R93" s="44"/>
      <c r="S93" s="44"/>
      <c r="T93" s="44"/>
      <c r="U93" s="44"/>
      <c r="V93" s="44"/>
      <c r="W93" s="44"/>
      <c r="X93" s="44"/>
      <c r="Y93" s="44"/>
      <c r="Z93" s="44"/>
    </row>
    <row r="94" spans="1:26" ht="15.75" customHeight="1">
      <c r="A94" s="200" t="s">
        <v>881</v>
      </c>
      <c r="B94" s="200" t="s">
        <v>882</v>
      </c>
      <c r="C94" s="44"/>
      <c r="D94" s="44"/>
      <c r="E94" s="44"/>
      <c r="F94" s="44"/>
      <c r="G94" s="44"/>
      <c r="H94" s="44"/>
      <c r="I94" s="44"/>
      <c r="J94" s="44"/>
      <c r="K94" s="44"/>
      <c r="L94" s="44"/>
      <c r="M94" s="44"/>
      <c r="N94" s="44"/>
      <c r="O94" s="44"/>
      <c r="P94" s="44"/>
      <c r="Q94" s="44"/>
      <c r="R94" s="44"/>
      <c r="S94" s="44"/>
      <c r="T94" s="44"/>
      <c r="U94" s="44"/>
      <c r="V94" s="44"/>
      <c r="W94" s="44"/>
      <c r="X94" s="44"/>
      <c r="Y94" s="44"/>
      <c r="Z94" s="44"/>
    </row>
    <row r="95" spans="1:26" ht="15.75" customHeight="1">
      <c r="A95" s="200" t="s">
        <v>884</v>
      </c>
      <c r="B95" s="200" t="s">
        <v>885</v>
      </c>
      <c r="C95" s="44"/>
      <c r="D95" s="44"/>
      <c r="E95" s="44"/>
      <c r="F95" s="44"/>
      <c r="G95" s="44"/>
      <c r="H95" s="44"/>
      <c r="I95" s="44"/>
      <c r="J95" s="44"/>
      <c r="K95" s="44"/>
      <c r="L95" s="44"/>
      <c r="M95" s="44"/>
      <c r="N95" s="44"/>
      <c r="O95" s="44"/>
      <c r="P95" s="44"/>
      <c r="Q95" s="44"/>
      <c r="R95" s="44"/>
      <c r="S95" s="44"/>
      <c r="T95" s="44"/>
      <c r="U95" s="44"/>
      <c r="V95" s="44"/>
      <c r="W95" s="44"/>
      <c r="X95" s="44"/>
      <c r="Y95" s="44"/>
      <c r="Z95" s="44"/>
    </row>
    <row r="96" spans="1:26" ht="15.75" customHeight="1">
      <c r="A96" s="200" t="s">
        <v>887</v>
      </c>
      <c r="B96" s="200" t="s">
        <v>888</v>
      </c>
      <c r="C96" s="44"/>
      <c r="D96" s="44"/>
      <c r="E96" s="44"/>
      <c r="F96" s="44"/>
      <c r="G96" s="44"/>
      <c r="H96" s="44"/>
      <c r="I96" s="44"/>
      <c r="J96" s="44"/>
      <c r="K96" s="44"/>
      <c r="L96" s="44"/>
      <c r="M96" s="44"/>
      <c r="N96" s="44"/>
      <c r="O96" s="44"/>
      <c r="P96" s="44"/>
      <c r="Q96" s="44"/>
      <c r="R96" s="44"/>
      <c r="S96" s="44"/>
      <c r="T96" s="44"/>
      <c r="U96" s="44"/>
      <c r="V96" s="44"/>
      <c r="W96" s="44"/>
      <c r="X96" s="44"/>
      <c r="Y96" s="44"/>
      <c r="Z96" s="44"/>
    </row>
    <row r="97" spans="1:26" ht="15.75" customHeight="1">
      <c r="A97" s="200" t="s">
        <v>3502</v>
      </c>
      <c r="B97" s="200" t="s">
        <v>3503</v>
      </c>
      <c r="C97" s="44"/>
      <c r="D97" s="44"/>
      <c r="E97" s="44"/>
      <c r="F97" s="44"/>
      <c r="G97" s="44"/>
      <c r="H97" s="44"/>
      <c r="I97" s="44"/>
      <c r="J97" s="44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44"/>
      <c r="V97" s="44"/>
      <c r="W97" s="44"/>
      <c r="X97" s="44"/>
      <c r="Y97" s="44"/>
      <c r="Z97" s="44"/>
    </row>
    <row r="98" spans="1:26" ht="15.75" customHeight="1">
      <c r="A98" s="200" t="s">
        <v>890</v>
      </c>
      <c r="B98" s="200" t="s">
        <v>891</v>
      </c>
      <c r="C98" s="44"/>
      <c r="D98" s="44"/>
      <c r="E98" s="44"/>
      <c r="F98" s="44"/>
      <c r="G98" s="44"/>
      <c r="H98" s="44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4"/>
      <c r="W98" s="44"/>
      <c r="X98" s="44"/>
      <c r="Y98" s="44"/>
      <c r="Z98" s="44"/>
    </row>
    <row r="99" spans="1:26" ht="15.75" customHeight="1">
      <c r="A99" s="200" t="s">
        <v>893</v>
      </c>
      <c r="B99" s="200" t="s">
        <v>894</v>
      </c>
      <c r="C99" s="44"/>
      <c r="D99" s="44"/>
      <c r="E99" s="44"/>
      <c r="F99" s="44"/>
      <c r="G99" s="44"/>
      <c r="H99" s="44"/>
      <c r="I99" s="44"/>
      <c r="J99" s="44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44"/>
      <c r="V99" s="44"/>
      <c r="W99" s="44"/>
      <c r="X99" s="44"/>
      <c r="Y99" s="44"/>
      <c r="Z99" s="44"/>
    </row>
    <row r="100" spans="1:26" ht="15.75" customHeight="1">
      <c r="A100" s="200" t="s">
        <v>896</v>
      </c>
      <c r="B100" s="200" t="s">
        <v>897</v>
      </c>
      <c r="C100" s="44"/>
      <c r="D100" s="44"/>
      <c r="E100" s="44"/>
      <c r="F100" s="44"/>
      <c r="G100" s="44"/>
      <c r="H100" s="44"/>
      <c r="I100" s="44"/>
      <c r="J100" s="44"/>
      <c r="K100" s="44"/>
      <c r="L100" s="44"/>
      <c r="M100" s="44"/>
      <c r="N100" s="44"/>
      <c r="O100" s="44"/>
      <c r="P100" s="44"/>
      <c r="Q100" s="44"/>
      <c r="R100" s="44"/>
      <c r="S100" s="44"/>
      <c r="T100" s="44"/>
      <c r="U100" s="44"/>
      <c r="V100" s="44"/>
      <c r="W100" s="44"/>
      <c r="X100" s="44"/>
      <c r="Y100" s="44"/>
      <c r="Z100" s="44"/>
    </row>
    <row r="101" spans="1:26" ht="15.75" customHeight="1">
      <c r="A101" s="200" t="s">
        <v>899</v>
      </c>
      <c r="B101" s="200" t="s">
        <v>900</v>
      </c>
      <c r="C101" s="44"/>
      <c r="D101" s="44"/>
      <c r="E101" s="44"/>
      <c r="F101" s="44"/>
      <c r="G101" s="44"/>
      <c r="H101" s="44"/>
      <c r="I101" s="44"/>
      <c r="J101" s="44"/>
      <c r="K101" s="44"/>
      <c r="L101" s="44"/>
      <c r="M101" s="44"/>
      <c r="N101" s="44"/>
      <c r="O101" s="44"/>
      <c r="P101" s="44"/>
      <c r="Q101" s="44"/>
      <c r="R101" s="44"/>
      <c r="S101" s="44"/>
      <c r="T101" s="44"/>
      <c r="U101" s="44"/>
      <c r="V101" s="44"/>
      <c r="W101" s="44"/>
      <c r="X101" s="44"/>
      <c r="Y101" s="44"/>
      <c r="Z101" s="44"/>
    </row>
    <row r="102" spans="1:26" ht="15.75" customHeight="1">
      <c r="A102" s="200" t="s">
        <v>902</v>
      </c>
      <c r="B102" s="200" t="s">
        <v>903</v>
      </c>
      <c r="C102" s="44"/>
      <c r="D102" s="44"/>
      <c r="E102" s="44"/>
      <c r="F102" s="44"/>
      <c r="G102" s="44"/>
      <c r="H102" s="44"/>
      <c r="I102" s="44"/>
      <c r="J102" s="44"/>
      <c r="K102" s="44"/>
      <c r="L102" s="44"/>
      <c r="M102" s="44"/>
      <c r="N102" s="44"/>
      <c r="O102" s="44"/>
      <c r="P102" s="44"/>
      <c r="Q102" s="44"/>
      <c r="R102" s="44"/>
      <c r="S102" s="44"/>
      <c r="T102" s="44"/>
      <c r="U102" s="44"/>
      <c r="V102" s="44"/>
      <c r="W102" s="44"/>
      <c r="X102" s="44"/>
      <c r="Y102" s="44"/>
      <c r="Z102" s="44"/>
    </row>
    <row r="103" spans="1:26" ht="15.75" customHeight="1">
      <c r="A103" s="200" t="s">
        <v>905</v>
      </c>
      <c r="B103" s="200" t="s">
        <v>906</v>
      </c>
      <c r="C103" s="44"/>
      <c r="D103" s="44"/>
      <c r="E103" s="44"/>
      <c r="F103" s="44"/>
      <c r="G103" s="44"/>
      <c r="H103" s="44"/>
      <c r="I103" s="44"/>
      <c r="J103" s="44"/>
      <c r="K103" s="44"/>
      <c r="L103" s="44"/>
      <c r="M103" s="44"/>
      <c r="N103" s="44"/>
      <c r="O103" s="44"/>
      <c r="P103" s="44"/>
      <c r="Q103" s="44"/>
      <c r="R103" s="44"/>
      <c r="S103" s="44"/>
      <c r="T103" s="44"/>
      <c r="U103" s="44"/>
      <c r="V103" s="44"/>
      <c r="W103" s="44"/>
      <c r="X103" s="44"/>
      <c r="Y103" s="44"/>
      <c r="Z103" s="44"/>
    </row>
    <row r="104" spans="1:26" ht="15.75" customHeight="1">
      <c r="A104" s="200" t="s">
        <v>908</v>
      </c>
      <c r="B104" s="200" t="s">
        <v>909</v>
      </c>
      <c r="C104" s="44"/>
      <c r="D104" s="44"/>
      <c r="E104" s="44"/>
      <c r="F104" s="44"/>
      <c r="G104" s="44"/>
      <c r="H104" s="44"/>
      <c r="I104" s="44"/>
      <c r="J104" s="44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44"/>
      <c r="V104" s="44"/>
      <c r="W104" s="44"/>
      <c r="X104" s="44"/>
      <c r="Y104" s="44"/>
      <c r="Z104" s="44"/>
    </row>
    <row r="105" spans="1:26" ht="15.75" customHeight="1">
      <c r="A105" s="200" t="s">
        <v>911</v>
      </c>
      <c r="B105" s="200" t="s">
        <v>912</v>
      </c>
      <c r="C105" s="44"/>
      <c r="D105" s="44"/>
      <c r="E105" s="44"/>
      <c r="F105" s="44"/>
      <c r="G105" s="44"/>
      <c r="H105" s="44"/>
      <c r="I105" s="44"/>
      <c r="J105" s="44"/>
      <c r="K105" s="44"/>
      <c r="L105" s="44"/>
      <c r="M105" s="44"/>
      <c r="N105" s="44"/>
      <c r="O105" s="44"/>
      <c r="P105" s="44"/>
      <c r="Q105" s="44"/>
      <c r="R105" s="44"/>
      <c r="S105" s="44"/>
      <c r="T105" s="44"/>
      <c r="U105" s="44"/>
      <c r="V105" s="44"/>
      <c r="W105" s="44"/>
      <c r="X105" s="44"/>
      <c r="Y105" s="44"/>
      <c r="Z105" s="44"/>
    </row>
    <row r="106" spans="1:26" ht="15.75" customHeight="1">
      <c r="A106" s="200" t="s">
        <v>914</v>
      </c>
      <c r="B106" s="200" t="s">
        <v>915</v>
      </c>
      <c r="C106" s="44"/>
      <c r="D106" s="44"/>
      <c r="E106" s="44"/>
      <c r="F106" s="44"/>
      <c r="G106" s="44"/>
      <c r="H106" s="44"/>
      <c r="I106" s="44"/>
      <c r="J106" s="44"/>
      <c r="K106" s="44"/>
      <c r="L106" s="44"/>
      <c r="M106" s="44"/>
      <c r="N106" s="44"/>
      <c r="O106" s="44"/>
      <c r="P106" s="44"/>
      <c r="Q106" s="44"/>
      <c r="R106" s="44"/>
      <c r="S106" s="44"/>
      <c r="T106" s="44"/>
      <c r="U106" s="44"/>
      <c r="V106" s="44"/>
      <c r="W106" s="44"/>
      <c r="X106" s="44"/>
      <c r="Y106" s="44"/>
      <c r="Z106" s="44"/>
    </row>
    <row r="107" spans="1:26" ht="15.75" customHeight="1">
      <c r="A107" s="200" t="s">
        <v>918</v>
      </c>
      <c r="B107" s="200" t="s">
        <v>919</v>
      </c>
      <c r="C107" s="44"/>
      <c r="D107" s="44"/>
      <c r="E107" s="44"/>
      <c r="F107" s="44"/>
      <c r="G107" s="44"/>
      <c r="H107" s="44"/>
      <c r="I107" s="44"/>
      <c r="J107" s="44"/>
      <c r="K107" s="44"/>
      <c r="L107" s="44"/>
      <c r="M107" s="44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44"/>
      <c r="Z107" s="44"/>
    </row>
    <row r="108" spans="1:26" ht="15.75" customHeight="1">
      <c r="A108" s="200" t="s">
        <v>921</v>
      </c>
      <c r="B108" s="200" t="s">
        <v>922</v>
      </c>
      <c r="C108" s="44"/>
      <c r="D108" s="44"/>
      <c r="E108" s="44"/>
      <c r="F108" s="44"/>
      <c r="G108" s="44"/>
      <c r="H108" s="44"/>
      <c r="I108" s="44"/>
      <c r="J108" s="44"/>
      <c r="K108" s="44"/>
      <c r="L108" s="44"/>
      <c r="M108" s="44"/>
      <c r="N108" s="44"/>
      <c r="O108" s="44"/>
      <c r="P108" s="44"/>
      <c r="Q108" s="44"/>
      <c r="R108" s="44"/>
      <c r="S108" s="44"/>
      <c r="T108" s="44"/>
      <c r="U108" s="44"/>
      <c r="V108" s="44"/>
      <c r="W108" s="44"/>
      <c r="X108" s="44"/>
      <c r="Y108" s="44"/>
      <c r="Z108" s="44"/>
    </row>
    <row r="109" spans="1:26" ht="15.75" customHeight="1">
      <c r="A109" s="200" t="s">
        <v>924</v>
      </c>
      <c r="B109" s="200" t="s">
        <v>925</v>
      </c>
      <c r="C109" s="44"/>
      <c r="D109" s="44"/>
      <c r="E109" s="44"/>
      <c r="F109" s="44"/>
      <c r="G109" s="44"/>
      <c r="H109" s="44"/>
      <c r="I109" s="44"/>
      <c r="J109" s="44"/>
      <c r="K109" s="44"/>
      <c r="L109" s="44"/>
      <c r="M109" s="44"/>
      <c r="N109" s="44"/>
      <c r="O109" s="44"/>
      <c r="P109" s="44"/>
      <c r="Q109" s="44"/>
      <c r="R109" s="44"/>
      <c r="S109" s="44"/>
      <c r="T109" s="44"/>
      <c r="U109" s="44"/>
      <c r="V109" s="44"/>
      <c r="W109" s="44"/>
      <c r="X109" s="44"/>
      <c r="Y109" s="44"/>
      <c r="Z109" s="44"/>
    </row>
    <row r="110" spans="1:26" ht="15.75" customHeight="1">
      <c r="A110" s="200" t="s">
        <v>927</v>
      </c>
      <c r="B110" s="200" t="s">
        <v>928</v>
      </c>
      <c r="C110" s="44"/>
      <c r="D110" s="44"/>
      <c r="E110" s="44"/>
      <c r="F110" s="44"/>
      <c r="G110" s="44"/>
      <c r="H110" s="44"/>
      <c r="I110" s="44"/>
      <c r="J110" s="44"/>
      <c r="K110" s="44"/>
      <c r="L110" s="44"/>
      <c r="M110" s="44"/>
      <c r="N110" s="44"/>
      <c r="O110" s="44"/>
      <c r="P110" s="44"/>
      <c r="Q110" s="44"/>
      <c r="R110" s="44"/>
      <c r="S110" s="44"/>
      <c r="T110" s="44"/>
      <c r="U110" s="44"/>
      <c r="V110" s="44"/>
      <c r="W110" s="44"/>
      <c r="X110" s="44"/>
      <c r="Y110" s="44"/>
      <c r="Z110" s="44"/>
    </row>
    <row r="111" spans="1:26" ht="15.75" customHeight="1">
      <c r="A111" s="200" t="s">
        <v>931</v>
      </c>
      <c r="B111" s="200" t="s">
        <v>932</v>
      </c>
      <c r="C111" s="44"/>
      <c r="D111" s="44"/>
      <c r="E111" s="44"/>
      <c r="F111" s="44"/>
      <c r="G111" s="44"/>
      <c r="H111" s="44"/>
      <c r="I111" s="44"/>
      <c r="J111" s="44"/>
      <c r="K111" s="44"/>
      <c r="L111" s="44"/>
      <c r="M111" s="44"/>
      <c r="N111" s="44"/>
      <c r="O111" s="44"/>
      <c r="P111" s="44"/>
      <c r="Q111" s="44"/>
      <c r="R111" s="44"/>
      <c r="S111" s="44"/>
      <c r="T111" s="44"/>
      <c r="U111" s="44"/>
      <c r="V111" s="44"/>
      <c r="W111" s="44"/>
      <c r="X111" s="44"/>
      <c r="Y111" s="44"/>
      <c r="Z111" s="44"/>
    </row>
    <row r="112" spans="1:26" ht="15.75" customHeight="1">
      <c r="A112" s="200" t="s">
        <v>934</v>
      </c>
      <c r="B112" s="200" t="s">
        <v>935</v>
      </c>
      <c r="C112" s="44"/>
      <c r="D112" s="44"/>
      <c r="E112" s="44"/>
      <c r="F112" s="44"/>
      <c r="G112" s="44"/>
      <c r="H112" s="44"/>
      <c r="I112" s="44"/>
      <c r="J112" s="44"/>
      <c r="K112" s="44"/>
      <c r="L112" s="44"/>
      <c r="M112" s="44"/>
      <c r="N112" s="44"/>
      <c r="O112" s="44"/>
      <c r="P112" s="44"/>
      <c r="Q112" s="44"/>
      <c r="R112" s="44"/>
      <c r="S112" s="44"/>
      <c r="T112" s="44"/>
      <c r="U112" s="44"/>
      <c r="V112" s="44"/>
      <c r="W112" s="44"/>
      <c r="X112" s="44"/>
      <c r="Y112" s="44"/>
      <c r="Z112" s="44"/>
    </row>
    <row r="113" spans="1:26" ht="15.75" customHeight="1">
      <c r="A113" s="200" t="s">
        <v>937</v>
      </c>
      <c r="B113" s="200" t="s">
        <v>938</v>
      </c>
      <c r="C113" s="44"/>
      <c r="D113" s="44"/>
      <c r="E113" s="44"/>
      <c r="F113" s="44"/>
      <c r="G113" s="44"/>
      <c r="H113" s="44"/>
      <c r="I113" s="44"/>
      <c r="J113" s="44"/>
      <c r="K113" s="44"/>
      <c r="L113" s="44"/>
      <c r="M113" s="44"/>
      <c r="N113" s="44"/>
      <c r="O113" s="44"/>
      <c r="P113" s="44"/>
      <c r="Q113" s="44"/>
      <c r="R113" s="44"/>
      <c r="S113" s="44"/>
      <c r="T113" s="44"/>
      <c r="U113" s="44"/>
      <c r="V113" s="44"/>
      <c r="W113" s="44"/>
      <c r="X113" s="44"/>
      <c r="Y113" s="44"/>
      <c r="Z113" s="44"/>
    </row>
    <row r="114" spans="1:26" ht="15.75" customHeight="1">
      <c r="A114" s="200" t="s">
        <v>940</v>
      </c>
      <c r="B114" s="200" t="s">
        <v>941</v>
      </c>
      <c r="C114" s="44"/>
      <c r="D114" s="44"/>
      <c r="E114" s="44"/>
      <c r="F114" s="44"/>
      <c r="G114" s="44"/>
      <c r="H114" s="44"/>
      <c r="I114" s="44"/>
      <c r="J114" s="44"/>
      <c r="K114" s="44"/>
      <c r="L114" s="44"/>
      <c r="M114" s="44"/>
      <c r="N114" s="44"/>
      <c r="O114" s="44"/>
      <c r="P114" s="44"/>
      <c r="Q114" s="44"/>
      <c r="R114" s="44"/>
      <c r="S114" s="44"/>
      <c r="T114" s="44"/>
      <c r="U114" s="44"/>
      <c r="V114" s="44"/>
      <c r="W114" s="44"/>
      <c r="X114" s="44"/>
      <c r="Y114" s="44"/>
      <c r="Z114" s="44"/>
    </row>
    <row r="115" spans="1:26" ht="15.75" customHeight="1">
      <c r="A115" s="200" t="s">
        <v>943</v>
      </c>
      <c r="B115" s="200" t="s">
        <v>944</v>
      </c>
      <c r="C115" s="44"/>
      <c r="D115" s="44"/>
      <c r="E115" s="44"/>
      <c r="F115" s="44"/>
      <c r="G115" s="44"/>
      <c r="H115" s="44"/>
      <c r="I115" s="44"/>
      <c r="J115" s="44"/>
      <c r="K115" s="44"/>
      <c r="L115" s="44"/>
      <c r="M115" s="44"/>
      <c r="N115" s="44"/>
      <c r="O115" s="44"/>
      <c r="P115" s="44"/>
      <c r="Q115" s="44"/>
      <c r="R115" s="44"/>
      <c r="S115" s="44"/>
      <c r="T115" s="44"/>
      <c r="U115" s="44"/>
      <c r="V115" s="44"/>
      <c r="W115" s="44"/>
      <c r="X115" s="44"/>
      <c r="Y115" s="44"/>
      <c r="Z115" s="44"/>
    </row>
    <row r="116" spans="1:26" ht="15.75" customHeight="1">
      <c r="A116" s="200" t="s">
        <v>946</v>
      </c>
      <c r="B116" s="200" t="s">
        <v>947</v>
      </c>
      <c r="C116" s="44"/>
      <c r="D116" s="44"/>
      <c r="E116" s="44"/>
      <c r="F116" s="44"/>
      <c r="G116" s="44"/>
      <c r="H116" s="44"/>
      <c r="I116" s="44"/>
      <c r="J116" s="44"/>
      <c r="K116" s="44"/>
      <c r="L116" s="44"/>
      <c r="M116" s="44"/>
      <c r="N116" s="44"/>
      <c r="O116" s="44"/>
      <c r="P116" s="44"/>
      <c r="Q116" s="44"/>
      <c r="R116" s="44"/>
      <c r="S116" s="44"/>
      <c r="T116" s="44"/>
      <c r="U116" s="44"/>
      <c r="V116" s="44"/>
      <c r="W116" s="44"/>
      <c r="X116" s="44"/>
      <c r="Y116" s="44"/>
      <c r="Z116" s="44"/>
    </row>
    <row r="117" spans="1:26" ht="15.75" customHeight="1">
      <c r="A117" s="200" t="s">
        <v>949</v>
      </c>
      <c r="B117" s="200" t="s">
        <v>950</v>
      </c>
      <c r="C117" s="44"/>
      <c r="D117" s="44"/>
      <c r="E117" s="44"/>
      <c r="F117" s="44"/>
      <c r="G117" s="44"/>
      <c r="H117" s="44"/>
      <c r="I117" s="44"/>
      <c r="J117" s="44"/>
      <c r="K117" s="44"/>
      <c r="L117" s="44"/>
      <c r="M117" s="44"/>
      <c r="N117" s="44"/>
      <c r="O117" s="44"/>
      <c r="P117" s="44"/>
      <c r="Q117" s="44"/>
      <c r="R117" s="44"/>
      <c r="S117" s="44"/>
      <c r="T117" s="44"/>
      <c r="U117" s="44"/>
      <c r="V117" s="44"/>
      <c r="W117" s="44"/>
      <c r="X117" s="44"/>
      <c r="Y117" s="44"/>
      <c r="Z117" s="44"/>
    </row>
    <row r="118" spans="1:26" ht="15.75" customHeight="1">
      <c r="A118" s="201" t="s">
        <v>3504</v>
      </c>
      <c r="B118" s="201" t="s">
        <v>3505</v>
      </c>
      <c r="C118" s="202" t="s">
        <v>3506</v>
      </c>
      <c r="D118" s="202"/>
      <c r="E118" s="202"/>
      <c r="F118" s="202"/>
      <c r="G118" s="202"/>
      <c r="H118" s="202"/>
      <c r="I118" s="202"/>
      <c r="J118" s="202"/>
      <c r="K118" s="202"/>
      <c r="L118" s="202"/>
      <c r="M118" s="202"/>
      <c r="N118" s="202"/>
      <c r="O118" s="202"/>
      <c r="P118" s="202"/>
      <c r="Q118" s="202"/>
      <c r="R118" s="202"/>
      <c r="S118" s="202"/>
      <c r="T118" s="202"/>
      <c r="U118" s="202"/>
      <c r="V118" s="202"/>
      <c r="W118" s="202"/>
      <c r="X118" s="202"/>
      <c r="Y118" s="202"/>
      <c r="Z118" s="202"/>
    </row>
    <row r="119" spans="1:26" ht="15.75" customHeight="1">
      <c r="A119" s="200" t="s">
        <v>952</v>
      </c>
      <c r="B119" s="200" t="s">
        <v>953</v>
      </c>
      <c r="C119" s="44"/>
      <c r="D119" s="44"/>
      <c r="E119" s="44"/>
      <c r="F119" s="44"/>
      <c r="G119" s="44"/>
      <c r="H119" s="44"/>
      <c r="I119" s="44"/>
      <c r="J119" s="44"/>
      <c r="K119" s="44"/>
      <c r="L119" s="44"/>
      <c r="M119" s="44"/>
      <c r="N119" s="44"/>
      <c r="O119" s="44"/>
      <c r="P119" s="44"/>
      <c r="Q119" s="44"/>
      <c r="R119" s="44"/>
      <c r="S119" s="44"/>
      <c r="T119" s="44"/>
      <c r="U119" s="44"/>
      <c r="V119" s="44"/>
      <c r="W119" s="44"/>
      <c r="X119" s="44"/>
      <c r="Y119" s="44"/>
      <c r="Z119" s="44"/>
    </row>
    <row r="120" spans="1:26" ht="15.75" customHeight="1">
      <c r="A120" s="200" t="s">
        <v>955</v>
      </c>
      <c r="B120" s="200" t="s">
        <v>956</v>
      </c>
      <c r="C120" s="44"/>
      <c r="D120" s="44"/>
      <c r="E120" s="44"/>
      <c r="F120" s="44"/>
      <c r="G120" s="44"/>
      <c r="H120" s="44"/>
      <c r="I120" s="44"/>
      <c r="J120" s="44"/>
      <c r="K120" s="44"/>
      <c r="L120" s="44"/>
      <c r="M120" s="44"/>
      <c r="N120" s="44"/>
      <c r="O120" s="44"/>
      <c r="P120" s="44"/>
      <c r="Q120" s="44"/>
      <c r="R120" s="44"/>
      <c r="S120" s="44"/>
      <c r="T120" s="44"/>
      <c r="U120" s="44"/>
      <c r="V120" s="44"/>
      <c r="W120" s="44"/>
      <c r="X120" s="44"/>
      <c r="Y120" s="44"/>
      <c r="Z120" s="44"/>
    </row>
    <row r="121" spans="1:26" ht="15.75" customHeight="1">
      <c r="A121" s="200" t="s">
        <v>958</v>
      </c>
      <c r="B121" s="200" t="s">
        <v>959</v>
      </c>
      <c r="C121" s="44"/>
      <c r="D121" s="44"/>
      <c r="E121" s="44"/>
      <c r="F121" s="44"/>
      <c r="G121" s="44"/>
      <c r="H121" s="44"/>
      <c r="I121" s="44"/>
      <c r="J121" s="44"/>
      <c r="K121" s="44"/>
      <c r="L121" s="44"/>
      <c r="M121" s="44"/>
      <c r="N121" s="44"/>
      <c r="O121" s="44"/>
      <c r="P121" s="44"/>
      <c r="Q121" s="44"/>
      <c r="R121" s="44"/>
      <c r="S121" s="44"/>
      <c r="T121" s="44"/>
      <c r="U121" s="44"/>
      <c r="V121" s="44"/>
      <c r="W121" s="44"/>
      <c r="X121" s="44"/>
      <c r="Y121" s="44"/>
      <c r="Z121" s="44"/>
    </row>
    <row r="122" spans="1:26" ht="15.75" customHeight="1">
      <c r="A122" s="200" t="s">
        <v>961</v>
      </c>
      <c r="B122" s="200" t="s">
        <v>962</v>
      </c>
      <c r="C122" s="44"/>
      <c r="D122" s="44"/>
      <c r="E122" s="44"/>
      <c r="F122" s="44"/>
      <c r="G122" s="44"/>
      <c r="H122" s="44"/>
      <c r="I122" s="44"/>
      <c r="J122" s="44"/>
      <c r="K122" s="44"/>
      <c r="L122" s="44"/>
      <c r="M122" s="44"/>
      <c r="N122" s="44"/>
      <c r="O122" s="44"/>
      <c r="P122" s="44"/>
      <c r="Q122" s="44"/>
      <c r="R122" s="44"/>
      <c r="S122" s="44"/>
      <c r="T122" s="44"/>
      <c r="U122" s="44"/>
      <c r="V122" s="44"/>
      <c r="W122" s="44"/>
      <c r="X122" s="44"/>
      <c r="Y122" s="44"/>
      <c r="Z122" s="44"/>
    </row>
    <row r="123" spans="1:26" ht="15.75" customHeight="1">
      <c r="A123" s="200" t="s">
        <v>964</v>
      </c>
      <c r="B123" s="200" t="s">
        <v>965</v>
      </c>
      <c r="C123" s="44"/>
      <c r="D123" s="44"/>
      <c r="E123" s="44"/>
      <c r="F123" s="44"/>
      <c r="G123" s="44"/>
      <c r="H123" s="44"/>
      <c r="I123" s="44"/>
      <c r="J123" s="44"/>
      <c r="K123" s="44"/>
      <c r="L123" s="44"/>
      <c r="M123" s="44"/>
      <c r="N123" s="44"/>
      <c r="O123" s="44"/>
      <c r="P123" s="44"/>
      <c r="Q123" s="44"/>
      <c r="R123" s="44"/>
      <c r="S123" s="44"/>
      <c r="T123" s="44"/>
      <c r="U123" s="44"/>
      <c r="V123" s="44"/>
      <c r="W123" s="44"/>
      <c r="X123" s="44"/>
      <c r="Y123" s="44"/>
      <c r="Z123" s="44"/>
    </row>
    <row r="124" spans="1:26" ht="15.75" customHeight="1">
      <c r="A124" s="200" t="s">
        <v>967</v>
      </c>
      <c r="B124" s="200" t="s">
        <v>968</v>
      </c>
      <c r="C124" s="44"/>
      <c r="D124" s="44"/>
      <c r="E124" s="44"/>
      <c r="F124" s="44"/>
      <c r="G124" s="44"/>
      <c r="H124" s="44"/>
      <c r="I124" s="44"/>
      <c r="J124" s="44"/>
      <c r="K124" s="44"/>
      <c r="L124" s="44"/>
      <c r="M124" s="44"/>
      <c r="N124" s="44"/>
      <c r="O124" s="44"/>
      <c r="P124" s="44"/>
      <c r="Q124" s="44"/>
      <c r="R124" s="44"/>
      <c r="S124" s="44"/>
      <c r="T124" s="44"/>
      <c r="U124" s="44"/>
      <c r="V124" s="44"/>
      <c r="W124" s="44"/>
      <c r="X124" s="44"/>
      <c r="Y124" s="44"/>
      <c r="Z124" s="44"/>
    </row>
    <row r="125" spans="1:26" ht="15.75" customHeight="1">
      <c r="A125" s="200" t="s">
        <v>970</v>
      </c>
      <c r="B125" s="200" t="s">
        <v>971</v>
      </c>
      <c r="C125" s="44"/>
      <c r="D125" s="44"/>
      <c r="E125" s="44"/>
      <c r="F125" s="44"/>
      <c r="G125" s="44"/>
      <c r="H125" s="44"/>
      <c r="I125" s="44"/>
      <c r="J125" s="44"/>
      <c r="K125" s="44"/>
      <c r="L125" s="44"/>
      <c r="M125" s="44"/>
      <c r="N125" s="44"/>
      <c r="O125" s="44"/>
      <c r="P125" s="44"/>
      <c r="Q125" s="44"/>
      <c r="R125" s="44"/>
      <c r="S125" s="44"/>
      <c r="T125" s="44"/>
      <c r="U125" s="44"/>
      <c r="V125" s="44"/>
      <c r="W125" s="44"/>
      <c r="X125" s="44"/>
      <c r="Y125" s="44"/>
      <c r="Z125" s="44"/>
    </row>
    <row r="126" spans="1:26" ht="15.75" customHeight="1">
      <c r="A126" s="200" t="s">
        <v>973</v>
      </c>
      <c r="B126" s="200" t="s">
        <v>974</v>
      </c>
      <c r="C126" s="44"/>
      <c r="D126" s="44"/>
      <c r="E126" s="44"/>
      <c r="F126" s="44"/>
      <c r="G126" s="44"/>
      <c r="H126" s="44"/>
      <c r="I126" s="44"/>
      <c r="J126" s="44"/>
      <c r="K126" s="44"/>
      <c r="L126" s="44"/>
      <c r="M126" s="44"/>
      <c r="N126" s="44"/>
      <c r="O126" s="44"/>
      <c r="P126" s="44"/>
      <c r="Q126" s="44"/>
      <c r="R126" s="44"/>
      <c r="S126" s="44"/>
      <c r="T126" s="44"/>
      <c r="U126" s="44"/>
      <c r="V126" s="44"/>
      <c r="W126" s="44"/>
      <c r="X126" s="44"/>
      <c r="Y126" s="44"/>
      <c r="Z126" s="44"/>
    </row>
    <row r="127" spans="1:26" ht="15.75" customHeight="1">
      <c r="A127" s="200" t="s">
        <v>976</v>
      </c>
      <c r="B127" s="200" t="s">
        <v>977</v>
      </c>
      <c r="C127" s="44"/>
      <c r="D127" s="44"/>
      <c r="E127" s="44"/>
      <c r="F127" s="44"/>
      <c r="G127" s="44"/>
      <c r="H127" s="44"/>
      <c r="I127" s="44"/>
      <c r="J127" s="44"/>
      <c r="K127" s="44"/>
      <c r="L127" s="44"/>
      <c r="M127" s="44"/>
      <c r="N127" s="44"/>
      <c r="O127" s="44"/>
      <c r="P127" s="44"/>
      <c r="Q127" s="44"/>
      <c r="R127" s="44"/>
      <c r="S127" s="44"/>
      <c r="T127" s="44"/>
      <c r="U127" s="44"/>
      <c r="V127" s="44"/>
      <c r="W127" s="44"/>
      <c r="X127" s="44"/>
      <c r="Y127" s="44"/>
      <c r="Z127" s="44"/>
    </row>
    <row r="128" spans="1:26" ht="15.75" customHeight="1">
      <c r="A128" s="200" t="s">
        <v>979</v>
      </c>
      <c r="B128" s="200" t="s">
        <v>980</v>
      </c>
      <c r="C128" s="44"/>
      <c r="D128" s="44"/>
      <c r="E128" s="44"/>
      <c r="F128" s="44"/>
      <c r="G128" s="44"/>
      <c r="H128" s="44"/>
      <c r="I128" s="44"/>
      <c r="J128" s="44"/>
      <c r="K128" s="44"/>
      <c r="L128" s="44"/>
      <c r="M128" s="44"/>
      <c r="N128" s="44"/>
      <c r="O128" s="44"/>
      <c r="P128" s="44"/>
      <c r="Q128" s="44"/>
      <c r="R128" s="44"/>
      <c r="S128" s="44"/>
      <c r="T128" s="44"/>
      <c r="U128" s="44"/>
      <c r="V128" s="44"/>
      <c r="W128" s="44"/>
      <c r="X128" s="44"/>
      <c r="Y128" s="44"/>
      <c r="Z128" s="44"/>
    </row>
    <row r="129" spans="1:26" ht="15.75" customHeight="1">
      <c r="A129" s="200" t="s">
        <v>981</v>
      </c>
      <c r="B129" s="200" t="s">
        <v>982</v>
      </c>
      <c r="C129" s="44"/>
      <c r="D129" s="44"/>
      <c r="E129" s="44"/>
      <c r="F129" s="44"/>
      <c r="G129" s="44"/>
      <c r="H129" s="44"/>
      <c r="I129" s="44"/>
      <c r="J129" s="44"/>
      <c r="K129" s="44"/>
      <c r="L129" s="44"/>
      <c r="M129" s="44"/>
      <c r="N129" s="44"/>
      <c r="O129" s="44"/>
      <c r="P129" s="44"/>
      <c r="Q129" s="44"/>
      <c r="R129" s="44"/>
      <c r="S129" s="44"/>
      <c r="T129" s="44"/>
      <c r="U129" s="44"/>
      <c r="V129" s="44"/>
      <c r="W129" s="44"/>
      <c r="X129" s="44"/>
      <c r="Y129" s="44"/>
      <c r="Z129" s="44"/>
    </row>
    <row r="130" spans="1:26" ht="15.75" customHeight="1">
      <c r="A130" s="200" t="s">
        <v>983</v>
      </c>
      <c r="B130" s="200" t="s">
        <v>984</v>
      </c>
      <c r="C130" s="44"/>
      <c r="D130" s="44"/>
      <c r="E130" s="44"/>
      <c r="F130" s="44"/>
      <c r="G130" s="44"/>
      <c r="H130" s="44"/>
      <c r="I130" s="44"/>
      <c r="J130" s="44"/>
      <c r="K130" s="44"/>
      <c r="L130" s="44"/>
      <c r="M130" s="44"/>
      <c r="N130" s="44"/>
      <c r="O130" s="44"/>
      <c r="P130" s="44"/>
      <c r="Q130" s="44"/>
      <c r="R130" s="44"/>
      <c r="S130" s="44"/>
      <c r="T130" s="44"/>
      <c r="U130" s="44"/>
      <c r="V130" s="44"/>
      <c r="W130" s="44"/>
      <c r="X130" s="44"/>
      <c r="Y130" s="44"/>
      <c r="Z130" s="44"/>
    </row>
    <row r="131" spans="1:26" ht="15.75" customHeight="1">
      <c r="A131" s="200" t="s">
        <v>985</v>
      </c>
      <c r="B131" s="200" t="s">
        <v>986</v>
      </c>
      <c r="C131" s="44"/>
      <c r="D131" s="44"/>
      <c r="E131" s="44"/>
      <c r="F131" s="44"/>
      <c r="G131" s="44"/>
      <c r="H131" s="44"/>
      <c r="I131" s="44"/>
      <c r="J131" s="44"/>
      <c r="K131" s="44"/>
      <c r="L131" s="44"/>
      <c r="M131" s="44"/>
      <c r="N131" s="44"/>
      <c r="O131" s="44"/>
      <c r="P131" s="44"/>
      <c r="Q131" s="44"/>
      <c r="R131" s="44"/>
      <c r="S131" s="44"/>
      <c r="T131" s="44"/>
      <c r="U131" s="44"/>
      <c r="V131" s="44"/>
      <c r="W131" s="44"/>
      <c r="X131" s="44"/>
      <c r="Y131" s="44"/>
      <c r="Z131" s="44"/>
    </row>
    <row r="132" spans="1:26" ht="15.75" customHeight="1">
      <c r="A132" s="200" t="s">
        <v>987</v>
      </c>
      <c r="B132" s="200" t="s">
        <v>988</v>
      </c>
      <c r="C132" s="44"/>
      <c r="D132" s="44"/>
      <c r="E132" s="44"/>
      <c r="F132" s="44"/>
      <c r="G132" s="44"/>
      <c r="H132" s="44"/>
      <c r="I132" s="44"/>
      <c r="J132" s="44"/>
      <c r="K132" s="44"/>
      <c r="L132" s="44"/>
      <c r="M132" s="44"/>
      <c r="N132" s="44"/>
      <c r="O132" s="44"/>
      <c r="P132" s="44"/>
      <c r="Q132" s="44"/>
      <c r="R132" s="44"/>
      <c r="S132" s="44"/>
      <c r="T132" s="44"/>
      <c r="U132" s="44"/>
      <c r="V132" s="44"/>
      <c r="W132" s="44"/>
      <c r="X132" s="44"/>
      <c r="Y132" s="44"/>
      <c r="Z132" s="44"/>
    </row>
    <row r="133" spans="1:26" ht="15.75" customHeight="1">
      <c r="A133" s="200" t="s">
        <v>989</v>
      </c>
      <c r="B133" s="200" t="s">
        <v>990</v>
      </c>
      <c r="C133" s="44"/>
      <c r="D133" s="44"/>
      <c r="E133" s="44"/>
      <c r="F133" s="44"/>
      <c r="G133" s="44"/>
      <c r="H133" s="44"/>
      <c r="I133" s="44"/>
      <c r="J133" s="44"/>
      <c r="K133" s="44"/>
      <c r="L133" s="44"/>
      <c r="M133" s="44"/>
      <c r="N133" s="44"/>
      <c r="O133" s="44"/>
      <c r="P133" s="44"/>
      <c r="Q133" s="44"/>
      <c r="R133" s="44"/>
      <c r="S133" s="44"/>
      <c r="T133" s="44"/>
      <c r="U133" s="44"/>
      <c r="V133" s="44"/>
      <c r="W133" s="44"/>
      <c r="X133" s="44"/>
      <c r="Y133" s="44"/>
      <c r="Z133" s="44"/>
    </row>
    <row r="134" spans="1:26" ht="15.75" customHeight="1">
      <c r="A134" s="200" t="s">
        <v>991</v>
      </c>
      <c r="B134" s="200" t="s">
        <v>992</v>
      </c>
      <c r="C134" s="44"/>
      <c r="D134" s="44"/>
      <c r="E134" s="44"/>
      <c r="F134" s="44"/>
      <c r="G134" s="44"/>
      <c r="H134" s="44"/>
      <c r="I134" s="44"/>
      <c r="J134" s="44"/>
      <c r="K134" s="44"/>
      <c r="L134" s="44"/>
      <c r="M134" s="44"/>
      <c r="N134" s="44"/>
      <c r="O134" s="44"/>
      <c r="P134" s="44"/>
      <c r="Q134" s="44"/>
      <c r="R134" s="44"/>
      <c r="S134" s="44"/>
      <c r="T134" s="44"/>
      <c r="U134" s="44"/>
      <c r="V134" s="44"/>
      <c r="W134" s="44"/>
      <c r="X134" s="44"/>
      <c r="Y134" s="44"/>
      <c r="Z134" s="44"/>
    </row>
    <row r="135" spans="1:26" ht="15.75" customHeight="1">
      <c r="A135" s="201" t="s">
        <v>3507</v>
      </c>
      <c r="B135" s="201" t="s">
        <v>3508</v>
      </c>
      <c r="C135" s="202" t="s">
        <v>3506</v>
      </c>
      <c r="D135" s="202"/>
      <c r="E135" s="202"/>
      <c r="F135" s="202"/>
      <c r="G135" s="202"/>
      <c r="H135" s="202"/>
      <c r="I135" s="202"/>
      <c r="J135" s="202"/>
      <c r="K135" s="202"/>
      <c r="L135" s="202"/>
      <c r="M135" s="202"/>
      <c r="N135" s="202"/>
      <c r="O135" s="202"/>
      <c r="P135" s="202"/>
      <c r="Q135" s="202"/>
      <c r="R135" s="202"/>
      <c r="S135" s="202"/>
      <c r="T135" s="202"/>
      <c r="U135" s="202"/>
      <c r="V135" s="202"/>
      <c r="W135" s="202"/>
      <c r="X135" s="202"/>
      <c r="Y135" s="202"/>
      <c r="Z135" s="202"/>
    </row>
    <row r="136" spans="1:26" ht="15.75" customHeight="1">
      <c r="A136" s="198" t="s">
        <v>34</v>
      </c>
      <c r="B136" s="198" t="s">
        <v>33</v>
      </c>
    </row>
    <row r="137" spans="1:26" ht="15.75" customHeight="1">
      <c r="A137" s="200" t="s">
        <v>607</v>
      </c>
      <c r="B137" s="200" t="s">
        <v>993</v>
      </c>
      <c r="C137" s="44"/>
      <c r="D137" s="44"/>
      <c r="E137" s="44"/>
      <c r="F137" s="44"/>
      <c r="G137" s="44"/>
      <c r="H137" s="44"/>
      <c r="I137" s="44"/>
      <c r="J137" s="44"/>
      <c r="K137" s="44"/>
      <c r="L137" s="44"/>
      <c r="M137" s="44"/>
      <c r="N137" s="44"/>
      <c r="O137" s="44"/>
      <c r="P137" s="44"/>
      <c r="Q137" s="44"/>
      <c r="R137" s="44"/>
      <c r="S137" s="44"/>
      <c r="T137" s="44"/>
      <c r="U137" s="44"/>
      <c r="V137" s="44"/>
      <c r="W137" s="44"/>
      <c r="X137" s="44"/>
      <c r="Y137" s="44"/>
      <c r="Z137" s="44"/>
    </row>
    <row r="138" spans="1:26" ht="15.75" customHeight="1">
      <c r="A138" s="200" t="s">
        <v>994</v>
      </c>
      <c r="B138" s="200" t="s">
        <v>995</v>
      </c>
      <c r="C138" s="44"/>
      <c r="D138" s="44"/>
      <c r="E138" s="44"/>
      <c r="F138" s="44"/>
      <c r="G138" s="44"/>
      <c r="H138" s="44"/>
      <c r="I138" s="44"/>
      <c r="J138" s="44"/>
      <c r="K138" s="44"/>
      <c r="L138" s="44"/>
      <c r="M138" s="44"/>
      <c r="N138" s="44"/>
      <c r="O138" s="44"/>
      <c r="P138" s="44"/>
      <c r="Q138" s="44"/>
      <c r="R138" s="44"/>
      <c r="S138" s="44"/>
      <c r="T138" s="44"/>
      <c r="U138" s="44"/>
      <c r="V138" s="44"/>
      <c r="W138" s="44"/>
      <c r="X138" s="44"/>
      <c r="Y138" s="44"/>
      <c r="Z138" s="44"/>
    </row>
    <row r="139" spans="1:26" ht="15.75" customHeight="1">
      <c r="A139" s="200" t="s">
        <v>996</v>
      </c>
      <c r="B139" s="200" t="s">
        <v>997</v>
      </c>
      <c r="C139" s="44"/>
      <c r="D139" s="44"/>
      <c r="E139" s="44"/>
      <c r="F139" s="44"/>
      <c r="G139" s="44"/>
      <c r="H139" s="44"/>
      <c r="I139" s="44"/>
      <c r="J139" s="44"/>
      <c r="K139" s="44"/>
      <c r="L139" s="44"/>
      <c r="M139" s="44"/>
      <c r="N139" s="44"/>
      <c r="O139" s="44"/>
      <c r="P139" s="44"/>
      <c r="Q139" s="44"/>
      <c r="R139" s="44"/>
      <c r="S139" s="44"/>
      <c r="T139" s="44"/>
      <c r="U139" s="44"/>
      <c r="V139" s="44"/>
      <c r="W139" s="44"/>
      <c r="X139" s="44"/>
      <c r="Y139" s="44"/>
      <c r="Z139" s="44"/>
    </row>
    <row r="140" spans="1:26" ht="15.75" customHeight="1">
      <c r="A140" s="200" t="s">
        <v>998</v>
      </c>
      <c r="B140" s="200" t="s">
        <v>999</v>
      </c>
      <c r="C140" s="44"/>
      <c r="D140" s="44"/>
      <c r="E140" s="44"/>
      <c r="F140" s="44"/>
      <c r="G140" s="44"/>
      <c r="H140" s="44"/>
      <c r="I140" s="44"/>
      <c r="J140" s="44"/>
      <c r="K140" s="44"/>
      <c r="L140" s="44"/>
      <c r="M140" s="44"/>
      <c r="N140" s="44"/>
      <c r="O140" s="44"/>
      <c r="P140" s="44"/>
      <c r="Q140" s="44"/>
      <c r="R140" s="44"/>
      <c r="S140" s="44"/>
      <c r="T140" s="44"/>
      <c r="U140" s="44"/>
      <c r="V140" s="44"/>
      <c r="W140" s="44"/>
      <c r="X140" s="44"/>
      <c r="Y140" s="44"/>
      <c r="Z140" s="44"/>
    </row>
    <row r="141" spans="1:26" ht="15.75" customHeight="1">
      <c r="A141" s="200" t="s">
        <v>1000</v>
      </c>
      <c r="B141" s="200" t="s">
        <v>1001</v>
      </c>
      <c r="C141" s="44"/>
      <c r="D141" s="44"/>
      <c r="E141" s="44"/>
      <c r="F141" s="44"/>
      <c r="G141" s="44"/>
      <c r="H141" s="44"/>
      <c r="I141" s="44"/>
      <c r="J141" s="44"/>
      <c r="K141" s="44"/>
      <c r="L141" s="44"/>
      <c r="M141" s="44"/>
      <c r="N141" s="44"/>
      <c r="O141" s="44"/>
      <c r="P141" s="44"/>
      <c r="Q141" s="44"/>
      <c r="R141" s="44"/>
      <c r="S141" s="44"/>
      <c r="T141" s="44"/>
      <c r="U141" s="44"/>
      <c r="V141" s="44"/>
      <c r="W141" s="44"/>
      <c r="X141" s="44"/>
      <c r="Y141" s="44"/>
      <c r="Z141" s="44"/>
    </row>
    <row r="142" spans="1:26" ht="15.75" customHeight="1">
      <c r="A142" s="200" t="s">
        <v>1002</v>
      </c>
      <c r="B142" s="200" t="s">
        <v>1003</v>
      </c>
      <c r="C142" s="44"/>
      <c r="D142" s="44"/>
      <c r="E142" s="44"/>
      <c r="F142" s="44"/>
      <c r="G142" s="44"/>
      <c r="H142" s="44"/>
      <c r="I142" s="44"/>
      <c r="J142" s="44"/>
      <c r="K142" s="44"/>
      <c r="L142" s="44"/>
      <c r="M142" s="44"/>
      <c r="N142" s="44"/>
      <c r="O142" s="44"/>
      <c r="P142" s="44"/>
      <c r="Q142" s="44"/>
      <c r="R142" s="44"/>
      <c r="S142" s="44"/>
      <c r="T142" s="44"/>
      <c r="U142" s="44"/>
      <c r="V142" s="44"/>
      <c r="W142" s="44"/>
      <c r="X142" s="44"/>
      <c r="Y142" s="44"/>
      <c r="Z142" s="44"/>
    </row>
    <row r="143" spans="1:26" ht="15.75" customHeight="1">
      <c r="A143" s="200" t="s">
        <v>1004</v>
      </c>
      <c r="B143" s="200" t="s">
        <v>1005</v>
      </c>
      <c r="C143" s="44"/>
      <c r="D143" s="44"/>
      <c r="E143" s="44"/>
      <c r="F143" s="44"/>
      <c r="G143" s="44"/>
      <c r="H143" s="44"/>
      <c r="I143" s="44"/>
      <c r="J143" s="44"/>
      <c r="K143" s="44"/>
      <c r="L143" s="44"/>
      <c r="M143" s="44"/>
      <c r="N143" s="44"/>
      <c r="O143" s="44"/>
      <c r="P143" s="44"/>
      <c r="Q143" s="44"/>
      <c r="R143" s="44"/>
      <c r="S143" s="44"/>
      <c r="T143" s="44"/>
      <c r="U143" s="44"/>
      <c r="V143" s="44"/>
      <c r="W143" s="44"/>
      <c r="X143" s="44"/>
      <c r="Y143" s="44"/>
      <c r="Z143" s="44"/>
    </row>
    <row r="144" spans="1:26" ht="15.75" customHeight="1">
      <c r="A144" s="200" t="s">
        <v>1006</v>
      </c>
      <c r="B144" s="200" t="s">
        <v>1007</v>
      </c>
      <c r="C144" s="44"/>
      <c r="D144" s="44"/>
      <c r="E144" s="44"/>
      <c r="F144" s="44"/>
      <c r="G144" s="44"/>
      <c r="H144" s="44"/>
      <c r="I144" s="44"/>
      <c r="J144" s="44"/>
      <c r="K144" s="44"/>
      <c r="L144" s="44"/>
      <c r="M144" s="44"/>
      <c r="N144" s="44"/>
      <c r="O144" s="44"/>
      <c r="P144" s="44"/>
      <c r="Q144" s="44"/>
      <c r="R144" s="44"/>
      <c r="S144" s="44"/>
      <c r="T144" s="44"/>
      <c r="U144" s="44"/>
      <c r="V144" s="44"/>
      <c r="W144" s="44"/>
      <c r="X144" s="44"/>
      <c r="Y144" s="44"/>
      <c r="Z144" s="44"/>
    </row>
    <row r="145" spans="1:26" ht="15.75" customHeight="1">
      <c r="A145" s="200" t="s">
        <v>1008</v>
      </c>
      <c r="B145" s="200" t="s">
        <v>1009</v>
      </c>
      <c r="C145" s="44"/>
      <c r="D145" s="44"/>
      <c r="E145" s="44"/>
      <c r="F145" s="44"/>
      <c r="G145" s="44"/>
      <c r="H145" s="44"/>
      <c r="I145" s="44"/>
      <c r="J145" s="44"/>
      <c r="K145" s="44"/>
      <c r="L145" s="44"/>
      <c r="M145" s="44"/>
      <c r="N145" s="44"/>
      <c r="O145" s="44"/>
      <c r="P145" s="44"/>
      <c r="Q145" s="44"/>
      <c r="R145" s="44"/>
      <c r="S145" s="44"/>
      <c r="T145" s="44"/>
      <c r="U145" s="44"/>
      <c r="V145" s="44"/>
      <c r="W145" s="44"/>
      <c r="X145" s="44"/>
      <c r="Y145" s="44"/>
      <c r="Z145" s="44"/>
    </row>
    <row r="146" spans="1:26" ht="15.75" customHeight="1">
      <c r="A146" s="200" t="s">
        <v>1010</v>
      </c>
      <c r="B146" s="200" t="s">
        <v>1011</v>
      </c>
      <c r="C146" s="44"/>
      <c r="D146" s="44"/>
      <c r="E146" s="44"/>
      <c r="F146" s="44"/>
      <c r="G146" s="44"/>
      <c r="H146" s="44"/>
      <c r="I146" s="44"/>
      <c r="J146" s="44"/>
      <c r="K146" s="44"/>
      <c r="L146" s="44"/>
      <c r="M146" s="44"/>
      <c r="N146" s="44"/>
      <c r="O146" s="44"/>
      <c r="P146" s="44"/>
      <c r="Q146" s="44"/>
      <c r="R146" s="44"/>
      <c r="S146" s="44"/>
      <c r="T146" s="44"/>
      <c r="U146" s="44"/>
      <c r="V146" s="44"/>
      <c r="W146" s="44"/>
      <c r="X146" s="44"/>
      <c r="Y146" s="44"/>
      <c r="Z146" s="44"/>
    </row>
    <row r="147" spans="1:26" ht="15.75" customHeight="1">
      <c r="A147" s="200" t="s">
        <v>1012</v>
      </c>
      <c r="B147" s="200" t="s">
        <v>715</v>
      </c>
      <c r="C147" s="44"/>
      <c r="D147" s="44"/>
      <c r="E147" s="44"/>
      <c r="F147" s="44"/>
      <c r="G147" s="44"/>
      <c r="H147" s="44"/>
      <c r="I147" s="44"/>
      <c r="J147" s="44"/>
      <c r="K147" s="44"/>
      <c r="L147" s="44"/>
      <c r="M147" s="44"/>
      <c r="N147" s="44"/>
      <c r="O147" s="44"/>
      <c r="P147" s="44"/>
      <c r="Q147" s="44"/>
      <c r="R147" s="44"/>
      <c r="S147" s="44"/>
      <c r="T147" s="44"/>
      <c r="U147" s="44"/>
      <c r="V147" s="44"/>
      <c r="W147" s="44"/>
      <c r="X147" s="44"/>
      <c r="Y147" s="44"/>
      <c r="Z147" s="44"/>
    </row>
    <row r="148" spans="1:26" ht="15.75" customHeight="1">
      <c r="A148" s="200" t="s">
        <v>1013</v>
      </c>
      <c r="B148" s="200" t="s">
        <v>1014</v>
      </c>
      <c r="C148" s="44"/>
      <c r="D148" s="44"/>
      <c r="E148" s="44"/>
      <c r="F148" s="44"/>
      <c r="G148" s="44"/>
      <c r="H148" s="44"/>
      <c r="I148" s="44"/>
      <c r="J148" s="44"/>
      <c r="K148" s="44"/>
      <c r="L148" s="44"/>
      <c r="M148" s="44"/>
      <c r="N148" s="44"/>
      <c r="O148" s="44"/>
      <c r="P148" s="44"/>
      <c r="Q148" s="44"/>
      <c r="R148" s="44"/>
      <c r="S148" s="44"/>
      <c r="T148" s="44"/>
      <c r="U148" s="44"/>
      <c r="V148" s="44"/>
      <c r="W148" s="44"/>
      <c r="X148" s="44"/>
      <c r="Y148" s="44"/>
      <c r="Z148" s="44"/>
    </row>
    <row r="149" spans="1:26" ht="15.75" customHeight="1">
      <c r="A149" s="200" t="s">
        <v>1015</v>
      </c>
      <c r="B149" s="200" t="s">
        <v>1016</v>
      </c>
      <c r="C149" s="44"/>
      <c r="D149" s="44"/>
      <c r="E149" s="44"/>
      <c r="F149" s="44"/>
      <c r="G149" s="44"/>
      <c r="H149" s="44"/>
      <c r="I149" s="44"/>
      <c r="J149" s="44"/>
      <c r="K149" s="44"/>
      <c r="L149" s="44"/>
      <c r="M149" s="44"/>
      <c r="N149" s="44"/>
      <c r="O149" s="44"/>
      <c r="P149" s="44"/>
      <c r="Q149" s="44"/>
      <c r="R149" s="44"/>
      <c r="S149" s="44"/>
      <c r="T149" s="44"/>
      <c r="U149" s="44"/>
      <c r="V149" s="44"/>
      <c r="W149" s="44"/>
      <c r="X149" s="44"/>
      <c r="Y149" s="44"/>
      <c r="Z149" s="44"/>
    </row>
    <row r="150" spans="1:26" ht="15.75" customHeight="1">
      <c r="A150" s="200" t="s">
        <v>627</v>
      </c>
      <c r="B150" s="200" t="s">
        <v>1017</v>
      </c>
      <c r="C150" s="44"/>
      <c r="D150" s="44"/>
      <c r="E150" s="44"/>
      <c r="F150" s="44"/>
      <c r="G150" s="44"/>
      <c r="H150" s="44"/>
      <c r="I150" s="44"/>
      <c r="J150" s="44"/>
      <c r="K150" s="44"/>
      <c r="L150" s="44"/>
      <c r="M150" s="44"/>
      <c r="N150" s="44"/>
      <c r="O150" s="44"/>
      <c r="P150" s="44"/>
      <c r="Q150" s="44"/>
      <c r="R150" s="44"/>
      <c r="S150" s="44"/>
      <c r="T150" s="44"/>
      <c r="U150" s="44"/>
      <c r="V150" s="44"/>
      <c r="W150" s="44"/>
      <c r="X150" s="44"/>
      <c r="Y150" s="44"/>
      <c r="Z150" s="44"/>
    </row>
    <row r="151" spans="1:26" ht="15.75" customHeight="1">
      <c r="A151" s="201" t="s">
        <v>3509</v>
      </c>
      <c r="B151" s="201" t="s">
        <v>3510</v>
      </c>
      <c r="C151" s="202" t="s">
        <v>3506</v>
      </c>
      <c r="D151" s="202"/>
      <c r="E151" s="202"/>
      <c r="F151" s="202"/>
      <c r="G151" s="202"/>
      <c r="H151" s="202"/>
      <c r="I151" s="202"/>
      <c r="J151" s="202"/>
      <c r="K151" s="202"/>
      <c r="L151" s="202"/>
      <c r="M151" s="202"/>
      <c r="N151" s="202"/>
      <c r="O151" s="202"/>
      <c r="P151" s="202"/>
      <c r="Q151" s="202"/>
      <c r="R151" s="202"/>
      <c r="S151" s="202"/>
      <c r="T151" s="202"/>
      <c r="U151" s="202"/>
      <c r="V151" s="202"/>
      <c r="W151" s="202"/>
      <c r="X151" s="202"/>
      <c r="Y151" s="202"/>
      <c r="Z151" s="202"/>
    </row>
    <row r="152" spans="1:26" ht="15.75" customHeight="1">
      <c r="A152" s="201" t="s">
        <v>3511</v>
      </c>
      <c r="B152" s="201" t="s">
        <v>3512</v>
      </c>
      <c r="C152" s="202" t="s">
        <v>3506</v>
      </c>
      <c r="D152" s="202"/>
      <c r="E152" s="202"/>
      <c r="F152" s="202"/>
      <c r="G152" s="202"/>
      <c r="H152" s="202"/>
      <c r="I152" s="202"/>
      <c r="J152" s="202"/>
      <c r="K152" s="202"/>
      <c r="L152" s="202"/>
      <c r="M152" s="202"/>
      <c r="N152" s="202"/>
      <c r="O152" s="202"/>
      <c r="P152" s="202"/>
      <c r="Q152" s="202"/>
      <c r="R152" s="202"/>
      <c r="S152" s="202"/>
      <c r="T152" s="202"/>
      <c r="U152" s="202"/>
      <c r="V152" s="202"/>
      <c r="W152" s="202"/>
      <c r="X152" s="202"/>
      <c r="Y152" s="202"/>
      <c r="Z152" s="202"/>
    </row>
    <row r="153" spans="1:26" ht="15.75" customHeight="1">
      <c r="A153" s="201" t="s">
        <v>3513</v>
      </c>
      <c r="B153" s="201" t="s">
        <v>3514</v>
      </c>
      <c r="C153" s="202" t="s">
        <v>3506</v>
      </c>
      <c r="D153" s="202"/>
      <c r="E153" s="202"/>
      <c r="F153" s="202"/>
      <c r="G153" s="202"/>
      <c r="H153" s="202"/>
      <c r="I153" s="202"/>
      <c r="J153" s="202"/>
      <c r="K153" s="202"/>
      <c r="L153" s="202"/>
      <c r="M153" s="202"/>
      <c r="N153" s="202"/>
      <c r="O153" s="202"/>
      <c r="P153" s="202"/>
      <c r="Q153" s="202"/>
      <c r="R153" s="202"/>
      <c r="S153" s="202"/>
      <c r="T153" s="202"/>
      <c r="U153" s="202"/>
      <c r="V153" s="202"/>
      <c r="W153" s="202"/>
      <c r="X153" s="202"/>
      <c r="Y153" s="202"/>
      <c r="Z153" s="202"/>
    </row>
    <row r="154" spans="1:26" ht="15.75" customHeight="1">
      <c r="A154" s="201" t="s">
        <v>3515</v>
      </c>
      <c r="B154" s="201" t="s">
        <v>3516</v>
      </c>
      <c r="C154" s="202" t="s">
        <v>3506</v>
      </c>
      <c r="D154" s="202"/>
      <c r="E154" s="202"/>
      <c r="F154" s="202"/>
      <c r="G154" s="202"/>
      <c r="H154" s="202"/>
      <c r="I154" s="202"/>
      <c r="J154" s="202"/>
      <c r="K154" s="202"/>
      <c r="L154" s="202"/>
      <c r="M154" s="202"/>
      <c r="N154" s="202"/>
      <c r="O154" s="202"/>
      <c r="P154" s="202"/>
      <c r="Q154" s="202"/>
      <c r="R154" s="202"/>
      <c r="S154" s="202"/>
      <c r="T154" s="202"/>
      <c r="U154" s="202"/>
      <c r="V154" s="202"/>
      <c r="W154" s="202"/>
      <c r="X154" s="202"/>
      <c r="Y154" s="202"/>
      <c r="Z154" s="202"/>
    </row>
    <row r="155" spans="1:26" ht="15.75" customHeight="1">
      <c r="A155" s="201" t="s">
        <v>3517</v>
      </c>
      <c r="B155" s="201" t="s">
        <v>3518</v>
      </c>
      <c r="C155" s="202" t="s">
        <v>3506</v>
      </c>
      <c r="D155" s="202"/>
      <c r="E155" s="202"/>
      <c r="F155" s="202"/>
      <c r="G155" s="202"/>
      <c r="H155" s="202"/>
      <c r="I155" s="202"/>
      <c r="J155" s="202"/>
      <c r="K155" s="202"/>
      <c r="L155" s="202"/>
      <c r="M155" s="202"/>
      <c r="N155" s="202"/>
      <c r="O155" s="202"/>
      <c r="P155" s="202"/>
      <c r="Q155" s="202"/>
      <c r="R155" s="202"/>
      <c r="S155" s="202"/>
      <c r="T155" s="202"/>
      <c r="U155" s="202"/>
      <c r="V155" s="202"/>
      <c r="W155" s="202"/>
      <c r="X155" s="202"/>
      <c r="Y155" s="202"/>
      <c r="Z155" s="202"/>
    </row>
    <row r="156" spans="1:26" ht="15.75" customHeight="1">
      <c r="A156" s="201" t="s">
        <v>3519</v>
      </c>
      <c r="B156" s="201" t="s">
        <v>3520</v>
      </c>
      <c r="C156" s="202" t="s">
        <v>3506</v>
      </c>
      <c r="D156" s="202"/>
      <c r="E156" s="202"/>
      <c r="F156" s="202"/>
      <c r="G156" s="202"/>
      <c r="H156" s="202"/>
      <c r="I156" s="202"/>
      <c r="J156" s="202"/>
      <c r="K156" s="202"/>
      <c r="L156" s="202"/>
      <c r="M156" s="202"/>
      <c r="N156" s="202"/>
      <c r="O156" s="202"/>
      <c r="P156" s="202"/>
      <c r="Q156" s="202"/>
      <c r="R156" s="202"/>
      <c r="S156" s="202"/>
      <c r="T156" s="202"/>
      <c r="U156" s="202"/>
      <c r="V156" s="202"/>
      <c r="W156" s="202"/>
      <c r="X156" s="202"/>
      <c r="Y156" s="202"/>
      <c r="Z156" s="202"/>
    </row>
    <row r="157" spans="1:26" ht="15.75" customHeight="1">
      <c r="A157" s="201" t="s">
        <v>3521</v>
      </c>
      <c r="B157" s="201" t="s">
        <v>3522</v>
      </c>
      <c r="C157" s="202" t="s">
        <v>3506</v>
      </c>
      <c r="D157" s="202"/>
      <c r="E157" s="202"/>
      <c r="F157" s="202"/>
      <c r="G157" s="202"/>
      <c r="H157" s="202"/>
      <c r="I157" s="202"/>
      <c r="J157" s="202"/>
      <c r="K157" s="202"/>
      <c r="L157" s="202"/>
      <c r="M157" s="202"/>
      <c r="N157" s="202"/>
      <c r="O157" s="202"/>
      <c r="P157" s="202"/>
      <c r="Q157" s="202"/>
      <c r="R157" s="202"/>
      <c r="S157" s="202"/>
      <c r="T157" s="202"/>
      <c r="U157" s="202"/>
      <c r="V157" s="202"/>
      <c r="W157" s="202"/>
      <c r="X157" s="202"/>
      <c r="Y157" s="202"/>
      <c r="Z157" s="202"/>
    </row>
    <row r="158" spans="1:26" ht="15.75" customHeight="1">
      <c r="A158" s="201" t="s">
        <v>3523</v>
      </c>
      <c r="B158" s="201" t="s">
        <v>3524</v>
      </c>
      <c r="C158" s="202" t="s">
        <v>3506</v>
      </c>
      <c r="D158" s="202"/>
      <c r="E158" s="202"/>
      <c r="F158" s="202"/>
      <c r="G158" s="202"/>
      <c r="H158" s="202"/>
      <c r="I158" s="202"/>
      <c r="J158" s="202"/>
      <c r="K158" s="202"/>
      <c r="L158" s="202"/>
      <c r="M158" s="202"/>
      <c r="N158" s="202"/>
      <c r="O158" s="202"/>
      <c r="P158" s="202"/>
      <c r="Q158" s="202"/>
      <c r="R158" s="202"/>
      <c r="S158" s="202"/>
      <c r="T158" s="202"/>
      <c r="U158" s="202"/>
      <c r="V158" s="202"/>
      <c r="W158" s="202"/>
      <c r="X158" s="202"/>
      <c r="Y158" s="202"/>
      <c r="Z158" s="202"/>
    </row>
    <row r="159" spans="1:26" ht="15.75" customHeight="1">
      <c r="A159" s="200" t="s">
        <v>1018</v>
      </c>
      <c r="B159" s="200" t="s">
        <v>1019</v>
      </c>
      <c r="C159" s="44"/>
      <c r="D159" s="44"/>
      <c r="E159" s="44"/>
      <c r="F159" s="44"/>
      <c r="G159" s="44"/>
      <c r="H159" s="44"/>
      <c r="I159" s="44"/>
      <c r="J159" s="44"/>
      <c r="K159" s="44"/>
      <c r="L159" s="44"/>
      <c r="M159" s="44"/>
      <c r="N159" s="44"/>
      <c r="O159" s="44"/>
      <c r="P159" s="44"/>
      <c r="Q159" s="44"/>
      <c r="R159" s="44"/>
      <c r="S159" s="44"/>
      <c r="T159" s="44"/>
      <c r="U159" s="44"/>
      <c r="V159" s="44"/>
      <c r="W159" s="44"/>
      <c r="X159" s="44"/>
      <c r="Y159" s="44"/>
      <c r="Z159" s="44"/>
    </row>
    <row r="160" spans="1:26" ht="15.75" customHeight="1">
      <c r="A160" s="200" t="s">
        <v>1020</v>
      </c>
      <c r="B160" s="200" t="s">
        <v>1021</v>
      </c>
      <c r="C160" s="44"/>
      <c r="D160" s="44"/>
      <c r="E160" s="44"/>
      <c r="F160" s="44"/>
      <c r="G160" s="44"/>
      <c r="H160" s="44"/>
      <c r="I160" s="44"/>
      <c r="J160" s="44"/>
      <c r="K160" s="44"/>
      <c r="L160" s="44"/>
      <c r="M160" s="44"/>
      <c r="N160" s="44"/>
      <c r="O160" s="44"/>
      <c r="P160" s="44"/>
      <c r="Q160" s="44"/>
      <c r="R160" s="44"/>
      <c r="S160" s="44"/>
      <c r="T160" s="44"/>
      <c r="U160" s="44"/>
      <c r="V160" s="44"/>
      <c r="W160" s="44"/>
      <c r="X160" s="44"/>
      <c r="Y160" s="44"/>
      <c r="Z160" s="44"/>
    </row>
    <row r="161" spans="1:26" ht="15.75" customHeight="1">
      <c r="A161" s="201" t="s">
        <v>3525</v>
      </c>
      <c r="B161" s="201" t="s">
        <v>3526</v>
      </c>
      <c r="C161" s="202" t="s">
        <v>3506</v>
      </c>
      <c r="D161" s="202"/>
      <c r="E161" s="202"/>
      <c r="F161" s="202"/>
      <c r="G161" s="202"/>
      <c r="H161" s="202"/>
      <c r="I161" s="202"/>
      <c r="J161" s="202"/>
      <c r="K161" s="202"/>
      <c r="L161" s="202"/>
      <c r="M161" s="202"/>
      <c r="N161" s="202"/>
      <c r="O161" s="202"/>
      <c r="P161" s="202"/>
      <c r="Q161" s="202"/>
      <c r="R161" s="202"/>
      <c r="S161" s="202"/>
      <c r="T161" s="202"/>
      <c r="U161" s="202"/>
      <c r="V161" s="202"/>
      <c r="W161" s="202"/>
      <c r="X161" s="202"/>
      <c r="Y161" s="202"/>
      <c r="Z161" s="202"/>
    </row>
    <row r="162" spans="1:26" ht="15.75" customHeight="1">
      <c r="A162" s="200" t="s">
        <v>649</v>
      </c>
      <c r="B162" s="200" t="s">
        <v>1022</v>
      </c>
      <c r="C162" s="44"/>
      <c r="D162" s="44"/>
      <c r="E162" s="44"/>
      <c r="F162" s="44"/>
      <c r="G162" s="44"/>
      <c r="H162" s="44"/>
      <c r="I162" s="44"/>
      <c r="J162" s="44"/>
      <c r="K162" s="44"/>
      <c r="L162" s="44"/>
      <c r="M162" s="44"/>
      <c r="N162" s="44"/>
      <c r="O162" s="44"/>
      <c r="P162" s="44"/>
      <c r="Q162" s="44"/>
      <c r="R162" s="44"/>
      <c r="S162" s="44"/>
      <c r="T162" s="44"/>
      <c r="U162" s="44"/>
      <c r="V162" s="44"/>
      <c r="W162" s="44"/>
      <c r="X162" s="44"/>
      <c r="Y162" s="44"/>
      <c r="Z162" s="44"/>
    </row>
    <row r="163" spans="1:26" ht="15.75" customHeight="1">
      <c r="A163" s="200" t="s">
        <v>1023</v>
      </c>
      <c r="B163" s="200" t="s">
        <v>1024</v>
      </c>
      <c r="C163" s="44"/>
      <c r="D163" s="44"/>
      <c r="E163" s="44"/>
      <c r="F163" s="44"/>
      <c r="G163" s="44"/>
      <c r="H163" s="44"/>
      <c r="I163" s="44"/>
      <c r="J163" s="44"/>
      <c r="K163" s="44"/>
      <c r="L163" s="44"/>
      <c r="M163" s="44"/>
      <c r="N163" s="44"/>
      <c r="O163" s="44"/>
      <c r="P163" s="44"/>
      <c r="Q163" s="44"/>
      <c r="R163" s="44"/>
      <c r="S163" s="44"/>
      <c r="T163" s="44"/>
      <c r="U163" s="44"/>
      <c r="V163" s="44"/>
      <c r="W163" s="44"/>
      <c r="X163" s="44"/>
      <c r="Y163" s="44"/>
      <c r="Z163" s="44"/>
    </row>
    <row r="164" spans="1:26" ht="15.75" customHeight="1">
      <c r="A164" s="200" t="s">
        <v>1025</v>
      </c>
      <c r="B164" s="200" t="s">
        <v>1026</v>
      </c>
      <c r="C164" s="44"/>
      <c r="D164" s="44"/>
      <c r="E164" s="44"/>
      <c r="F164" s="44"/>
      <c r="G164" s="44"/>
      <c r="H164" s="44"/>
      <c r="I164" s="44"/>
      <c r="J164" s="44"/>
      <c r="K164" s="44"/>
      <c r="L164" s="44"/>
      <c r="M164" s="44"/>
      <c r="N164" s="44"/>
      <c r="O164" s="44"/>
      <c r="P164" s="44"/>
      <c r="Q164" s="44"/>
      <c r="R164" s="44"/>
      <c r="S164" s="44"/>
      <c r="T164" s="44"/>
      <c r="U164" s="44"/>
      <c r="V164" s="44"/>
      <c r="W164" s="44"/>
      <c r="X164" s="44"/>
      <c r="Y164" s="44"/>
      <c r="Z164" s="44"/>
    </row>
    <row r="165" spans="1:26" ht="15.75" customHeight="1">
      <c r="A165" s="200" t="s">
        <v>1027</v>
      </c>
      <c r="B165" s="200" t="s">
        <v>1028</v>
      </c>
      <c r="C165" s="44"/>
      <c r="D165" s="44"/>
      <c r="E165" s="44"/>
      <c r="F165" s="44"/>
      <c r="G165" s="44"/>
      <c r="H165" s="44"/>
      <c r="I165" s="44"/>
      <c r="J165" s="44"/>
      <c r="K165" s="44"/>
      <c r="L165" s="44"/>
      <c r="M165" s="44"/>
      <c r="N165" s="44"/>
      <c r="O165" s="44"/>
      <c r="P165" s="44"/>
      <c r="Q165" s="44"/>
      <c r="R165" s="44"/>
      <c r="S165" s="44"/>
      <c r="T165" s="44"/>
      <c r="U165" s="44"/>
      <c r="V165" s="44"/>
      <c r="W165" s="44"/>
      <c r="X165" s="44"/>
      <c r="Y165" s="44"/>
      <c r="Z165" s="44"/>
    </row>
    <row r="166" spans="1:26" ht="15.75" customHeight="1">
      <c r="A166" s="200" t="s">
        <v>1029</v>
      </c>
      <c r="B166" s="200" t="s">
        <v>1030</v>
      </c>
      <c r="C166" s="44"/>
      <c r="D166" s="44"/>
      <c r="E166" s="44"/>
      <c r="F166" s="44"/>
      <c r="G166" s="44"/>
      <c r="H166" s="44"/>
      <c r="I166" s="44"/>
      <c r="J166" s="44"/>
      <c r="K166" s="44"/>
      <c r="L166" s="44"/>
      <c r="M166" s="44"/>
      <c r="N166" s="44"/>
      <c r="O166" s="44"/>
      <c r="P166" s="44"/>
      <c r="Q166" s="44"/>
      <c r="R166" s="44"/>
      <c r="S166" s="44"/>
      <c r="T166" s="44"/>
      <c r="U166" s="44"/>
      <c r="V166" s="44"/>
      <c r="W166" s="44"/>
      <c r="X166" s="44"/>
      <c r="Y166" s="44"/>
      <c r="Z166" s="44"/>
    </row>
    <row r="167" spans="1:26" ht="15.75" customHeight="1">
      <c r="A167" s="200" t="s">
        <v>1031</v>
      </c>
      <c r="B167" s="200" t="s">
        <v>1032</v>
      </c>
      <c r="C167" s="44"/>
      <c r="D167" s="44"/>
      <c r="E167" s="44"/>
      <c r="F167" s="44"/>
      <c r="G167" s="44"/>
      <c r="H167" s="44"/>
      <c r="I167" s="44"/>
      <c r="J167" s="44"/>
      <c r="K167" s="44"/>
      <c r="L167" s="44"/>
      <c r="M167" s="44"/>
      <c r="N167" s="44"/>
      <c r="O167" s="44"/>
      <c r="P167" s="44"/>
      <c r="Q167" s="44"/>
      <c r="R167" s="44"/>
      <c r="S167" s="44"/>
      <c r="T167" s="44"/>
      <c r="U167" s="44"/>
      <c r="V167" s="44"/>
      <c r="W167" s="44"/>
      <c r="X167" s="44"/>
      <c r="Y167" s="44"/>
      <c r="Z167" s="44"/>
    </row>
    <row r="168" spans="1:26" ht="15.75" customHeight="1">
      <c r="A168" s="200" t="s">
        <v>1033</v>
      </c>
      <c r="B168" s="200" t="s">
        <v>1034</v>
      </c>
      <c r="C168" s="44"/>
      <c r="D168" s="44"/>
      <c r="E168" s="44"/>
      <c r="F168" s="44"/>
      <c r="G168" s="44"/>
      <c r="H168" s="44"/>
      <c r="I168" s="44"/>
      <c r="J168" s="44"/>
      <c r="K168" s="44"/>
      <c r="L168" s="44"/>
      <c r="M168" s="44"/>
      <c r="N168" s="44"/>
      <c r="O168" s="44"/>
      <c r="P168" s="44"/>
      <c r="Q168" s="44"/>
      <c r="R168" s="44"/>
      <c r="S168" s="44"/>
      <c r="T168" s="44"/>
      <c r="U168" s="44"/>
      <c r="V168" s="44"/>
      <c r="W168" s="44"/>
      <c r="X168" s="44"/>
      <c r="Y168" s="44"/>
      <c r="Z168" s="44"/>
    </row>
    <row r="169" spans="1:26" ht="15.75" customHeight="1">
      <c r="A169" s="200" t="s">
        <v>1035</v>
      </c>
      <c r="B169" s="200" t="s">
        <v>1036</v>
      </c>
      <c r="C169" s="44"/>
      <c r="D169" s="44"/>
      <c r="E169" s="44"/>
      <c r="F169" s="44"/>
      <c r="G169" s="44"/>
      <c r="H169" s="44"/>
      <c r="I169" s="44"/>
      <c r="J169" s="44"/>
      <c r="K169" s="44"/>
      <c r="L169" s="44"/>
      <c r="M169" s="44"/>
      <c r="N169" s="44"/>
      <c r="O169" s="44"/>
      <c r="P169" s="44"/>
      <c r="Q169" s="44"/>
      <c r="R169" s="44"/>
      <c r="S169" s="44"/>
      <c r="T169" s="44"/>
      <c r="U169" s="44"/>
      <c r="V169" s="44"/>
      <c r="W169" s="44"/>
      <c r="X169" s="44"/>
      <c r="Y169" s="44"/>
      <c r="Z169" s="44"/>
    </row>
    <row r="170" spans="1:26" ht="15.75" customHeight="1">
      <c r="A170" s="200" t="s">
        <v>1037</v>
      </c>
      <c r="B170" s="200" t="s">
        <v>1038</v>
      </c>
      <c r="C170" s="44"/>
      <c r="D170" s="44"/>
      <c r="E170" s="44"/>
      <c r="F170" s="44"/>
      <c r="G170" s="44"/>
      <c r="H170" s="44"/>
      <c r="I170" s="44"/>
      <c r="J170" s="44"/>
      <c r="K170" s="44"/>
      <c r="L170" s="44"/>
      <c r="M170" s="44"/>
      <c r="N170" s="44"/>
      <c r="O170" s="44"/>
      <c r="P170" s="44"/>
      <c r="Q170" s="44"/>
      <c r="R170" s="44"/>
      <c r="S170" s="44"/>
      <c r="T170" s="44"/>
      <c r="U170" s="44"/>
      <c r="V170" s="44"/>
      <c r="W170" s="44"/>
      <c r="X170" s="44"/>
      <c r="Y170" s="44"/>
      <c r="Z170" s="44"/>
    </row>
    <row r="171" spans="1:26" ht="15.75" customHeight="1">
      <c r="A171" s="200" t="s">
        <v>1039</v>
      </c>
      <c r="B171" s="200" t="s">
        <v>1040</v>
      </c>
      <c r="C171" s="44"/>
      <c r="D171" s="44"/>
      <c r="E171" s="44"/>
      <c r="F171" s="44"/>
      <c r="G171" s="44"/>
      <c r="H171" s="44"/>
      <c r="I171" s="44"/>
      <c r="J171" s="44"/>
      <c r="K171" s="44"/>
      <c r="L171" s="44"/>
      <c r="M171" s="44"/>
      <c r="N171" s="44"/>
      <c r="O171" s="44"/>
      <c r="P171" s="44"/>
      <c r="Q171" s="44"/>
      <c r="R171" s="44"/>
      <c r="S171" s="44"/>
      <c r="T171" s="44"/>
      <c r="U171" s="44"/>
      <c r="V171" s="44"/>
      <c r="W171" s="44"/>
      <c r="X171" s="44"/>
      <c r="Y171" s="44"/>
      <c r="Z171" s="44"/>
    </row>
    <row r="172" spans="1:26" ht="15.75" customHeight="1">
      <c r="A172" s="200" t="s">
        <v>1041</v>
      </c>
      <c r="B172" s="200" t="s">
        <v>1042</v>
      </c>
      <c r="C172" s="44"/>
      <c r="D172" s="44"/>
      <c r="E172" s="44"/>
      <c r="F172" s="44"/>
      <c r="G172" s="44"/>
      <c r="H172" s="44"/>
      <c r="I172" s="44"/>
      <c r="J172" s="44"/>
      <c r="K172" s="44"/>
      <c r="L172" s="44"/>
      <c r="M172" s="44"/>
      <c r="N172" s="44"/>
      <c r="O172" s="44"/>
      <c r="P172" s="44"/>
      <c r="Q172" s="44"/>
      <c r="R172" s="44"/>
      <c r="S172" s="44"/>
      <c r="T172" s="44"/>
      <c r="U172" s="44"/>
      <c r="V172" s="44"/>
      <c r="W172" s="44"/>
      <c r="X172" s="44"/>
      <c r="Y172" s="44"/>
      <c r="Z172" s="44"/>
    </row>
    <row r="173" spans="1:26" ht="15.75" customHeight="1">
      <c r="A173" s="200" t="s">
        <v>1043</v>
      </c>
      <c r="B173" s="200" t="s">
        <v>1044</v>
      </c>
      <c r="C173" s="44"/>
      <c r="D173" s="44"/>
      <c r="E173" s="44"/>
      <c r="F173" s="44"/>
      <c r="G173" s="44"/>
      <c r="H173" s="44"/>
      <c r="I173" s="44"/>
      <c r="J173" s="44"/>
      <c r="K173" s="44"/>
      <c r="L173" s="44"/>
      <c r="M173" s="44"/>
      <c r="N173" s="44"/>
      <c r="O173" s="44"/>
      <c r="P173" s="44"/>
      <c r="Q173" s="44"/>
      <c r="R173" s="44"/>
      <c r="S173" s="44"/>
      <c r="T173" s="44"/>
      <c r="U173" s="44"/>
      <c r="V173" s="44"/>
      <c r="W173" s="44"/>
      <c r="X173" s="44"/>
      <c r="Y173" s="44"/>
      <c r="Z173" s="44"/>
    </row>
    <row r="174" spans="1:26" ht="15.75" customHeight="1">
      <c r="A174" s="201" t="s">
        <v>3527</v>
      </c>
      <c r="B174" s="201" t="s">
        <v>3528</v>
      </c>
      <c r="C174" s="202" t="s">
        <v>3506</v>
      </c>
      <c r="D174" s="202"/>
      <c r="E174" s="202"/>
      <c r="F174" s="202"/>
      <c r="G174" s="202"/>
      <c r="H174" s="202"/>
      <c r="I174" s="202"/>
      <c r="J174" s="202"/>
      <c r="K174" s="202"/>
      <c r="L174" s="202"/>
      <c r="M174" s="202"/>
      <c r="N174" s="202"/>
      <c r="O174" s="202"/>
      <c r="P174" s="202"/>
      <c r="Q174" s="202"/>
      <c r="R174" s="202"/>
      <c r="S174" s="202"/>
      <c r="T174" s="202"/>
      <c r="U174" s="202"/>
      <c r="V174" s="202"/>
      <c r="W174" s="202"/>
      <c r="X174" s="202"/>
      <c r="Y174" s="202"/>
      <c r="Z174" s="202"/>
    </row>
    <row r="175" spans="1:26" ht="15.75" customHeight="1">
      <c r="A175" s="200" t="s">
        <v>1045</v>
      </c>
      <c r="B175" s="200" t="s">
        <v>1046</v>
      </c>
      <c r="C175" s="44"/>
      <c r="D175" s="44"/>
      <c r="E175" s="44"/>
      <c r="F175" s="44"/>
      <c r="G175" s="44"/>
      <c r="H175" s="44"/>
      <c r="I175" s="44"/>
      <c r="J175" s="44"/>
      <c r="K175" s="44"/>
      <c r="L175" s="44"/>
      <c r="M175" s="44"/>
      <c r="N175" s="44"/>
      <c r="O175" s="44"/>
      <c r="P175" s="44"/>
      <c r="Q175" s="44"/>
      <c r="R175" s="44"/>
      <c r="S175" s="44"/>
      <c r="T175" s="44"/>
      <c r="U175" s="44"/>
      <c r="V175" s="44"/>
      <c r="W175" s="44"/>
      <c r="X175" s="44"/>
      <c r="Y175" s="44"/>
      <c r="Z175" s="44"/>
    </row>
    <row r="176" spans="1:26" ht="15.75" customHeight="1">
      <c r="A176" s="200" t="s">
        <v>1047</v>
      </c>
      <c r="B176" s="200" t="s">
        <v>1048</v>
      </c>
      <c r="C176" s="44"/>
      <c r="D176" s="44"/>
      <c r="E176" s="44"/>
      <c r="F176" s="44"/>
      <c r="G176" s="44"/>
      <c r="H176" s="44"/>
      <c r="I176" s="44"/>
      <c r="J176" s="44"/>
      <c r="K176" s="44"/>
      <c r="L176" s="44"/>
      <c r="M176" s="44"/>
      <c r="N176" s="44"/>
      <c r="O176" s="44"/>
      <c r="P176" s="44"/>
      <c r="Q176" s="44"/>
      <c r="R176" s="44"/>
      <c r="S176" s="44"/>
      <c r="T176" s="44"/>
      <c r="U176" s="44"/>
      <c r="V176" s="44"/>
      <c r="W176" s="44"/>
      <c r="X176" s="44"/>
      <c r="Y176" s="44"/>
      <c r="Z176" s="44"/>
    </row>
    <row r="177" spans="1:26" ht="15.75" customHeight="1">
      <c r="A177" s="200" t="s">
        <v>1049</v>
      </c>
      <c r="B177" s="200" t="s">
        <v>1050</v>
      </c>
      <c r="C177" s="44"/>
      <c r="D177" s="44"/>
      <c r="E177" s="44"/>
      <c r="F177" s="44"/>
      <c r="G177" s="44"/>
      <c r="H177" s="44"/>
      <c r="I177" s="44"/>
      <c r="J177" s="44"/>
      <c r="K177" s="44"/>
      <c r="L177" s="44"/>
      <c r="M177" s="44"/>
      <c r="N177" s="44"/>
      <c r="O177" s="44"/>
      <c r="P177" s="44"/>
      <c r="Q177" s="44"/>
      <c r="R177" s="44"/>
      <c r="S177" s="44"/>
      <c r="T177" s="44"/>
      <c r="U177" s="44"/>
      <c r="V177" s="44"/>
      <c r="W177" s="44"/>
      <c r="X177" s="44"/>
      <c r="Y177" s="44"/>
      <c r="Z177" s="44"/>
    </row>
    <row r="178" spans="1:26" ht="15.75" customHeight="1">
      <c r="A178" s="201" t="s">
        <v>3529</v>
      </c>
      <c r="B178" s="201" t="s">
        <v>3505</v>
      </c>
      <c r="C178" s="202" t="s">
        <v>3506</v>
      </c>
      <c r="D178" s="202"/>
      <c r="E178" s="202"/>
      <c r="F178" s="202"/>
      <c r="G178" s="202"/>
      <c r="H178" s="202"/>
      <c r="I178" s="202"/>
      <c r="J178" s="202"/>
      <c r="K178" s="202"/>
      <c r="L178" s="202"/>
      <c r="M178" s="202"/>
      <c r="N178" s="202"/>
      <c r="O178" s="202"/>
      <c r="P178" s="202"/>
      <c r="Q178" s="202"/>
      <c r="R178" s="202"/>
      <c r="S178" s="202"/>
      <c r="T178" s="202"/>
      <c r="U178" s="202"/>
      <c r="V178" s="202"/>
      <c r="W178" s="202"/>
      <c r="X178" s="202"/>
      <c r="Y178" s="202"/>
      <c r="Z178" s="202"/>
    </row>
    <row r="179" spans="1:26" ht="15.75" customHeight="1">
      <c r="A179" s="201" t="s">
        <v>3530</v>
      </c>
      <c r="B179" s="201" t="s">
        <v>1142</v>
      </c>
      <c r="C179" s="202" t="s">
        <v>3506</v>
      </c>
      <c r="D179" s="202"/>
      <c r="E179" s="202"/>
      <c r="F179" s="202"/>
      <c r="G179" s="202"/>
      <c r="H179" s="202"/>
      <c r="I179" s="202"/>
      <c r="J179" s="202"/>
      <c r="K179" s="202"/>
      <c r="L179" s="202"/>
      <c r="M179" s="202"/>
      <c r="N179" s="202"/>
      <c r="O179" s="202"/>
      <c r="P179" s="202"/>
      <c r="Q179" s="202"/>
      <c r="R179" s="202"/>
      <c r="S179" s="202"/>
      <c r="T179" s="202"/>
      <c r="U179" s="202"/>
      <c r="V179" s="202"/>
      <c r="W179" s="202"/>
      <c r="X179" s="202"/>
      <c r="Y179" s="202"/>
      <c r="Z179" s="202"/>
    </row>
    <row r="180" spans="1:26" ht="15.75" customHeight="1">
      <c r="A180" s="201" t="s">
        <v>3531</v>
      </c>
      <c r="B180" s="201" t="s">
        <v>3532</v>
      </c>
      <c r="C180" s="202" t="s">
        <v>3506</v>
      </c>
      <c r="D180" s="202"/>
      <c r="E180" s="202"/>
      <c r="F180" s="202"/>
      <c r="G180" s="202"/>
      <c r="H180" s="202"/>
      <c r="I180" s="202"/>
      <c r="J180" s="202"/>
      <c r="K180" s="202"/>
      <c r="L180" s="202"/>
      <c r="M180" s="202"/>
      <c r="N180" s="202"/>
      <c r="O180" s="202"/>
      <c r="P180" s="202"/>
      <c r="Q180" s="202"/>
      <c r="R180" s="202"/>
      <c r="S180" s="202"/>
      <c r="T180" s="202"/>
      <c r="U180" s="202"/>
      <c r="V180" s="202"/>
      <c r="W180" s="202"/>
      <c r="X180" s="202"/>
      <c r="Y180" s="202"/>
      <c r="Z180" s="202"/>
    </row>
    <row r="181" spans="1:26" ht="15.75" customHeight="1">
      <c r="A181" s="200" t="s">
        <v>916</v>
      </c>
      <c r="B181" s="200" t="s">
        <v>990</v>
      </c>
      <c r="C181" s="44"/>
      <c r="D181" s="44"/>
      <c r="E181" s="44"/>
      <c r="F181" s="44"/>
      <c r="G181" s="44"/>
      <c r="H181" s="44"/>
      <c r="I181" s="44"/>
      <c r="J181" s="44"/>
      <c r="K181" s="44"/>
      <c r="L181" s="44"/>
      <c r="M181" s="44"/>
      <c r="N181" s="44"/>
      <c r="O181" s="44"/>
      <c r="P181" s="44"/>
      <c r="Q181" s="44"/>
      <c r="R181" s="44"/>
      <c r="S181" s="44"/>
      <c r="T181" s="44"/>
      <c r="U181" s="44"/>
      <c r="V181" s="44"/>
      <c r="W181" s="44"/>
      <c r="X181" s="44"/>
      <c r="Y181" s="44"/>
      <c r="Z181" s="44"/>
    </row>
    <row r="182" spans="1:26" ht="15.75" customHeight="1">
      <c r="A182" s="200" t="s">
        <v>929</v>
      </c>
      <c r="B182" s="200" t="s">
        <v>1051</v>
      </c>
      <c r="C182" s="44"/>
      <c r="D182" s="44"/>
      <c r="E182" s="44"/>
      <c r="F182" s="44"/>
      <c r="G182" s="44"/>
      <c r="H182" s="44"/>
      <c r="I182" s="44"/>
      <c r="J182" s="44"/>
      <c r="K182" s="44"/>
      <c r="L182" s="44"/>
      <c r="M182" s="44"/>
      <c r="N182" s="44"/>
      <c r="O182" s="44"/>
      <c r="P182" s="44"/>
      <c r="Q182" s="44"/>
      <c r="R182" s="44"/>
      <c r="S182" s="44"/>
      <c r="T182" s="44"/>
      <c r="U182" s="44"/>
      <c r="V182" s="44"/>
      <c r="W182" s="44"/>
      <c r="X182" s="44"/>
      <c r="Y182" s="44"/>
      <c r="Z182" s="44"/>
    </row>
    <row r="183" spans="1:26" ht="15.75" customHeight="1">
      <c r="A183" s="200" t="s">
        <v>1052</v>
      </c>
      <c r="B183" s="200" t="s">
        <v>1053</v>
      </c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  <c r="N183" s="44"/>
      <c r="O183" s="44"/>
      <c r="P183" s="44"/>
      <c r="Q183" s="44"/>
      <c r="R183" s="44"/>
      <c r="S183" s="44"/>
      <c r="T183" s="44"/>
      <c r="U183" s="44"/>
      <c r="V183" s="44"/>
      <c r="W183" s="44"/>
      <c r="X183" s="44"/>
      <c r="Y183" s="44"/>
      <c r="Z183" s="44"/>
    </row>
    <row r="184" spans="1:26" ht="15.75" customHeight="1">
      <c r="A184" s="200" t="s">
        <v>1054</v>
      </c>
      <c r="B184" s="200" t="s">
        <v>1055</v>
      </c>
      <c r="C184" s="44"/>
      <c r="D184" s="44"/>
      <c r="E184" s="44"/>
      <c r="F184" s="44"/>
      <c r="G184" s="44"/>
      <c r="H184" s="44"/>
      <c r="I184" s="44"/>
      <c r="J184" s="44"/>
      <c r="K184" s="44"/>
      <c r="L184" s="44"/>
      <c r="M184" s="44"/>
      <c r="N184" s="44"/>
      <c r="O184" s="44"/>
      <c r="P184" s="44"/>
      <c r="Q184" s="44"/>
      <c r="R184" s="44"/>
      <c r="S184" s="44"/>
      <c r="T184" s="44"/>
      <c r="U184" s="44"/>
      <c r="V184" s="44"/>
      <c r="W184" s="44"/>
      <c r="X184" s="44"/>
      <c r="Y184" s="44"/>
      <c r="Z184" s="44"/>
    </row>
    <row r="185" spans="1:26" ht="15.75" customHeight="1">
      <c r="A185" s="198" t="s">
        <v>359</v>
      </c>
      <c r="B185" s="198" t="s">
        <v>3533</v>
      </c>
    </row>
    <row r="186" spans="1:26" ht="15.75" customHeight="1">
      <c r="A186" s="200" t="s">
        <v>1056</v>
      </c>
      <c r="B186" s="200" t="s">
        <v>1057</v>
      </c>
      <c r="C186" s="44"/>
      <c r="D186" s="44"/>
      <c r="E186" s="44"/>
      <c r="F186" s="44"/>
      <c r="G186" s="44"/>
      <c r="H186" s="44"/>
      <c r="I186" s="44"/>
      <c r="J186" s="44"/>
      <c r="K186" s="44"/>
      <c r="L186" s="44"/>
      <c r="M186" s="44"/>
      <c r="N186" s="44"/>
      <c r="O186" s="44"/>
      <c r="P186" s="44"/>
      <c r="Q186" s="44"/>
      <c r="R186" s="44"/>
      <c r="S186" s="44"/>
      <c r="T186" s="44"/>
      <c r="U186" s="44"/>
      <c r="V186" s="44"/>
      <c r="W186" s="44"/>
      <c r="X186" s="44"/>
      <c r="Y186" s="44"/>
      <c r="Z186" s="44"/>
    </row>
    <row r="187" spans="1:26" ht="15.75" customHeight="1">
      <c r="A187" s="200" t="s">
        <v>1058</v>
      </c>
      <c r="B187" s="200" t="s">
        <v>1059</v>
      </c>
      <c r="C187" s="44"/>
      <c r="D187" s="44"/>
      <c r="E187" s="44"/>
      <c r="F187" s="44"/>
      <c r="G187" s="44"/>
      <c r="H187" s="44"/>
      <c r="I187" s="44"/>
      <c r="J187" s="44"/>
      <c r="K187" s="44"/>
      <c r="L187" s="44"/>
      <c r="M187" s="44"/>
      <c r="N187" s="44"/>
      <c r="O187" s="44"/>
      <c r="P187" s="44"/>
      <c r="Q187" s="44"/>
      <c r="R187" s="44"/>
      <c r="S187" s="44"/>
      <c r="T187" s="44"/>
      <c r="U187" s="44"/>
      <c r="V187" s="44"/>
      <c r="W187" s="44"/>
      <c r="X187" s="44"/>
      <c r="Y187" s="44"/>
      <c r="Z187" s="44"/>
    </row>
    <row r="188" spans="1:26" ht="15.75" customHeight="1">
      <c r="A188" s="200" t="s">
        <v>1060</v>
      </c>
      <c r="B188" s="200" t="s">
        <v>1061</v>
      </c>
      <c r="C188" s="44"/>
      <c r="D188" s="44"/>
      <c r="E188" s="44"/>
      <c r="F188" s="44"/>
      <c r="G188" s="44"/>
      <c r="H188" s="44"/>
      <c r="I188" s="44"/>
      <c r="J188" s="44"/>
      <c r="K188" s="44"/>
      <c r="L188" s="44"/>
      <c r="M188" s="44"/>
      <c r="N188" s="44"/>
      <c r="O188" s="44"/>
      <c r="P188" s="44"/>
      <c r="Q188" s="44"/>
      <c r="R188" s="44"/>
      <c r="S188" s="44"/>
      <c r="T188" s="44"/>
      <c r="U188" s="44"/>
      <c r="V188" s="44"/>
      <c r="W188" s="44"/>
      <c r="X188" s="44"/>
      <c r="Y188" s="44"/>
      <c r="Z188" s="44"/>
    </row>
    <row r="189" spans="1:26" ht="15.75" customHeight="1">
      <c r="A189" s="200" t="s">
        <v>1062</v>
      </c>
      <c r="B189" s="200" t="s">
        <v>1063</v>
      </c>
      <c r="C189" s="44"/>
      <c r="D189" s="44"/>
      <c r="E189" s="44"/>
      <c r="F189" s="44"/>
      <c r="G189" s="44"/>
      <c r="H189" s="44"/>
      <c r="I189" s="44"/>
      <c r="J189" s="44"/>
      <c r="K189" s="44"/>
      <c r="L189" s="44"/>
      <c r="M189" s="44"/>
      <c r="N189" s="44"/>
      <c r="O189" s="44"/>
      <c r="P189" s="44"/>
      <c r="Q189" s="44"/>
      <c r="R189" s="44"/>
      <c r="S189" s="44"/>
      <c r="T189" s="44"/>
      <c r="U189" s="44"/>
      <c r="V189" s="44"/>
      <c r="W189" s="44"/>
      <c r="X189" s="44"/>
      <c r="Y189" s="44"/>
      <c r="Z189" s="44"/>
    </row>
    <row r="190" spans="1:26" ht="15.75" customHeight="1">
      <c r="A190" s="200" t="s">
        <v>1064</v>
      </c>
      <c r="B190" s="200" t="s">
        <v>715</v>
      </c>
      <c r="C190" s="44"/>
      <c r="D190" s="44"/>
      <c r="E190" s="44"/>
      <c r="F190" s="44"/>
      <c r="G190" s="44"/>
      <c r="H190" s="44"/>
      <c r="I190" s="44"/>
      <c r="J190" s="44"/>
      <c r="K190" s="44"/>
      <c r="L190" s="44"/>
      <c r="M190" s="44"/>
      <c r="N190" s="44"/>
      <c r="O190" s="44"/>
      <c r="P190" s="44"/>
      <c r="Q190" s="44"/>
      <c r="R190" s="44"/>
      <c r="S190" s="44"/>
      <c r="T190" s="44"/>
      <c r="U190" s="44"/>
      <c r="V190" s="44"/>
      <c r="W190" s="44"/>
      <c r="X190" s="44"/>
      <c r="Y190" s="44"/>
      <c r="Z190" s="44"/>
    </row>
    <row r="191" spans="1:26" ht="15.75" customHeight="1">
      <c r="A191" s="200" t="s">
        <v>3534</v>
      </c>
      <c r="B191" s="200" t="s">
        <v>3535</v>
      </c>
      <c r="C191" s="44"/>
      <c r="D191" s="44"/>
      <c r="E191" s="44"/>
      <c r="F191" s="44"/>
      <c r="G191" s="44"/>
      <c r="H191" s="44"/>
      <c r="I191" s="44"/>
      <c r="J191" s="44"/>
      <c r="K191" s="44"/>
      <c r="L191" s="44"/>
      <c r="M191" s="44"/>
      <c r="N191" s="44"/>
      <c r="O191" s="44"/>
      <c r="P191" s="44"/>
      <c r="Q191" s="44"/>
      <c r="R191" s="44"/>
      <c r="S191" s="44"/>
      <c r="T191" s="44"/>
      <c r="U191" s="44"/>
      <c r="V191" s="44"/>
      <c r="W191" s="44"/>
      <c r="X191" s="44"/>
      <c r="Y191" s="44"/>
      <c r="Z191" s="44"/>
    </row>
    <row r="192" spans="1:26" ht="15.75" customHeight="1">
      <c r="A192" s="200" t="s">
        <v>1065</v>
      </c>
      <c r="B192" s="200" t="s">
        <v>1066</v>
      </c>
      <c r="C192" s="44"/>
      <c r="D192" s="44"/>
      <c r="E192" s="44"/>
      <c r="F192" s="44"/>
      <c r="G192" s="44"/>
      <c r="H192" s="44"/>
      <c r="I192" s="44"/>
      <c r="J192" s="44"/>
      <c r="K192" s="44"/>
      <c r="L192" s="44"/>
      <c r="M192" s="44"/>
      <c r="N192" s="44"/>
      <c r="O192" s="44"/>
      <c r="P192" s="44"/>
      <c r="Q192" s="44"/>
      <c r="R192" s="44"/>
      <c r="S192" s="44"/>
      <c r="T192" s="44"/>
      <c r="U192" s="44"/>
      <c r="V192" s="44"/>
      <c r="W192" s="44"/>
      <c r="X192" s="44"/>
      <c r="Y192" s="44"/>
      <c r="Z192" s="44"/>
    </row>
    <row r="193" spans="1:26" ht="15.75" customHeight="1">
      <c r="A193" s="200" t="s">
        <v>1067</v>
      </c>
      <c r="B193" s="200" t="s">
        <v>1068</v>
      </c>
      <c r="C193" s="44"/>
      <c r="D193" s="44"/>
      <c r="E193" s="44"/>
      <c r="F193" s="44"/>
      <c r="G193" s="44"/>
      <c r="H193" s="44"/>
      <c r="I193" s="44"/>
      <c r="J193" s="44"/>
      <c r="K193" s="44"/>
      <c r="L193" s="44"/>
      <c r="M193" s="44"/>
      <c r="N193" s="44"/>
      <c r="O193" s="44"/>
      <c r="P193" s="44"/>
      <c r="Q193" s="44"/>
      <c r="R193" s="44"/>
      <c r="S193" s="44"/>
      <c r="T193" s="44"/>
      <c r="U193" s="44"/>
      <c r="V193" s="44"/>
      <c r="W193" s="44"/>
      <c r="X193" s="44"/>
      <c r="Y193" s="44"/>
      <c r="Z193" s="44"/>
    </row>
    <row r="194" spans="1:26" ht="15.75" customHeight="1">
      <c r="A194" s="200" t="s">
        <v>1069</v>
      </c>
      <c r="B194" s="200" t="s">
        <v>1070</v>
      </c>
      <c r="C194" s="44"/>
      <c r="D194" s="44"/>
      <c r="E194" s="44"/>
      <c r="F194" s="44"/>
      <c r="G194" s="44"/>
      <c r="H194" s="44"/>
      <c r="I194" s="44"/>
      <c r="J194" s="44"/>
      <c r="K194" s="44"/>
      <c r="L194" s="44"/>
      <c r="M194" s="44"/>
      <c r="N194" s="44"/>
      <c r="O194" s="44"/>
      <c r="P194" s="44"/>
      <c r="Q194" s="44"/>
      <c r="R194" s="44"/>
      <c r="S194" s="44"/>
      <c r="T194" s="44"/>
      <c r="U194" s="44"/>
      <c r="V194" s="44"/>
      <c r="W194" s="44"/>
      <c r="X194" s="44"/>
      <c r="Y194" s="44"/>
      <c r="Z194" s="44"/>
    </row>
    <row r="195" spans="1:26" ht="15.75" customHeight="1">
      <c r="A195" s="201" t="s">
        <v>3536</v>
      </c>
      <c r="B195" s="201" t="s">
        <v>3537</v>
      </c>
      <c r="C195" s="202" t="s">
        <v>3506</v>
      </c>
      <c r="D195" s="202"/>
      <c r="E195" s="202"/>
      <c r="F195" s="202"/>
      <c r="G195" s="202"/>
      <c r="H195" s="202"/>
      <c r="I195" s="202"/>
      <c r="J195" s="202"/>
      <c r="K195" s="202"/>
      <c r="L195" s="202"/>
      <c r="M195" s="202"/>
      <c r="N195" s="202"/>
      <c r="O195" s="202"/>
      <c r="P195" s="202"/>
      <c r="Q195" s="202"/>
      <c r="R195" s="202"/>
      <c r="S195" s="202"/>
      <c r="T195" s="202"/>
      <c r="U195" s="202"/>
      <c r="V195" s="202"/>
      <c r="W195" s="202"/>
      <c r="X195" s="202"/>
      <c r="Y195" s="202"/>
      <c r="Z195" s="202"/>
    </row>
    <row r="196" spans="1:26" ht="15.75" customHeight="1">
      <c r="A196" s="200" t="s">
        <v>1071</v>
      </c>
      <c r="B196" s="200" t="s">
        <v>990</v>
      </c>
      <c r="C196" s="44"/>
      <c r="D196" s="44"/>
      <c r="E196" s="44"/>
      <c r="F196" s="44"/>
      <c r="G196" s="44"/>
      <c r="H196" s="44"/>
      <c r="I196" s="44"/>
      <c r="J196" s="44"/>
      <c r="K196" s="44"/>
      <c r="L196" s="44"/>
      <c r="M196" s="44"/>
      <c r="N196" s="44"/>
      <c r="O196" s="44"/>
      <c r="P196" s="44"/>
      <c r="Q196" s="44"/>
      <c r="R196" s="44"/>
      <c r="S196" s="44"/>
      <c r="T196" s="44"/>
      <c r="U196" s="44"/>
      <c r="V196" s="44"/>
      <c r="W196" s="44"/>
      <c r="X196" s="44"/>
      <c r="Y196" s="44"/>
      <c r="Z196" s="44"/>
    </row>
    <row r="197" spans="1:26" ht="15.75" customHeight="1">
      <c r="A197" s="200" t="s">
        <v>1072</v>
      </c>
      <c r="B197" s="200" t="s">
        <v>1051</v>
      </c>
      <c r="C197" s="44"/>
      <c r="D197" s="44"/>
      <c r="E197" s="44"/>
      <c r="F197" s="44"/>
      <c r="G197" s="44"/>
      <c r="H197" s="44"/>
      <c r="I197" s="44"/>
      <c r="J197" s="44"/>
      <c r="K197" s="44"/>
      <c r="L197" s="44"/>
      <c r="M197" s="44"/>
      <c r="N197" s="44"/>
      <c r="O197" s="44"/>
      <c r="P197" s="44"/>
      <c r="Q197" s="44"/>
      <c r="R197" s="44"/>
      <c r="S197" s="44"/>
      <c r="T197" s="44"/>
      <c r="U197" s="44"/>
      <c r="V197" s="44"/>
      <c r="W197" s="44"/>
      <c r="X197" s="44"/>
      <c r="Y197" s="44"/>
      <c r="Z197" s="44"/>
    </row>
    <row r="198" spans="1:26" ht="15.75" customHeight="1">
      <c r="A198" s="200" t="s">
        <v>1073</v>
      </c>
      <c r="B198" s="200" t="s">
        <v>1074</v>
      </c>
      <c r="C198" s="44"/>
      <c r="D198" s="44"/>
      <c r="E198" s="44"/>
      <c r="F198" s="44"/>
      <c r="G198" s="44"/>
      <c r="H198" s="44"/>
      <c r="I198" s="44"/>
      <c r="J198" s="44"/>
      <c r="K198" s="44"/>
      <c r="L198" s="44"/>
      <c r="M198" s="44"/>
      <c r="N198" s="44"/>
      <c r="O198" s="44"/>
      <c r="P198" s="44"/>
      <c r="Q198" s="44"/>
      <c r="R198" s="44"/>
      <c r="S198" s="44"/>
      <c r="T198" s="44"/>
      <c r="U198" s="44"/>
      <c r="V198" s="44"/>
      <c r="W198" s="44"/>
      <c r="X198" s="44"/>
      <c r="Y198" s="44"/>
      <c r="Z198" s="44"/>
    </row>
    <row r="199" spans="1:26" ht="15.75" customHeight="1">
      <c r="A199" s="198" t="s">
        <v>436</v>
      </c>
      <c r="B199" s="198" t="s">
        <v>3538</v>
      </c>
    </row>
    <row r="200" spans="1:26" ht="15.75" customHeight="1">
      <c r="A200" s="200" t="s">
        <v>1075</v>
      </c>
      <c r="B200" s="200" t="s">
        <v>1076</v>
      </c>
      <c r="C200" s="44"/>
      <c r="D200" s="44"/>
      <c r="E200" s="44"/>
      <c r="F200" s="44"/>
      <c r="G200" s="44"/>
      <c r="H200" s="44"/>
      <c r="I200" s="44"/>
      <c r="J200" s="44"/>
      <c r="K200" s="44"/>
      <c r="L200" s="44"/>
      <c r="M200" s="44"/>
      <c r="N200" s="44"/>
      <c r="O200" s="44"/>
      <c r="P200" s="44"/>
      <c r="Q200" s="44"/>
      <c r="R200" s="44"/>
      <c r="S200" s="44"/>
      <c r="T200" s="44"/>
      <c r="U200" s="44"/>
      <c r="V200" s="44"/>
      <c r="W200" s="44"/>
      <c r="X200" s="44"/>
      <c r="Y200" s="44"/>
      <c r="Z200" s="44"/>
    </row>
    <row r="201" spans="1:26" ht="15.75" customHeight="1">
      <c r="A201" s="200" t="s">
        <v>1077</v>
      </c>
      <c r="B201" s="200" t="s">
        <v>1078</v>
      </c>
      <c r="C201" s="44"/>
      <c r="D201" s="44"/>
      <c r="E201" s="44"/>
      <c r="F201" s="44"/>
      <c r="G201" s="44"/>
      <c r="H201" s="44"/>
      <c r="I201" s="44"/>
      <c r="J201" s="44"/>
      <c r="K201" s="44"/>
      <c r="L201" s="44"/>
      <c r="M201" s="44"/>
      <c r="N201" s="44"/>
      <c r="O201" s="44"/>
      <c r="P201" s="44"/>
      <c r="Q201" s="44"/>
      <c r="R201" s="44"/>
      <c r="S201" s="44"/>
      <c r="T201" s="44"/>
      <c r="U201" s="44"/>
      <c r="V201" s="44"/>
      <c r="W201" s="44"/>
      <c r="X201" s="44"/>
      <c r="Y201" s="44"/>
      <c r="Z201" s="44"/>
    </row>
    <row r="202" spans="1:26" ht="15.75" customHeight="1">
      <c r="A202" s="198" t="s">
        <v>3539</v>
      </c>
      <c r="B202" s="198" t="s">
        <v>3540</v>
      </c>
    </row>
    <row r="203" spans="1:26" ht="15.75" customHeight="1">
      <c r="A203" s="200" t="s">
        <v>1079</v>
      </c>
      <c r="B203" s="200" t="s">
        <v>1080</v>
      </c>
      <c r="C203" s="44"/>
      <c r="D203" s="44"/>
      <c r="E203" s="44"/>
      <c r="F203" s="44"/>
      <c r="G203" s="44"/>
      <c r="H203" s="44"/>
      <c r="I203" s="44"/>
      <c r="J203" s="44"/>
      <c r="K203" s="44"/>
      <c r="L203" s="44"/>
      <c r="M203" s="44"/>
      <c r="N203" s="44"/>
      <c r="O203" s="44"/>
      <c r="P203" s="44"/>
      <c r="Q203" s="44"/>
      <c r="R203" s="44"/>
      <c r="S203" s="44"/>
      <c r="T203" s="44"/>
      <c r="U203" s="44"/>
      <c r="V203" s="44"/>
      <c r="W203" s="44"/>
      <c r="X203" s="44"/>
      <c r="Y203" s="44"/>
      <c r="Z203" s="44"/>
    </row>
    <row r="204" spans="1:26" ht="15.75" customHeight="1">
      <c r="A204" s="200" t="s">
        <v>1081</v>
      </c>
      <c r="B204" s="200" t="s">
        <v>1082</v>
      </c>
      <c r="C204" s="44"/>
      <c r="D204" s="44"/>
      <c r="E204" s="44"/>
      <c r="F204" s="44"/>
      <c r="G204" s="44"/>
      <c r="H204" s="44"/>
      <c r="I204" s="44"/>
      <c r="J204" s="44"/>
      <c r="K204" s="44"/>
      <c r="L204" s="44"/>
      <c r="M204" s="44"/>
      <c r="N204" s="44"/>
      <c r="O204" s="44"/>
      <c r="P204" s="44"/>
      <c r="Q204" s="44"/>
      <c r="R204" s="44"/>
      <c r="S204" s="44"/>
      <c r="T204" s="44"/>
      <c r="U204" s="44"/>
      <c r="V204" s="44"/>
      <c r="W204" s="44"/>
      <c r="X204" s="44"/>
      <c r="Y204" s="44"/>
      <c r="Z204" s="44"/>
    </row>
    <row r="205" spans="1:26" ht="15.75" customHeight="1">
      <c r="A205" s="200" t="s">
        <v>1083</v>
      </c>
      <c r="B205" s="200" t="s">
        <v>1084</v>
      </c>
      <c r="C205" s="44"/>
      <c r="D205" s="44"/>
      <c r="E205" s="44"/>
      <c r="F205" s="44"/>
      <c r="G205" s="44"/>
      <c r="H205" s="44"/>
      <c r="I205" s="44"/>
      <c r="J205" s="44"/>
      <c r="K205" s="44"/>
      <c r="L205" s="44"/>
      <c r="M205" s="44"/>
      <c r="N205" s="44"/>
      <c r="O205" s="44"/>
      <c r="P205" s="44"/>
      <c r="Q205" s="44"/>
      <c r="R205" s="44"/>
      <c r="S205" s="44"/>
      <c r="T205" s="44"/>
      <c r="U205" s="44"/>
      <c r="V205" s="44"/>
      <c r="W205" s="44"/>
      <c r="X205" s="44"/>
      <c r="Y205" s="44"/>
      <c r="Z205" s="44"/>
    </row>
    <row r="206" spans="1:26" ht="15.75" customHeight="1">
      <c r="A206" s="200" t="s">
        <v>1085</v>
      </c>
      <c r="B206" s="200" t="s">
        <v>1086</v>
      </c>
      <c r="C206" s="44"/>
      <c r="D206" s="44"/>
      <c r="E206" s="44"/>
      <c r="F206" s="44"/>
      <c r="G206" s="44"/>
      <c r="H206" s="44"/>
      <c r="I206" s="44"/>
      <c r="J206" s="44"/>
      <c r="K206" s="44"/>
      <c r="L206" s="44"/>
      <c r="M206" s="44"/>
      <c r="N206" s="44"/>
      <c r="O206" s="44"/>
      <c r="P206" s="44"/>
      <c r="Q206" s="44"/>
      <c r="R206" s="44"/>
      <c r="S206" s="44"/>
      <c r="T206" s="44"/>
      <c r="U206" s="44"/>
      <c r="V206" s="44"/>
      <c r="W206" s="44"/>
      <c r="X206" s="44"/>
      <c r="Y206" s="44"/>
      <c r="Z206" s="44"/>
    </row>
    <row r="207" spans="1:26" ht="15.75" customHeight="1">
      <c r="A207" s="198" t="s">
        <v>3541</v>
      </c>
      <c r="B207" s="198" t="s">
        <v>3542</v>
      </c>
    </row>
    <row r="208" spans="1:26" ht="15.75" customHeight="1">
      <c r="A208" s="200" t="s">
        <v>1087</v>
      </c>
      <c r="B208" s="200" t="s">
        <v>1088</v>
      </c>
      <c r="C208" s="44"/>
      <c r="D208" s="44"/>
      <c r="E208" s="44"/>
      <c r="F208" s="44"/>
      <c r="G208" s="44"/>
      <c r="H208" s="44"/>
      <c r="I208" s="44"/>
      <c r="J208" s="44"/>
      <c r="K208" s="44"/>
      <c r="L208" s="44"/>
      <c r="M208" s="44"/>
      <c r="N208" s="44"/>
      <c r="O208" s="44"/>
      <c r="P208" s="44"/>
      <c r="Q208" s="44"/>
      <c r="R208" s="44"/>
      <c r="S208" s="44"/>
      <c r="T208" s="44"/>
      <c r="U208" s="44"/>
      <c r="V208" s="44"/>
      <c r="W208" s="44"/>
      <c r="X208" s="44"/>
      <c r="Y208" s="44"/>
      <c r="Z208" s="44"/>
    </row>
    <row r="209" spans="1:26" ht="15.75" customHeight="1">
      <c r="A209" s="200" t="s">
        <v>1089</v>
      </c>
      <c r="B209" s="200" t="s">
        <v>1090</v>
      </c>
      <c r="C209" s="44"/>
      <c r="D209" s="44"/>
      <c r="E209" s="44"/>
      <c r="F209" s="44"/>
      <c r="G209" s="44"/>
      <c r="H209" s="44"/>
      <c r="I209" s="44"/>
      <c r="J209" s="44"/>
      <c r="K209" s="44"/>
      <c r="L209" s="44"/>
      <c r="M209" s="44"/>
      <c r="N209" s="44"/>
      <c r="O209" s="44"/>
      <c r="P209" s="44"/>
      <c r="Q209" s="44"/>
      <c r="R209" s="44"/>
      <c r="S209" s="44"/>
      <c r="T209" s="44"/>
      <c r="U209" s="44"/>
      <c r="V209" s="44"/>
      <c r="W209" s="44"/>
      <c r="X209" s="44"/>
      <c r="Y209" s="44"/>
      <c r="Z209" s="44"/>
    </row>
    <row r="210" spans="1:26" ht="15.75" customHeight="1">
      <c r="A210" s="200" t="s">
        <v>1091</v>
      </c>
      <c r="B210" s="200" t="s">
        <v>1092</v>
      </c>
      <c r="C210" s="44"/>
      <c r="D210" s="44"/>
      <c r="E210" s="44"/>
      <c r="F210" s="44"/>
      <c r="G210" s="44"/>
      <c r="H210" s="44"/>
      <c r="I210" s="44"/>
      <c r="J210" s="44"/>
      <c r="K210" s="44"/>
      <c r="L210" s="44"/>
      <c r="M210" s="44"/>
      <c r="N210" s="44"/>
      <c r="O210" s="44"/>
      <c r="P210" s="44"/>
      <c r="Q210" s="44"/>
      <c r="R210" s="44"/>
      <c r="S210" s="44"/>
      <c r="T210" s="44"/>
      <c r="U210" s="44"/>
      <c r="V210" s="44"/>
      <c r="W210" s="44"/>
      <c r="X210" s="44"/>
      <c r="Y210" s="44"/>
      <c r="Z210" s="44"/>
    </row>
    <row r="211" spans="1:26" ht="15.75" customHeight="1">
      <c r="A211" s="200" t="s">
        <v>1093</v>
      </c>
      <c r="B211" s="200" t="s">
        <v>1094</v>
      </c>
      <c r="C211" s="44"/>
      <c r="D211" s="44"/>
      <c r="E211" s="44"/>
      <c r="F211" s="44"/>
      <c r="G211" s="44"/>
      <c r="H211" s="44"/>
      <c r="I211" s="44"/>
      <c r="J211" s="44"/>
      <c r="K211" s="44"/>
      <c r="L211" s="44"/>
      <c r="M211" s="44"/>
      <c r="N211" s="44"/>
      <c r="O211" s="44"/>
      <c r="P211" s="44"/>
      <c r="Q211" s="44"/>
      <c r="R211" s="44"/>
      <c r="S211" s="44"/>
      <c r="T211" s="44"/>
      <c r="U211" s="44"/>
      <c r="V211" s="44"/>
      <c r="W211" s="44"/>
      <c r="X211" s="44"/>
      <c r="Y211" s="44"/>
      <c r="Z211" s="44"/>
    </row>
    <row r="212" spans="1:26" ht="15.75" customHeight="1">
      <c r="A212" s="200" t="s">
        <v>1095</v>
      </c>
      <c r="B212" s="200" t="s">
        <v>1096</v>
      </c>
      <c r="C212" s="44"/>
      <c r="D212" s="44"/>
      <c r="E212" s="44"/>
      <c r="F212" s="44"/>
      <c r="G212" s="44"/>
      <c r="H212" s="44"/>
      <c r="I212" s="44"/>
      <c r="J212" s="44"/>
      <c r="K212" s="44"/>
      <c r="L212" s="44"/>
      <c r="M212" s="44"/>
      <c r="N212" s="44"/>
      <c r="O212" s="44"/>
      <c r="P212" s="44"/>
      <c r="Q212" s="44"/>
      <c r="R212" s="44"/>
      <c r="S212" s="44"/>
      <c r="T212" s="44"/>
      <c r="U212" s="44"/>
      <c r="V212" s="44"/>
      <c r="W212" s="44"/>
      <c r="X212" s="44"/>
      <c r="Y212" s="44"/>
      <c r="Z212" s="44"/>
    </row>
    <row r="213" spans="1:26" ht="15.75" customHeight="1">
      <c r="A213" s="200" t="s">
        <v>1097</v>
      </c>
      <c r="B213" s="200" t="s">
        <v>1098</v>
      </c>
      <c r="C213" s="44"/>
      <c r="D213" s="44"/>
      <c r="E213" s="44"/>
      <c r="F213" s="44"/>
      <c r="G213" s="44"/>
      <c r="H213" s="44"/>
      <c r="I213" s="44"/>
      <c r="J213" s="44"/>
      <c r="K213" s="44"/>
      <c r="L213" s="44"/>
      <c r="M213" s="44"/>
      <c r="N213" s="44"/>
      <c r="O213" s="44"/>
      <c r="P213" s="44"/>
      <c r="Q213" s="44"/>
      <c r="R213" s="44"/>
      <c r="S213" s="44"/>
      <c r="T213" s="44"/>
      <c r="U213" s="44"/>
      <c r="V213" s="44"/>
      <c r="W213" s="44"/>
      <c r="X213" s="44"/>
      <c r="Y213" s="44"/>
      <c r="Z213" s="44"/>
    </row>
    <row r="214" spans="1:26" ht="15.75" customHeight="1">
      <c r="A214" s="200" t="s">
        <v>1099</v>
      </c>
      <c r="B214" s="200" t="s">
        <v>1100</v>
      </c>
      <c r="C214" s="44"/>
      <c r="D214" s="44"/>
      <c r="E214" s="44"/>
      <c r="F214" s="44"/>
      <c r="G214" s="44"/>
      <c r="H214" s="44"/>
      <c r="I214" s="44"/>
      <c r="J214" s="44"/>
      <c r="K214" s="44"/>
      <c r="L214" s="44"/>
      <c r="M214" s="44"/>
      <c r="N214" s="44"/>
      <c r="O214" s="44"/>
      <c r="P214" s="44"/>
      <c r="Q214" s="44"/>
      <c r="R214" s="44"/>
      <c r="S214" s="44"/>
      <c r="T214" s="44"/>
      <c r="U214" s="44"/>
      <c r="V214" s="44"/>
      <c r="W214" s="44"/>
      <c r="X214" s="44"/>
      <c r="Y214" s="44"/>
      <c r="Z214" s="44"/>
    </row>
    <row r="215" spans="1:26" ht="30" customHeight="1">
      <c r="A215" s="200" t="s">
        <v>1101</v>
      </c>
      <c r="B215" s="200" t="s">
        <v>1102</v>
      </c>
      <c r="C215" s="44"/>
      <c r="D215" s="44"/>
      <c r="E215" s="44"/>
      <c r="F215" s="44"/>
      <c r="G215" s="44"/>
      <c r="H215" s="44"/>
      <c r="I215" s="44"/>
      <c r="J215" s="44"/>
      <c r="K215" s="44"/>
      <c r="L215" s="44"/>
      <c r="M215" s="44"/>
      <c r="N215" s="44"/>
      <c r="O215" s="44"/>
      <c r="P215" s="44"/>
      <c r="Q215" s="44"/>
      <c r="R215" s="44"/>
      <c r="S215" s="44"/>
      <c r="T215" s="44"/>
      <c r="U215" s="44"/>
      <c r="V215" s="44"/>
      <c r="W215" s="44"/>
      <c r="X215" s="44"/>
      <c r="Y215" s="44"/>
      <c r="Z215" s="44"/>
    </row>
    <row r="216" spans="1:26" ht="15.75" customHeight="1">
      <c r="A216" s="200" t="s">
        <v>1103</v>
      </c>
      <c r="B216" s="200" t="s">
        <v>1104</v>
      </c>
      <c r="C216" s="44"/>
      <c r="D216" s="44"/>
      <c r="E216" s="44"/>
      <c r="F216" s="44"/>
      <c r="G216" s="44"/>
      <c r="H216" s="44"/>
      <c r="I216" s="44"/>
      <c r="J216" s="44"/>
      <c r="K216" s="44"/>
      <c r="L216" s="44"/>
      <c r="M216" s="44"/>
      <c r="N216" s="44"/>
      <c r="O216" s="44"/>
      <c r="P216" s="44"/>
      <c r="Q216" s="44"/>
      <c r="R216" s="44"/>
      <c r="S216" s="44"/>
      <c r="T216" s="44"/>
      <c r="U216" s="44"/>
      <c r="V216" s="44"/>
      <c r="W216" s="44"/>
      <c r="X216" s="44"/>
      <c r="Y216" s="44"/>
      <c r="Z216" s="44"/>
    </row>
    <row r="217" spans="1:26" ht="15.75" customHeight="1">
      <c r="A217" s="200" t="s">
        <v>1105</v>
      </c>
      <c r="B217" s="200" t="s">
        <v>1106</v>
      </c>
      <c r="C217" s="44"/>
      <c r="D217" s="44"/>
      <c r="E217" s="44"/>
      <c r="F217" s="44"/>
      <c r="G217" s="44"/>
      <c r="H217" s="44"/>
      <c r="I217" s="44"/>
      <c r="J217" s="44"/>
      <c r="K217" s="44"/>
      <c r="L217" s="44"/>
      <c r="M217" s="44"/>
      <c r="N217" s="44"/>
      <c r="O217" s="44"/>
      <c r="P217" s="44"/>
      <c r="Q217" s="44"/>
      <c r="R217" s="44"/>
      <c r="S217" s="44"/>
      <c r="T217" s="44"/>
      <c r="U217" s="44"/>
      <c r="V217" s="44"/>
      <c r="W217" s="44"/>
      <c r="X217" s="44"/>
      <c r="Y217" s="44"/>
      <c r="Z217" s="44"/>
    </row>
    <row r="218" spans="1:26" ht="15.75" customHeight="1">
      <c r="A218" s="200" t="s">
        <v>1107</v>
      </c>
      <c r="B218" s="200" t="s">
        <v>1108</v>
      </c>
      <c r="C218" s="44"/>
      <c r="D218" s="44"/>
      <c r="E218" s="44"/>
      <c r="F218" s="44"/>
      <c r="G218" s="44"/>
      <c r="H218" s="44"/>
      <c r="I218" s="44"/>
      <c r="J218" s="44"/>
      <c r="K218" s="44"/>
      <c r="L218" s="44"/>
      <c r="M218" s="44"/>
      <c r="N218" s="44"/>
      <c r="O218" s="44"/>
      <c r="P218" s="44"/>
      <c r="Q218" s="44"/>
      <c r="R218" s="44"/>
      <c r="S218" s="44"/>
      <c r="T218" s="44"/>
      <c r="U218" s="44"/>
      <c r="V218" s="44"/>
      <c r="W218" s="44"/>
      <c r="X218" s="44"/>
      <c r="Y218" s="44"/>
      <c r="Z218" s="44"/>
    </row>
    <row r="219" spans="1:26" ht="15.75" customHeight="1">
      <c r="A219" s="200" t="s">
        <v>1109</v>
      </c>
      <c r="B219" s="200" t="s">
        <v>1110</v>
      </c>
      <c r="C219" s="44"/>
      <c r="D219" s="44"/>
      <c r="E219" s="44"/>
      <c r="F219" s="44"/>
      <c r="G219" s="44"/>
      <c r="H219" s="44"/>
      <c r="I219" s="44"/>
      <c r="J219" s="44"/>
      <c r="K219" s="44"/>
      <c r="L219" s="44"/>
      <c r="M219" s="44"/>
      <c r="N219" s="44"/>
      <c r="O219" s="44"/>
      <c r="P219" s="44"/>
      <c r="Q219" s="44"/>
      <c r="R219" s="44"/>
      <c r="S219" s="44"/>
      <c r="T219" s="44"/>
      <c r="U219" s="44"/>
      <c r="V219" s="44"/>
      <c r="W219" s="44"/>
      <c r="X219" s="44"/>
      <c r="Y219" s="44"/>
      <c r="Z219" s="44"/>
    </row>
    <row r="220" spans="1:26" ht="15.75" customHeight="1">
      <c r="A220" s="200" t="s">
        <v>1111</v>
      </c>
      <c r="B220" s="200" t="s">
        <v>1112</v>
      </c>
      <c r="C220" s="44"/>
      <c r="D220" s="44"/>
      <c r="E220" s="44"/>
      <c r="F220" s="44"/>
      <c r="G220" s="44"/>
      <c r="H220" s="44"/>
      <c r="I220" s="44"/>
      <c r="J220" s="44"/>
      <c r="K220" s="44"/>
      <c r="L220" s="44"/>
      <c r="M220" s="44"/>
      <c r="N220" s="44"/>
      <c r="O220" s="44"/>
      <c r="P220" s="44"/>
      <c r="Q220" s="44"/>
      <c r="R220" s="44"/>
      <c r="S220" s="44"/>
      <c r="T220" s="44"/>
      <c r="U220" s="44"/>
      <c r="V220" s="44"/>
      <c r="W220" s="44"/>
      <c r="X220" s="44"/>
      <c r="Y220" s="44"/>
      <c r="Z220" s="44"/>
    </row>
    <row r="221" spans="1:26" ht="15.75" customHeight="1">
      <c r="A221" s="200" t="s">
        <v>1113</v>
      </c>
      <c r="B221" s="200" t="s">
        <v>1114</v>
      </c>
      <c r="C221" s="44"/>
      <c r="D221" s="44"/>
      <c r="E221" s="44"/>
      <c r="F221" s="44"/>
      <c r="G221" s="44"/>
      <c r="H221" s="44"/>
      <c r="I221" s="44"/>
      <c r="J221" s="44"/>
      <c r="K221" s="44"/>
      <c r="L221" s="44"/>
      <c r="M221" s="44"/>
      <c r="N221" s="44"/>
      <c r="O221" s="44"/>
      <c r="P221" s="44"/>
      <c r="Q221" s="44"/>
      <c r="R221" s="44"/>
      <c r="S221" s="44"/>
      <c r="T221" s="44"/>
      <c r="U221" s="44"/>
      <c r="V221" s="44"/>
      <c r="W221" s="44"/>
      <c r="X221" s="44"/>
      <c r="Y221" s="44"/>
      <c r="Z221" s="44"/>
    </row>
    <row r="222" spans="1:26" ht="15.75" customHeight="1">
      <c r="A222" s="201" t="s">
        <v>3543</v>
      </c>
      <c r="B222" s="201" t="s">
        <v>3544</v>
      </c>
      <c r="C222" s="202" t="s">
        <v>3506</v>
      </c>
      <c r="D222" s="202"/>
      <c r="E222" s="202"/>
      <c r="F222" s="202"/>
      <c r="G222" s="202"/>
      <c r="H222" s="202"/>
      <c r="I222" s="202"/>
      <c r="J222" s="202"/>
      <c r="K222" s="202"/>
      <c r="L222" s="202"/>
      <c r="M222" s="202"/>
      <c r="N222" s="202"/>
      <c r="O222" s="202"/>
      <c r="P222" s="202"/>
      <c r="Q222" s="202"/>
      <c r="R222" s="202"/>
      <c r="S222" s="202"/>
      <c r="T222" s="202"/>
      <c r="U222" s="202"/>
      <c r="V222" s="202"/>
      <c r="W222" s="202"/>
      <c r="X222" s="202"/>
      <c r="Y222" s="202"/>
      <c r="Z222" s="202"/>
    </row>
    <row r="223" spans="1:26" ht="15.75" customHeight="1">
      <c r="A223" s="201" t="s">
        <v>3545</v>
      </c>
      <c r="B223" s="201" t="s">
        <v>3508</v>
      </c>
      <c r="C223" s="202" t="s">
        <v>3506</v>
      </c>
      <c r="D223" s="202"/>
      <c r="E223" s="202"/>
      <c r="F223" s="202"/>
      <c r="G223" s="202"/>
      <c r="H223" s="202"/>
      <c r="I223" s="202"/>
      <c r="J223" s="202"/>
      <c r="K223" s="202"/>
      <c r="L223" s="202"/>
      <c r="M223" s="202"/>
      <c r="N223" s="202"/>
      <c r="O223" s="202"/>
      <c r="P223" s="202"/>
      <c r="Q223" s="202"/>
      <c r="R223" s="202"/>
      <c r="S223" s="202"/>
      <c r="T223" s="202"/>
      <c r="U223" s="202"/>
      <c r="V223" s="202"/>
      <c r="W223" s="202"/>
      <c r="X223" s="202"/>
      <c r="Y223" s="202"/>
      <c r="Z223" s="202"/>
    </row>
    <row r="224" spans="1:26" ht="15.75" customHeight="1">
      <c r="A224" s="198" t="s">
        <v>3546</v>
      </c>
      <c r="B224" s="198" t="s">
        <v>3547</v>
      </c>
    </row>
    <row r="225" spans="1:26" ht="15.75" customHeight="1">
      <c r="A225" s="200" t="s">
        <v>1115</v>
      </c>
      <c r="B225" s="200" t="s">
        <v>1116</v>
      </c>
      <c r="C225" s="44"/>
      <c r="D225" s="44"/>
      <c r="E225" s="44"/>
      <c r="F225" s="44"/>
      <c r="G225" s="44"/>
      <c r="H225" s="44"/>
      <c r="I225" s="44"/>
      <c r="J225" s="44"/>
      <c r="K225" s="44"/>
      <c r="L225" s="44"/>
      <c r="M225" s="44"/>
      <c r="N225" s="44"/>
      <c r="O225" s="44"/>
      <c r="P225" s="44"/>
      <c r="Q225" s="44"/>
      <c r="R225" s="44"/>
      <c r="S225" s="44"/>
      <c r="T225" s="44"/>
      <c r="U225" s="44"/>
      <c r="V225" s="44"/>
      <c r="W225" s="44"/>
      <c r="X225" s="44"/>
      <c r="Y225" s="44"/>
      <c r="Z225" s="44"/>
    </row>
    <row r="226" spans="1:26" ht="15.75" customHeight="1">
      <c r="A226" s="200" t="s">
        <v>1117</v>
      </c>
      <c r="B226" s="200" t="s">
        <v>1118</v>
      </c>
      <c r="C226" s="44"/>
      <c r="D226" s="44"/>
      <c r="E226" s="44"/>
      <c r="F226" s="44"/>
      <c r="G226" s="44"/>
      <c r="H226" s="44"/>
      <c r="I226" s="44"/>
      <c r="J226" s="44"/>
      <c r="K226" s="44"/>
      <c r="L226" s="44"/>
      <c r="M226" s="44"/>
      <c r="N226" s="44"/>
      <c r="O226" s="44"/>
      <c r="P226" s="44"/>
      <c r="Q226" s="44"/>
      <c r="R226" s="44"/>
      <c r="S226" s="44"/>
      <c r="T226" s="44"/>
      <c r="U226" s="44"/>
      <c r="V226" s="44"/>
      <c r="W226" s="44"/>
      <c r="X226" s="44"/>
      <c r="Y226" s="44"/>
      <c r="Z226" s="44"/>
    </row>
    <row r="227" spans="1:26" ht="15.75" customHeight="1">
      <c r="A227" s="198" t="s">
        <v>3548</v>
      </c>
      <c r="B227" s="198" t="s">
        <v>3549</v>
      </c>
    </row>
    <row r="228" spans="1:26" ht="15.75" customHeight="1">
      <c r="A228" s="200" t="s">
        <v>1119</v>
      </c>
      <c r="B228" s="200" t="s">
        <v>1120</v>
      </c>
      <c r="C228" s="44"/>
      <c r="D228" s="44"/>
      <c r="E228" s="44"/>
      <c r="F228" s="44"/>
      <c r="G228" s="44"/>
      <c r="H228" s="44"/>
      <c r="I228" s="44"/>
      <c r="J228" s="44"/>
      <c r="K228" s="44"/>
      <c r="L228" s="44"/>
      <c r="M228" s="44"/>
      <c r="N228" s="44"/>
      <c r="O228" s="44"/>
      <c r="P228" s="44"/>
      <c r="Q228" s="44"/>
      <c r="R228" s="44"/>
      <c r="S228" s="44"/>
      <c r="T228" s="44"/>
      <c r="U228" s="44"/>
      <c r="V228" s="44"/>
      <c r="W228" s="44"/>
      <c r="X228" s="44"/>
      <c r="Y228" s="44"/>
      <c r="Z228" s="44"/>
    </row>
    <row r="229" spans="1:26" ht="15.75" customHeight="1">
      <c r="A229" s="200" t="s">
        <v>1121</v>
      </c>
      <c r="B229" s="200" t="s">
        <v>1122</v>
      </c>
      <c r="C229" s="44"/>
      <c r="D229" s="44"/>
      <c r="E229" s="44"/>
      <c r="F229" s="44"/>
      <c r="G229" s="44"/>
      <c r="H229" s="44"/>
      <c r="I229" s="44"/>
      <c r="J229" s="44"/>
      <c r="K229" s="44"/>
      <c r="L229" s="44"/>
      <c r="M229" s="44"/>
      <c r="N229" s="44"/>
      <c r="O229" s="44"/>
      <c r="P229" s="44"/>
      <c r="Q229" s="44"/>
      <c r="R229" s="44"/>
      <c r="S229" s="44"/>
      <c r="T229" s="44"/>
      <c r="U229" s="44"/>
      <c r="V229" s="44"/>
      <c r="W229" s="44"/>
      <c r="X229" s="44"/>
      <c r="Y229" s="44"/>
      <c r="Z229" s="44"/>
    </row>
    <row r="230" spans="1:26" ht="15.75" customHeight="1">
      <c r="A230" s="200" t="s">
        <v>1123</v>
      </c>
      <c r="B230" s="200" t="s">
        <v>1124</v>
      </c>
      <c r="C230" s="44"/>
      <c r="D230" s="44"/>
      <c r="E230" s="44"/>
      <c r="F230" s="44"/>
      <c r="G230" s="44"/>
      <c r="H230" s="44"/>
      <c r="I230" s="44"/>
      <c r="J230" s="44"/>
      <c r="K230" s="44"/>
      <c r="L230" s="44"/>
      <c r="M230" s="44"/>
      <c r="N230" s="44"/>
      <c r="O230" s="44"/>
      <c r="P230" s="44"/>
      <c r="Q230" s="44"/>
      <c r="R230" s="44"/>
      <c r="S230" s="44"/>
      <c r="T230" s="44"/>
      <c r="U230" s="44"/>
      <c r="V230" s="44"/>
      <c r="W230" s="44"/>
      <c r="X230" s="44"/>
      <c r="Y230" s="44"/>
      <c r="Z230" s="44"/>
    </row>
    <row r="231" spans="1:26" ht="15.75" customHeight="1">
      <c r="A231" s="200" t="s">
        <v>1125</v>
      </c>
      <c r="B231" s="200" t="s">
        <v>1126</v>
      </c>
      <c r="C231" s="44"/>
      <c r="D231" s="44"/>
      <c r="E231" s="44"/>
      <c r="F231" s="44"/>
      <c r="G231" s="44"/>
      <c r="H231" s="44"/>
      <c r="I231" s="44"/>
      <c r="J231" s="44"/>
      <c r="K231" s="44"/>
      <c r="L231" s="44"/>
      <c r="M231" s="44"/>
      <c r="N231" s="44"/>
      <c r="O231" s="44"/>
      <c r="P231" s="44"/>
      <c r="Q231" s="44"/>
      <c r="R231" s="44"/>
      <c r="S231" s="44"/>
      <c r="T231" s="44"/>
      <c r="U231" s="44"/>
      <c r="V231" s="44"/>
      <c r="W231" s="44"/>
      <c r="X231" s="44"/>
      <c r="Y231" s="44"/>
      <c r="Z231" s="44"/>
    </row>
    <row r="232" spans="1:26" ht="15.75" customHeight="1">
      <c r="A232" s="201" t="s">
        <v>3550</v>
      </c>
      <c r="B232" s="201" t="s">
        <v>3551</v>
      </c>
      <c r="C232" s="202" t="s">
        <v>3506</v>
      </c>
      <c r="D232" s="202"/>
      <c r="E232" s="202"/>
      <c r="F232" s="202"/>
      <c r="G232" s="202"/>
      <c r="H232" s="202"/>
      <c r="I232" s="202"/>
      <c r="J232" s="202"/>
      <c r="K232" s="202"/>
      <c r="L232" s="202"/>
      <c r="M232" s="202"/>
      <c r="N232" s="202"/>
      <c r="O232" s="202"/>
      <c r="P232" s="202"/>
      <c r="Q232" s="202"/>
      <c r="R232" s="202"/>
      <c r="S232" s="202"/>
      <c r="T232" s="202"/>
      <c r="U232" s="202"/>
      <c r="V232" s="202"/>
      <c r="W232" s="202"/>
      <c r="X232" s="202"/>
      <c r="Y232" s="202"/>
      <c r="Z232" s="202"/>
    </row>
    <row r="233" spans="1:26" ht="15.75" customHeight="1">
      <c r="A233" s="198" t="s">
        <v>3552</v>
      </c>
      <c r="B233" s="198" t="s">
        <v>3553</v>
      </c>
    </row>
    <row r="234" spans="1:26" ht="15.75" customHeight="1">
      <c r="A234" s="200" t="s">
        <v>1127</v>
      </c>
      <c r="B234" s="200" t="s">
        <v>1128</v>
      </c>
      <c r="C234" s="44"/>
      <c r="D234" s="44"/>
      <c r="E234" s="44"/>
      <c r="F234" s="44"/>
      <c r="G234" s="44"/>
      <c r="H234" s="44"/>
      <c r="I234" s="44"/>
      <c r="J234" s="44"/>
      <c r="K234" s="44"/>
      <c r="L234" s="44"/>
      <c r="M234" s="44"/>
      <c r="N234" s="44"/>
      <c r="O234" s="44"/>
      <c r="P234" s="44"/>
      <c r="Q234" s="44"/>
      <c r="R234" s="44"/>
      <c r="S234" s="44"/>
      <c r="T234" s="44"/>
      <c r="U234" s="44"/>
      <c r="V234" s="44"/>
      <c r="W234" s="44"/>
      <c r="X234" s="44"/>
      <c r="Y234" s="44"/>
      <c r="Z234" s="44"/>
    </row>
    <row r="235" spans="1:26" ht="15.75" customHeight="1">
      <c r="A235" s="200" t="s">
        <v>1129</v>
      </c>
      <c r="B235" s="200" t="s">
        <v>1130</v>
      </c>
      <c r="C235" s="44"/>
      <c r="D235" s="44"/>
      <c r="E235" s="44"/>
      <c r="F235" s="44"/>
      <c r="G235" s="44"/>
      <c r="H235" s="44"/>
      <c r="I235" s="44"/>
      <c r="J235" s="44"/>
      <c r="K235" s="44"/>
      <c r="L235" s="44"/>
      <c r="M235" s="44"/>
      <c r="N235" s="44"/>
      <c r="O235" s="44"/>
      <c r="P235" s="44"/>
      <c r="Q235" s="44"/>
      <c r="R235" s="44"/>
      <c r="S235" s="44"/>
      <c r="T235" s="44"/>
      <c r="U235" s="44"/>
      <c r="V235" s="44"/>
      <c r="W235" s="44"/>
      <c r="X235" s="44"/>
      <c r="Y235" s="44"/>
      <c r="Z235" s="44"/>
    </row>
    <row r="236" spans="1:26" ht="15.75" customHeight="1">
      <c r="A236" s="200" t="s">
        <v>1131</v>
      </c>
      <c r="B236" s="200" t="s">
        <v>1132</v>
      </c>
      <c r="C236" s="44"/>
      <c r="D236" s="44"/>
      <c r="E236" s="44"/>
      <c r="F236" s="44"/>
      <c r="G236" s="44"/>
      <c r="H236" s="44"/>
      <c r="I236" s="44"/>
      <c r="J236" s="44"/>
      <c r="K236" s="44"/>
      <c r="L236" s="44"/>
      <c r="M236" s="44"/>
      <c r="N236" s="44"/>
      <c r="O236" s="44"/>
      <c r="P236" s="44"/>
      <c r="Q236" s="44"/>
      <c r="R236" s="44"/>
      <c r="S236" s="44"/>
      <c r="T236" s="44"/>
      <c r="U236" s="44"/>
      <c r="V236" s="44"/>
      <c r="W236" s="44"/>
      <c r="X236" s="44"/>
      <c r="Y236" s="44"/>
      <c r="Z236" s="44"/>
    </row>
    <row r="237" spans="1:26" ht="15.75" customHeight="1">
      <c r="A237" s="200" t="s">
        <v>1133</v>
      </c>
      <c r="B237" s="200" t="s">
        <v>1134</v>
      </c>
      <c r="C237" s="44"/>
      <c r="D237" s="44"/>
      <c r="E237" s="44"/>
      <c r="F237" s="44"/>
      <c r="G237" s="44"/>
      <c r="H237" s="44"/>
      <c r="I237" s="44"/>
      <c r="J237" s="44"/>
      <c r="K237" s="44"/>
      <c r="L237" s="44"/>
      <c r="M237" s="44"/>
      <c r="N237" s="44"/>
      <c r="O237" s="44"/>
      <c r="P237" s="44"/>
      <c r="Q237" s="44"/>
      <c r="R237" s="44"/>
      <c r="S237" s="44"/>
      <c r="T237" s="44"/>
      <c r="U237" s="44"/>
      <c r="V237" s="44"/>
      <c r="W237" s="44"/>
      <c r="X237" s="44"/>
      <c r="Y237" s="44"/>
      <c r="Z237" s="44"/>
    </row>
    <row r="238" spans="1:26" ht="15.75" customHeight="1">
      <c r="A238" s="200" t="s">
        <v>1135</v>
      </c>
      <c r="B238" s="200" t="s">
        <v>1136</v>
      </c>
      <c r="C238" s="44"/>
      <c r="D238" s="44"/>
      <c r="E238" s="44"/>
      <c r="F238" s="44"/>
      <c r="G238" s="44"/>
      <c r="H238" s="44"/>
      <c r="I238" s="44"/>
      <c r="J238" s="44"/>
      <c r="K238" s="44"/>
      <c r="L238" s="44"/>
      <c r="M238" s="44"/>
      <c r="N238" s="44"/>
      <c r="O238" s="44"/>
      <c r="P238" s="44"/>
      <c r="Q238" s="44"/>
      <c r="R238" s="44"/>
      <c r="S238" s="44"/>
      <c r="T238" s="44"/>
      <c r="U238" s="44"/>
      <c r="V238" s="44"/>
      <c r="W238" s="44"/>
      <c r="X238" s="44"/>
      <c r="Y238" s="44"/>
      <c r="Z238" s="44"/>
    </row>
    <row r="239" spans="1:26" ht="15.75" customHeight="1">
      <c r="A239" s="200" t="s">
        <v>1137</v>
      </c>
      <c r="B239" s="200" t="s">
        <v>1138</v>
      </c>
      <c r="C239" s="44"/>
      <c r="D239" s="44"/>
      <c r="E239" s="44"/>
      <c r="F239" s="44"/>
      <c r="G239" s="44"/>
      <c r="H239" s="44"/>
      <c r="I239" s="44"/>
      <c r="J239" s="44"/>
      <c r="K239" s="44"/>
      <c r="L239" s="44"/>
      <c r="M239" s="44"/>
      <c r="N239" s="44"/>
      <c r="O239" s="44"/>
      <c r="P239" s="44"/>
      <c r="Q239" s="44"/>
      <c r="R239" s="44"/>
      <c r="S239" s="44"/>
      <c r="T239" s="44"/>
      <c r="U239" s="44"/>
      <c r="V239" s="44"/>
      <c r="W239" s="44"/>
      <c r="X239" s="44"/>
      <c r="Y239" s="44"/>
      <c r="Z239" s="44"/>
    </row>
    <row r="240" spans="1:26" ht="15.75" customHeight="1">
      <c r="A240" s="200" t="s">
        <v>1139</v>
      </c>
      <c r="B240" s="200" t="s">
        <v>1140</v>
      </c>
      <c r="C240" s="44"/>
      <c r="D240" s="44"/>
      <c r="E240" s="44"/>
      <c r="F240" s="44"/>
      <c r="G240" s="44"/>
      <c r="H240" s="44"/>
      <c r="I240" s="44"/>
      <c r="J240" s="44"/>
      <c r="K240" s="44"/>
      <c r="L240" s="44"/>
      <c r="M240" s="44"/>
      <c r="N240" s="44"/>
      <c r="O240" s="44"/>
      <c r="P240" s="44"/>
      <c r="Q240" s="44"/>
      <c r="R240" s="44"/>
      <c r="S240" s="44"/>
      <c r="T240" s="44"/>
      <c r="U240" s="44"/>
      <c r="V240" s="44"/>
      <c r="W240" s="44"/>
      <c r="X240" s="44"/>
      <c r="Y240" s="44"/>
      <c r="Z240" s="44"/>
    </row>
    <row r="241" spans="1:26" ht="15.75" customHeight="1">
      <c r="A241" s="200" t="s">
        <v>1141</v>
      </c>
      <c r="B241" s="200" t="s">
        <v>1142</v>
      </c>
      <c r="C241" s="44"/>
      <c r="D241" s="44"/>
      <c r="E241" s="44"/>
      <c r="F241" s="44"/>
      <c r="G241" s="44"/>
      <c r="H241" s="44"/>
      <c r="I241" s="44"/>
      <c r="J241" s="44"/>
      <c r="K241" s="44"/>
      <c r="L241" s="44"/>
      <c r="M241" s="44"/>
      <c r="N241" s="44"/>
      <c r="O241" s="44"/>
      <c r="P241" s="44"/>
      <c r="Q241" s="44"/>
      <c r="R241" s="44"/>
      <c r="S241" s="44"/>
      <c r="T241" s="44"/>
      <c r="U241" s="44"/>
      <c r="V241" s="44"/>
      <c r="W241" s="44"/>
      <c r="X241" s="44"/>
      <c r="Y241" s="44"/>
      <c r="Z241" s="44"/>
    </row>
    <row r="242" spans="1:26" ht="15.75" customHeight="1">
      <c r="A242" s="198" t="s">
        <v>3554</v>
      </c>
      <c r="B242" s="198" t="s">
        <v>3555</v>
      </c>
    </row>
    <row r="243" spans="1:26" ht="15.75" customHeight="1">
      <c r="A243" s="200" t="s">
        <v>1143</v>
      </c>
      <c r="B243" s="200" t="s">
        <v>1144</v>
      </c>
      <c r="C243" s="44"/>
      <c r="D243" s="44"/>
      <c r="E243" s="44"/>
      <c r="F243" s="44"/>
      <c r="G243" s="44"/>
      <c r="H243" s="44"/>
      <c r="I243" s="44"/>
      <c r="J243" s="44"/>
      <c r="K243" s="44"/>
      <c r="L243" s="44"/>
      <c r="M243" s="44"/>
      <c r="N243" s="44"/>
      <c r="O243" s="44"/>
      <c r="P243" s="44"/>
      <c r="Q243" s="44"/>
      <c r="R243" s="44"/>
      <c r="S243" s="44"/>
      <c r="T243" s="44"/>
      <c r="U243" s="44"/>
      <c r="V243" s="44"/>
      <c r="W243" s="44"/>
      <c r="X243" s="44"/>
      <c r="Y243" s="44"/>
      <c r="Z243" s="44"/>
    </row>
    <row r="244" spans="1:26" ht="15.75" customHeight="1">
      <c r="A244" s="200" t="s">
        <v>1145</v>
      </c>
      <c r="B244" s="200" t="s">
        <v>1146</v>
      </c>
      <c r="C244" s="44"/>
      <c r="D244" s="44"/>
      <c r="E244" s="44"/>
      <c r="F244" s="44"/>
      <c r="G244" s="44"/>
      <c r="H244" s="44"/>
      <c r="I244" s="44"/>
      <c r="J244" s="44"/>
      <c r="K244" s="44"/>
      <c r="L244" s="44"/>
      <c r="M244" s="44"/>
      <c r="N244" s="44"/>
      <c r="O244" s="44"/>
      <c r="P244" s="44"/>
      <c r="Q244" s="44"/>
      <c r="R244" s="44"/>
      <c r="S244" s="44"/>
      <c r="T244" s="44"/>
      <c r="U244" s="44"/>
      <c r="V244" s="44"/>
      <c r="W244" s="44"/>
      <c r="X244" s="44"/>
      <c r="Y244" s="44"/>
      <c r="Z244" s="44"/>
    </row>
    <row r="245" spans="1:26" ht="15.75" customHeight="1">
      <c r="A245" s="200" t="s">
        <v>1147</v>
      </c>
      <c r="B245" s="200" t="s">
        <v>1148</v>
      </c>
      <c r="C245" s="44"/>
      <c r="D245" s="44"/>
      <c r="E245" s="44"/>
      <c r="F245" s="44"/>
      <c r="G245" s="44"/>
      <c r="H245" s="44"/>
      <c r="I245" s="44"/>
      <c r="J245" s="44"/>
      <c r="K245" s="44"/>
      <c r="L245" s="44"/>
      <c r="M245" s="44"/>
      <c r="N245" s="44"/>
      <c r="O245" s="44"/>
      <c r="P245" s="44"/>
      <c r="Q245" s="44"/>
      <c r="R245" s="44"/>
      <c r="S245" s="44"/>
      <c r="T245" s="44"/>
      <c r="U245" s="44"/>
      <c r="V245" s="44"/>
      <c r="W245" s="44"/>
      <c r="X245" s="44"/>
      <c r="Y245" s="44"/>
      <c r="Z245" s="44"/>
    </row>
    <row r="246" spans="1:26" ht="15.75" customHeight="1">
      <c r="A246" s="200" t="s">
        <v>1149</v>
      </c>
      <c r="B246" s="200" t="s">
        <v>1150</v>
      </c>
      <c r="C246" s="44"/>
      <c r="D246" s="44"/>
      <c r="E246" s="44"/>
      <c r="F246" s="44"/>
      <c r="G246" s="44"/>
      <c r="H246" s="44"/>
      <c r="I246" s="44"/>
      <c r="J246" s="44"/>
      <c r="K246" s="44"/>
      <c r="L246" s="44"/>
      <c r="M246" s="44"/>
      <c r="N246" s="44"/>
      <c r="O246" s="44"/>
      <c r="P246" s="44"/>
      <c r="Q246" s="44"/>
      <c r="R246" s="44"/>
      <c r="S246" s="44"/>
      <c r="T246" s="44"/>
      <c r="U246" s="44"/>
      <c r="V246" s="44"/>
      <c r="W246" s="44"/>
      <c r="X246" s="44"/>
      <c r="Y246" s="44"/>
      <c r="Z246" s="44"/>
    </row>
    <row r="247" spans="1:26" ht="15.75" customHeight="1">
      <c r="A247" s="200" t="s">
        <v>1151</v>
      </c>
      <c r="B247" s="200" t="s">
        <v>1152</v>
      </c>
      <c r="C247" s="44"/>
      <c r="D247" s="44"/>
      <c r="E247" s="44"/>
      <c r="F247" s="44"/>
      <c r="G247" s="44"/>
      <c r="H247" s="44"/>
      <c r="I247" s="44"/>
      <c r="J247" s="44"/>
      <c r="K247" s="44"/>
      <c r="L247" s="44"/>
      <c r="M247" s="44"/>
      <c r="N247" s="44"/>
      <c r="O247" s="44"/>
      <c r="P247" s="44"/>
      <c r="Q247" s="44"/>
      <c r="R247" s="44"/>
      <c r="S247" s="44"/>
      <c r="T247" s="44"/>
      <c r="U247" s="44"/>
      <c r="V247" s="44"/>
      <c r="W247" s="44"/>
      <c r="X247" s="44"/>
      <c r="Y247" s="44"/>
      <c r="Z247" s="44"/>
    </row>
    <row r="248" spans="1:26" ht="15.75" customHeight="1">
      <c r="A248" s="200" t="s">
        <v>1153</v>
      </c>
      <c r="B248" s="200" t="s">
        <v>1154</v>
      </c>
      <c r="C248" s="44"/>
      <c r="D248" s="44"/>
      <c r="E248" s="44"/>
      <c r="F248" s="44"/>
      <c r="G248" s="44"/>
      <c r="H248" s="44"/>
      <c r="I248" s="44"/>
      <c r="J248" s="44"/>
      <c r="K248" s="44"/>
      <c r="L248" s="44"/>
      <c r="M248" s="44"/>
      <c r="N248" s="44"/>
      <c r="O248" s="44"/>
      <c r="P248" s="44"/>
      <c r="Q248" s="44"/>
      <c r="R248" s="44"/>
      <c r="S248" s="44"/>
      <c r="T248" s="44"/>
      <c r="U248" s="44"/>
      <c r="V248" s="44"/>
      <c r="W248" s="44"/>
      <c r="X248" s="44"/>
      <c r="Y248" s="44"/>
      <c r="Z248" s="44"/>
    </row>
    <row r="249" spans="1:26" ht="15.75" customHeight="1">
      <c r="A249" s="200" t="s">
        <v>1155</v>
      </c>
      <c r="B249" s="200" t="s">
        <v>1156</v>
      </c>
      <c r="C249" s="44"/>
      <c r="D249" s="44"/>
      <c r="E249" s="44"/>
      <c r="F249" s="44"/>
      <c r="G249" s="44"/>
      <c r="H249" s="44"/>
      <c r="I249" s="44"/>
      <c r="J249" s="44"/>
      <c r="K249" s="44"/>
      <c r="L249" s="44"/>
      <c r="M249" s="44"/>
      <c r="N249" s="44"/>
      <c r="O249" s="44"/>
      <c r="P249" s="44"/>
      <c r="Q249" s="44"/>
      <c r="R249" s="44"/>
      <c r="S249" s="44"/>
      <c r="T249" s="44"/>
      <c r="U249" s="44"/>
      <c r="V249" s="44"/>
      <c r="W249" s="44"/>
      <c r="X249" s="44"/>
      <c r="Y249" s="44"/>
      <c r="Z249" s="44"/>
    </row>
    <row r="250" spans="1:26" ht="15.75" customHeight="1">
      <c r="A250" s="200" t="s">
        <v>1157</v>
      </c>
      <c r="B250" s="200" t="s">
        <v>1158</v>
      </c>
      <c r="C250" s="44"/>
      <c r="D250" s="44"/>
      <c r="E250" s="44"/>
      <c r="F250" s="44"/>
      <c r="G250" s="44"/>
      <c r="H250" s="44"/>
      <c r="I250" s="44"/>
      <c r="J250" s="44"/>
      <c r="K250" s="44"/>
      <c r="L250" s="44"/>
      <c r="M250" s="44"/>
      <c r="N250" s="44"/>
      <c r="O250" s="44"/>
      <c r="P250" s="44"/>
      <c r="Q250" s="44"/>
      <c r="R250" s="44"/>
      <c r="S250" s="44"/>
      <c r="T250" s="44"/>
      <c r="U250" s="44"/>
      <c r="V250" s="44"/>
      <c r="W250" s="44"/>
      <c r="X250" s="44"/>
      <c r="Y250" s="44"/>
      <c r="Z250" s="44"/>
    </row>
    <row r="251" spans="1:26" ht="15.75" customHeight="1">
      <c r="A251" s="200" t="s">
        <v>1159</v>
      </c>
      <c r="B251" s="200" t="s">
        <v>1160</v>
      </c>
      <c r="C251" s="44"/>
      <c r="D251" s="44"/>
      <c r="E251" s="44"/>
      <c r="F251" s="44"/>
      <c r="G251" s="44"/>
      <c r="H251" s="44"/>
      <c r="I251" s="44"/>
      <c r="J251" s="44"/>
      <c r="K251" s="44"/>
      <c r="L251" s="44"/>
      <c r="M251" s="44"/>
      <c r="N251" s="44"/>
      <c r="O251" s="44"/>
      <c r="P251" s="44"/>
      <c r="Q251" s="44"/>
      <c r="R251" s="44"/>
      <c r="S251" s="44"/>
      <c r="T251" s="44"/>
      <c r="U251" s="44"/>
      <c r="V251" s="44"/>
      <c r="W251" s="44"/>
      <c r="X251" s="44"/>
      <c r="Y251" s="44"/>
      <c r="Z251" s="44"/>
    </row>
    <row r="252" spans="1:26" ht="15.75" customHeight="1">
      <c r="A252" s="200" t="s">
        <v>1161</v>
      </c>
      <c r="B252" s="200" t="s">
        <v>1162</v>
      </c>
      <c r="C252" s="44"/>
      <c r="D252" s="44"/>
      <c r="E252" s="44"/>
      <c r="F252" s="44"/>
      <c r="G252" s="44"/>
      <c r="H252" s="44"/>
      <c r="I252" s="44"/>
      <c r="J252" s="44"/>
      <c r="K252" s="44"/>
      <c r="L252" s="44"/>
      <c r="M252" s="44"/>
      <c r="N252" s="44"/>
      <c r="O252" s="44"/>
      <c r="P252" s="44"/>
      <c r="Q252" s="44"/>
      <c r="R252" s="44"/>
      <c r="S252" s="44"/>
      <c r="T252" s="44"/>
      <c r="U252" s="44"/>
      <c r="V252" s="44"/>
      <c r="W252" s="44"/>
      <c r="X252" s="44"/>
      <c r="Y252" s="44"/>
      <c r="Z252" s="44"/>
    </row>
    <row r="253" spans="1:26" ht="30" customHeight="1">
      <c r="A253" s="200" t="s">
        <v>1163</v>
      </c>
      <c r="B253" s="200" t="s">
        <v>1164</v>
      </c>
      <c r="C253" s="44"/>
      <c r="D253" s="44"/>
      <c r="E253" s="44"/>
      <c r="F253" s="44"/>
      <c r="G253" s="44"/>
      <c r="H253" s="44"/>
      <c r="I253" s="44"/>
      <c r="J253" s="44"/>
      <c r="K253" s="44"/>
      <c r="L253" s="44"/>
      <c r="M253" s="44"/>
      <c r="N253" s="44"/>
      <c r="O253" s="44"/>
      <c r="P253" s="44"/>
      <c r="Q253" s="44"/>
      <c r="R253" s="44"/>
      <c r="S253" s="44"/>
      <c r="T253" s="44"/>
      <c r="U253" s="44"/>
      <c r="V253" s="44"/>
      <c r="W253" s="44"/>
      <c r="X253" s="44"/>
      <c r="Y253" s="44"/>
      <c r="Z253" s="44"/>
    </row>
    <row r="254" spans="1:26" ht="15.75" customHeight="1">
      <c r="A254" s="200" t="s">
        <v>1165</v>
      </c>
      <c r="B254" s="200" t="s">
        <v>1166</v>
      </c>
      <c r="C254" s="44"/>
      <c r="D254" s="44"/>
      <c r="E254" s="44"/>
      <c r="F254" s="44"/>
      <c r="G254" s="44"/>
      <c r="H254" s="44"/>
      <c r="I254" s="44"/>
      <c r="J254" s="44"/>
      <c r="K254" s="44"/>
      <c r="L254" s="44"/>
      <c r="M254" s="44"/>
      <c r="N254" s="44"/>
      <c r="O254" s="44"/>
      <c r="P254" s="44"/>
      <c r="Q254" s="44"/>
      <c r="R254" s="44"/>
      <c r="S254" s="44"/>
      <c r="T254" s="44"/>
      <c r="U254" s="44"/>
      <c r="V254" s="44"/>
      <c r="W254" s="44"/>
      <c r="X254" s="44"/>
      <c r="Y254" s="44"/>
      <c r="Z254" s="44"/>
    </row>
    <row r="255" spans="1:26" ht="15.75" customHeight="1">
      <c r="A255" s="200" t="s">
        <v>1167</v>
      </c>
      <c r="B255" s="200" t="s">
        <v>1168</v>
      </c>
      <c r="C255" s="44"/>
      <c r="D255" s="44"/>
      <c r="E255" s="44"/>
      <c r="F255" s="44"/>
      <c r="G255" s="44"/>
      <c r="H255" s="44"/>
      <c r="I255" s="44"/>
      <c r="J255" s="44"/>
      <c r="K255" s="44"/>
      <c r="L255" s="44"/>
      <c r="M255" s="44"/>
      <c r="N255" s="44"/>
      <c r="O255" s="44"/>
      <c r="P255" s="44"/>
      <c r="Q255" s="44"/>
      <c r="R255" s="44"/>
      <c r="S255" s="44"/>
      <c r="T255" s="44"/>
      <c r="U255" s="44"/>
      <c r="V255" s="44"/>
      <c r="W255" s="44"/>
      <c r="X255" s="44"/>
      <c r="Y255" s="44"/>
      <c r="Z255" s="44"/>
    </row>
    <row r="256" spans="1:26" ht="15.75" customHeight="1">
      <c r="A256" s="200" t="s">
        <v>1169</v>
      </c>
      <c r="B256" s="200" t="s">
        <v>1170</v>
      </c>
      <c r="C256" s="44"/>
      <c r="D256" s="44"/>
      <c r="E256" s="44"/>
      <c r="F256" s="44"/>
      <c r="G256" s="44"/>
      <c r="H256" s="44"/>
      <c r="I256" s="44"/>
      <c r="J256" s="44"/>
      <c r="K256" s="44"/>
      <c r="L256" s="44"/>
      <c r="M256" s="44"/>
      <c r="N256" s="44"/>
      <c r="O256" s="44"/>
      <c r="P256" s="44"/>
      <c r="Q256" s="44"/>
      <c r="R256" s="44"/>
      <c r="S256" s="44"/>
      <c r="T256" s="44"/>
      <c r="U256" s="44"/>
      <c r="V256" s="44"/>
      <c r="W256" s="44"/>
      <c r="X256" s="44"/>
      <c r="Y256" s="44"/>
      <c r="Z256" s="44"/>
    </row>
    <row r="257" spans="1:26" ht="15.75" customHeight="1">
      <c r="A257" s="200" t="s">
        <v>1171</v>
      </c>
      <c r="B257" s="200" t="s">
        <v>1172</v>
      </c>
      <c r="C257" s="44"/>
      <c r="D257" s="44"/>
      <c r="E257" s="44"/>
      <c r="F257" s="44"/>
      <c r="G257" s="44"/>
      <c r="H257" s="44"/>
      <c r="I257" s="44"/>
      <c r="J257" s="44"/>
      <c r="K257" s="44"/>
      <c r="L257" s="44"/>
      <c r="M257" s="44"/>
      <c r="N257" s="44"/>
      <c r="O257" s="44"/>
      <c r="P257" s="44"/>
      <c r="Q257" s="44"/>
      <c r="R257" s="44"/>
      <c r="S257" s="44"/>
      <c r="T257" s="44"/>
      <c r="U257" s="44"/>
      <c r="V257" s="44"/>
      <c r="W257" s="44"/>
      <c r="X257" s="44"/>
      <c r="Y257" s="44"/>
      <c r="Z257" s="44"/>
    </row>
    <row r="258" spans="1:26" ht="15.75" customHeight="1">
      <c r="A258" s="200" t="s">
        <v>1173</v>
      </c>
      <c r="B258" s="200" t="s">
        <v>1174</v>
      </c>
      <c r="C258" s="44"/>
      <c r="D258" s="44"/>
      <c r="E258" s="44"/>
      <c r="F258" s="44"/>
      <c r="G258" s="44"/>
      <c r="H258" s="44"/>
      <c r="I258" s="44"/>
      <c r="J258" s="44"/>
      <c r="K258" s="44"/>
      <c r="L258" s="44"/>
      <c r="M258" s="44"/>
      <c r="N258" s="44"/>
      <c r="O258" s="44"/>
      <c r="P258" s="44"/>
      <c r="Q258" s="44"/>
      <c r="R258" s="44"/>
      <c r="S258" s="44"/>
      <c r="T258" s="44"/>
      <c r="U258" s="44"/>
      <c r="V258" s="44"/>
      <c r="W258" s="44"/>
      <c r="X258" s="44"/>
      <c r="Y258" s="44"/>
      <c r="Z258" s="44"/>
    </row>
    <row r="259" spans="1:26" ht="15.75" customHeight="1">
      <c r="A259" s="200" t="s">
        <v>1175</v>
      </c>
      <c r="B259" s="200" t="s">
        <v>1176</v>
      </c>
      <c r="C259" s="44"/>
      <c r="D259" s="44"/>
      <c r="E259" s="44"/>
      <c r="F259" s="44"/>
      <c r="G259" s="44"/>
      <c r="H259" s="44"/>
      <c r="I259" s="44"/>
      <c r="J259" s="44"/>
      <c r="K259" s="44"/>
      <c r="L259" s="44"/>
      <c r="M259" s="44"/>
      <c r="N259" s="44"/>
      <c r="O259" s="44"/>
      <c r="P259" s="44"/>
      <c r="Q259" s="44"/>
      <c r="R259" s="44"/>
      <c r="S259" s="44"/>
      <c r="T259" s="44"/>
      <c r="U259" s="44"/>
      <c r="V259" s="44"/>
      <c r="W259" s="44"/>
      <c r="X259" s="44"/>
      <c r="Y259" s="44"/>
      <c r="Z259" s="44"/>
    </row>
    <row r="260" spans="1:26" ht="15.75" customHeight="1">
      <c r="A260" s="200" t="s">
        <v>1177</v>
      </c>
      <c r="B260" s="200" t="s">
        <v>1178</v>
      </c>
      <c r="C260" s="44"/>
      <c r="D260" s="44"/>
      <c r="E260" s="44"/>
      <c r="F260" s="44"/>
      <c r="G260" s="44"/>
      <c r="H260" s="44"/>
      <c r="I260" s="44"/>
      <c r="J260" s="44"/>
      <c r="K260" s="44"/>
      <c r="L260" s="44"/>
      <c r="M260" s="44"/>
      <c r="N260" s="44"/>
      <c r="O260" s="44"/>
      <c r="P260" s="44"/>
      <c r="Q260" s="44"/>
      <c r="R260" s="44"/>
      <c r="S260" s="44"/>
      <c r="T260" s="44"/>
      <c r="U260" s="44"/>
      <c r="V260" s="44"/>
      <c r="W260" s="44"/>
      <c r="X260" s="44"/>
      <c r="Y260" s="44"/>
      <c r="Z260" s="44"/>
    </row>
    <row r="261" spans="1:26" ht="15.75" customHeight="1">
      <c r="A261" s="200" t="s">
        <v>1179</v>
      </c>
      <c r="B261" s="200" t="s">
        <v>1180</v>
      </c>
      <c r="C261" s="44"/>
      <c r="D261" s="44"/>
      <c r="E261" s="44"/>
      <c r="F261" s="44"/>
      <c r="G261" s="44"/>
      <c r="H261" s="44"/>
      <c r="I261" s="44"/>
      <c r="J261" s="44"/>
      <c r="K261" s="44"/>
      <c r="L261" s="44"/>
      <c r="M261" s="44"/>
      <c r="N261" s="44"/>
      <c r="O261" s="44"/>
      <c r="P261" s="44"/>
      <c r="Q261" s="44"/>
      <c r="R261" s="44"/>
      <c r="S261" s="44"/>
      <c r="T261" s="44"/>
      <c r="U261" s="44"/>
      <c r="V261" s="44"/>
      <c r="W261" s="44"/>
      <c r="X261" s="44"/>
      <c r="Y261" s="44"/>
      <c r="Z261" s="44"/>
    </row>
    <row r="262" spans="1:26" ht="15.75" customHeight="1">
      <c r="A262" s="200" t="s">
        <v>1181</v>
      </c>
      <c r="B262" s="200" t="s">
        <v>1142</v>
      </c>
      <c r="C262" s="44"/>
      <c r="D262" s="44"/>
      <c r="E262" s="44"/>
      <c r="F262" s="44"/>
      <c r="G262" s="44"/>
      <c r="H262" s="44"/>
      <c r="I262" s="44"/>
      <c r="J262" s="44"/>
      <c r="K262" s="44"/>
      <c r="L262" s="44"/>
      <c r="M262" s="44"/>
      <c r="N262" s="44"/>
      <c r="O262" s="44"/>
      <c r="P262" s="44"/>
      <c r="Q262" s="44"/>
      <c r="R262" s="44"/>
      <c r="S262" s="44"/>
      <c r="T262" s="44"/>
      <c r="U262" s="44"/>
      <c r="V262" s="44"/>
      <c r="W262" s="44"/>
      <c r="X262" s="44"/>
      <c r="Y262" s="44"/>
      <c r="Z262" s="44"/>
    </row>
    <row r="263" spans="1:26" ht="15.75" customHeight="1">
      <c r="A263" s="200" t="s">
        <v>1182</v>
      </c>
      <c r="B263" s="200" t="s">
        <v>1183</v>
      </c>
      <c r="C263" s="44"/>
      <c r="D263" s="44"/>
      <c r="E263" s="44"/>
      <c r="F263" s="44"/>
      <c r="G263" s="44"/>
      <c r="H263" s="44"/>
      <c r="I263" s="44"/>
      <c r="J263" s="44"/>
      <c r="K263" s="44"/>
      <c r="L263" s="44"/>
      <c r="M263" s="44"/>
      <c r="N263" s="44"/>
      <c r="O263" s="44"/>
      <c r="P263" s="44"/>
      <c r="Q263" s="44"/>
      <c r="R263" s="44"/>
      <c r="S263" s="44"/>
      <c r="T263" s="44"/>
      <c r="U263" s="44"/>
      <c r="V263" s="44"/>
      <c r="W263" s="44"/>
      <c r="X263" s="44"/>
      <c r="Y263" s="44"/>
      <c r="Z263" s="44"/>
    </row>
    <row r="264" spans="1:26" ht="15.75" customHeight="1">
      <c r="A264" s="198" t="s">
        <v>3556</v>
      </c>
      <c r="B264" s="198" t="s">
        <v>3557</v>
      </c>
    </row>
    <row r="265" spans="1:26" ht="15.75" customHeight="1">
      <c r="A265" s="200" t="s">
        <v>1184</v>
      </c>
      <c r="B265" s="200" t="s">
        <v>1185</v>
      </c>
      <c r="C265" s="44"/>
      <c r="D265" s="44"/>
      <c r="E265" s="44"/>
      <c r="F265" s="44"/>
      <c r="G265" s="44"/>
      <c r="H265" s="44"/>
      <c r="I265" s="44"/>
      <c r="J265" s="44"/>
      <c r="K265" s="44"/>
      <c r="L265" s="44"/>
      <c r="M265" s="44"/>
      <c r="N265" s="44"/>
      <c r="O265" s="44"/>
      <c r="P265" s="44"/>
      <c r="Q265" s="44"/>
      <c r="R265" s="44"/>
      <c r="S265" s="44"/>
      <c r="T265" s="44"/>
      <c r="U265" s="44"/>
      <c r="V265" s="44"/>
      <c r="W265" s="44"/>
      <c r="X265" s="44"/>
      <c r="Y265" s="44"/>
      <c r="Z265" s="44"/>
    </row>
    <row r="266" spans="1:26" ht="15.75" customHeight="1">
      <c r="A266" s="200" t="s">
        <v>1186</v>
      </c>
      <c r="B266" s="200" t="s">
        <v>1187</v>
      </c>
      <c r="C266" s="44"/>
      <c r="D266" s="44"/>
      <c r="E266" s="44"/>
      <c r="F266" s="44"/>
      <c r="G266" s="44"/>
      <c r="H266" s="44"/>
      <c r="I266" s="44"/>
      <c r="J266" s="44"/>
      <c r="K266" s="44"/>
      <c r="L266" s="44"/>
      <c r="M266" s="44"/>
      <c r="N266" s="44"/>
      <c r="O266" s="44"/>
      <c r="P266" s="44"/>
      <c r="Q266" s="44"/>
      <c r="R266" s="44"/>
      <c r="S266" s="44"/>
      <c r="T266" s="44"/>
      <c r="U266" s="44"/>
      <c r="V266" s="44"/>
      <c r="W266" s="44"/>
      <c r="X266" s="44"/>
      <c r="Y266" s="44"/>
      <c r="Z266" s="44"/>
    </row>
    <row r="267" spans="1:26" ht="15.75" customHeight="1">
      <c r="A267" s="200" t="s">
        <v>1188</v>
      </c>
      <c r="B267" s="200" t="s">
        <v>1189</v>
      </c>
      <c r="C267" s="44"/>
      <c r="D267" s="44"/>
      <c r="E267" s="44"/>
      <c r="F267" s="44"/>
      <c r="G267" s="44"/>
      <c r="H267" s="44"/>
      <c r="I267" s="44"/>
      <c r="J267" s="44"/>
      <c r="K267" s="44"/>
      <c r="L267" s="44"/>
      <c r="M267" s="44"/>
      <c r="N267" s="44"/>
      <c r="O267" s="44"/>
      <c r="P267" s="44"/>
      <c r="Q267" s="44"/>
      <c r="R267" s="44"/>
      <c r="S267" s="44"/>
      <c r="T267" s="44"/>
      <c r="U267" s="44"/>
      <c r="V267" s="44"/>
      <c r="W267" s="44"/>
      <c r="X267" s="44"/>
      <c r="Y267" s="44"/>
      <c r="Z267" s="44"/>
    </row>
    <row r="268" spans="1:26" ht="15.75" customHeight="1">
      <c r="A268" s="200" t="s">
        <v>1190</v>
      </c>
      <c r="B268" s="200" t="s">
        <v>1191</v>
      </c>
      <c r="C268" s="44"/>
      <c r="D268" s="44"/>
      <c r="E268" s="44"/>
      <c r="F268" s="44"/>
      <c r="G268" s="44"/>
      <c r="H268" s="44"/>
      <c r="I268" s="44"/>
      <c r="J268" s="44"/>
      <c r="K268" s="44"/>
      <c r="L268" s="44"/>
      <c r="M268" s="44"/>
      <c r="N268" s="44"/>
      <c r="O268" s="44"/>
      <c r="P268" s="44"/>
      <c r="Q268" s="44"/>
      <c r="R268" s="44"/>
      <c r="S268" s="44"/>
      <c r="T268" s="44"/>
      <c r="U268" s="44"/>
      <c r="V268" s="44"/>
      <c r="W268" s="44"/>
      <c r="X268" s="44"/>
      <c r="Y268" s="44"/>
      <c r="Z268" s="44"/>
    </row>
    <row r="269" spans="1:26" ht="15.75" customHeight="1">
      <c r="A269" s="200" t="s">
        <v>1192</v>
      </c>
      <c r="B269" s="200" t="s">
        <v>1193</v>
      </c>
      <c r="C269" s="44"/>
      <c r="D269" s="44"/>
      <c r="E269" s="44"/>
      <c r="F269" s="44"/>
      <c r="G269" s="44"/>
      <c r="H269" s="44"/>
      <c r="I269" s="44"/>
      <c r="J269" s="44"/>
      <c r="K269" s="44"/>
      <c r="L269" s="44"/>
      <c r="M269" s="44"/>
      <c r="N269" s="44"/>
      <c r="O269" s="44"/>
      <c r="P269" s="44"/>
      <c r="Q269" s="44"/>
      <c r="R269" s="44"/>
      <c r="S269" s="44"/>
      <c r="T269" s="44"/>
      <c r="U269" s="44"/>
      <c r="V269" s="44"/>
      <c r="W269" s="44"/>
      <c r="X269" s="44"/>
      <c r="Y269" s="44"/>
      <c r="Z269" s="44"/>
    </row>
    <row r="270" spans="1:26" ht="15.75" customHeight="1">
      <c r="A270" s="200" t="s">
        <v>1194</v>
      </c>
      <c r="B270" s="200" t="s">
        <v>1195</v>
      </c>
      <c r="C270" s="44"/>
      <c r="D270" s="44"/>
      <c r="E270" s="44"/>
      <c r="F270" s="44"/>
      <c r="G270" s="44"/>
      <c r="H270" s="44"/>
      <c r="I270" s="44"/>
      <c r="J270" s="44"/>
      <c r="K270" s="44"/>
      <c r="L270" s="44"/>
      <c r="M270" s="44"/>
      <c r="N270" s="44"/>
      <c r="O270" s="44"/>
      <c r="P270" s="44"/>
      <c r="Q270" s="44"/>
      <c r="R270" s="44"/>
      <c r="S270" s="44"/>
      <c r="T270" s="44"/>
      <c r="U270" s="44"/>
      <c r="V270" s="44"/>
      <c r="W270" s="44"/>
      <c r="X270" s="44"/>
      <c r="Y270" s="44"/>
      <c r="Z270" s="44"/>
    </row>
    <row r="271" spans="1:26" ht="15.75" customHeight="1">
      <c r="A271" s="198" t="s">
        <v>3558</v>
      </c>
      <c r="B271" s="198" t="s">
        <v>3559</v>
      </c>
    </row>
    <row r="272" spans="1:26" ht="15.75" customHeight="1">
      <c r="A272" s="200" t="s">
        <v>1196</v>
      </c>
      <c r="B272" s="200" t="s">
        <v>1197</v>
      </c>
      <c r="C272" s="44"/>
      <c r="D272" s="44"/>
      <c r="E272" s="44"/>
      <c r="F272" s="44"/>
      <c r="G272" s="44"/>
      <c r="H272" s="44"/>
      <c r="I272" s="44"/>
      <c r="J272" s="44"/>
      <c r="K272" s="44"/>
      <c r="L272" s="44"/>
      <c r="M272" s="44"/>
      <c r="N272" s="44"/>
      <c r="O272" s="44"/>
      <c r="P272" s="44"/>
      <c r="Q272" s="44"/>
      <c r="R272" s="44"/>
      <c r="S272" s="44"/>
      <c r="T272" s="44"/>
      <c r="U272" s="44"/>
      <c r="V272" s="44"/>
      <c r="W272" s="44"/>
      <c r="X272" s="44"/>
      <c r="Y272" s="44"/>
      <c r="Z272" s="44"/>
    </row>
    <row r="273" spans="1:26" ht="15.75" customHeight="1">
      <c r="A273" s="200" t="s">
        <v>1198</v>
      </c>
      <c r="B273" s="200" t="s">
        <v>1199</v>
      </c>
      <c r="C273" s="44"/>
      <c r="D273" s="44"/>
      <c r="E273" s="44"/>
      <c r="F273" s="44"/>
      <c r="G273" s="44"/>
      <c r="H273" s="44"/>
      <c r="I273" s="44"/>
      <c r="J273" s="44"/>
      <c r="K273" s="44"/>
      <c r="L273" s="44"/>
      <c r="M273" s="44"/>
      <c r="N273" s="44"/>
      <c r="O273" s="44"/>
      <c r="P273" s="44"/>
      <c r="Q273" s="44"/>
      <c r="R273" s="44"/>
      <c r="S273" s="44"/>
      <c r="T273" s="44"/>
      <c r="U273" s="44"/>
      <c r="V273" s="44"/>
      <c r="W273" s="44"/>
      <c r="X273" s="44"/>
      <c r="Y273" s="44"/>
      <c r="Z273" s="44"/>
    </row>
    <row r="274" spans="1:26" ht="15.75" customHeight="1">
      <c r="A274" s="200" t="s">
        <v>1200</v>
      </c>
      <c r="B274" s="200" t="s">
        <v>1201</v>
      </c>
      <c r="C274" s="44"/>
      <c r="D274" s="44"/>
      <c r="E274" s="44"/>
      <c r="F274" s="44"/>
      <c r="G274" s="44"/>
      <c r="H274" s="44"/>
      <c r="I274" s="44"/>
      <c r="J274" s="44"/>
      <c r="K274" s="44"/>
      <c r="L274" s="44"/>
      <c r="M274" s="44"/>
      <c r="N274" s="44"/>
      <c r="O274" s="44"/>
      <c r="P274" s="44"/>
      <c r="Q274" s="44"/>
      <c r="R274" s="44"/>
      <c r="S274" s="44"/>
      <c r="T274" s="44"/>
      <c r="U274" s="44"/>
      <c r="V274" s="44"/>
      <c r="W274" s="44"/>
      <c r="X274" s="44"/>
      <c r="Y274" s="44"/>
      <c r="Z274" s="44"/>
    </row>
    <row r="275" spans="1:26" ht="15.75" customHeight="1">
      <c r="A275" s="200" t="s">
        <v>1202</v>
      </c>
      <c r="B275" s="200" t="s">
        <v>1203</v>
      </c>
      <c r="C275" s="44"/>
      <c r="D275" s="44"/>
      <c r="E275" s="44"/>
      <c r="F275" s="44"/>
      <c r="G275" s="44"/>
      <c r="H275" s="44"/>
      <c r="I275" s="44"/>
      <c r="J275" s="44"/>
      <c r="K275" s="44"/>
      <c r="L275" s="44"/>
      <c r="M275" s="44"/>
      <c r="N275" s="44"/>
      <c r="O275" s="44"/>
      <c r="P275" s="44"/>
      <c r="Q275" s="44"/>
      <c r="R275" s="44"/>
      <c r="S275" s="44"/>
      <c r="T275" s="44"/>
      <c r="U275" s="44"/>
      <c r="V275" s="44"/>
      <c r="W275" s="44"/>
      <c r="X275" s="44"/>
      <c r="Y275" s="44"/>
      <c r="Z275" s="44"/>
    </row>
    <row r="276" spans="1:26" ht="15.75" customHeight="1">
      <c r="A276" s="200" t="s">
        <v>1204</v>
      </c>
      <c r="B276" s="200" t="s">
        <v>1205</v>
      </c>
      <c r="C276" s="44"/>
      <c r="D276" s="44"/>
      <c r="E276" s="44"/>
      <c r="F276" s="44"/>
      <c r="G276" s="44"/>
      <c r="H276" s="44"/>
      <c r="I276" s="44"/>
      <c r="J276" s="44"/>
      <c r="K276" s="44"/>
      <c r="L276" s="44"/>
      <c r="M276" s="44"/>
      <c r="N276" s="44"/>
      <c r="O276" s="44"/>
      <c r="P276" s="44"/>
      <c r="Q276" s="44"/>
      <c r="R276" s="44"/>
      <c r="S276" s="44"/>
      <c r="T276" s="44"/>
      <c r="U276" s="44"/>
      <c r="V276" s="44"/>
      <c r="W276" s="44"/>
      <c r="X276" s="44"/>
      <c r="Y276" s="44"/>
      <c r="Z276" s="44"/>
    </row>
    <row r="277" spans="1:26" ht="15.75" customHeight="1">
      <c r="A277" s="200" t="s">
        <v>1206</v>
      </c>
      <c r="B277" s="200" t="s">
        <v>1207</v>
      </c>
      <c r="C277" s="44"/>
      <c r="D277" s="44"/>
      <c r="E277" s="44"/>
      <c r="F277" s="44"/>
      <c r="G277" s="44"/>
      <c r="H277" s="44"/>
      <c r="I277" s="44"/>
      <c r="J277" s="44"/>
      <c r="K277" s="44"/>
      <c r="L277" s="44"/>
      <c r="M277" s="44"/>
      <c r="N277" s="44"/>
      <c r="O277" s="44"/>
      <c r="P277" s="44"/>
      <c r="Q277" s="44"/>
      <c r="R277" s="44"/>
      <c r="S277" s="44"/>
      <c r="T277" s="44"/>
      <c r="U277" s="44"/>
      <c r="V277" s="44"/>
      <c r="W277" s="44"/>
      <c r="X277" s="44"/>
      <c r="Y277" s="44"/>
      <c r="Z277" s="44"/>
    </row>
    <row r="278" spans="1:26" ht="15.75" customHeight="1">
      <c r="A278" s="200" t="s">
        <v>1208</v>
      </c>
      <c r="B278" s="200" t="s">
        <v>1209</v>
      </c>
      <c r="C278" s="44"/>
      <c r="D278" s="44"/>
      <c r="E278" s="44"/>
      <c r="F278" s="44"/>
      <c r="G278" s="44"/>
      <c r="H278" s="44"/>
      <c r="I278" s="44"/>
      <c r="J278" s="44"/>
      <c r="K278" s="44"/>
      <c r="L278" s="44"/>
      <c r="M278" s="44"/>
      <c r="N278" s="44"/>
      <c r="O278" s="44"/>
      <c r="P278" s="44"/>
      <c r="Q278" s="44"/>
      <c r="R278" s="44"/>
      <c r="S278" s="44"/>
      <c r="T278" s="44"/>
      <c r="U278" s="44"/>
      <c r="V278" s="44"/>
      <c r="W278" s="44"/>
      <c r="X278" s="44"/>
      <c r="Y278" s="44"/>
      <c r="Z278" s="44"/>
    </row>
    <row r="279" spans="1:26" ht="15.75" customHeight="1">
      <c r="A279" s="200" t="s">
        <v>1210</v>
      </c>
      <c r="B279" s="200" t="s">
        <v>1211</v>
      </c>
      <c r="C279" s="44"/>
      <c r="D279" s="44"/>
      <c r="E279" s="44"/>
      <c r="F279" s="44"/>
      <c r="G279" s="44"/>
      <c r="H279" s="44"/>
      <c r="I279" s="44"/>
      <c r="J279" s="44"/>
      <c r="K279" s="44"/>
      <c r="L279" s="44"/>
      <c r="M279" s="44"/>
      <c r="N279" s="44"/>
      <c r="O279" s="44"/>
      <c r="P279" s="44"/>
      <c r="Q279" s="44"/>
      <c r="R279" s="44"/>
      <c r="S279" s="44"/>
      <c r="T279" s="44"/>
      <c r="U279" s="44"/>
      <c r="V279" s="44"/>
      <c r="W279" s="44"/>
      <c r="X279" s="44"/>
      <c r="Y279" s="44"/>
      <c r="Z279" s="44"/>
    </row>
    <row r="280" spans="1:26" ht="15.75" customHeight="1">
      <c r="A280" s="200" t="s">
        <v>1212</v>
      </c>
      <c r="B280" s="200" t="s">
        <v>1213</v>
      </c>
      <c r="C280" s="44"/>
      <c r="D280" s="44"/>
      <c r="E280" s="44"/>
      <c r="F280" s="44"/>
      <c r="G280" s="44"/>
      <c r="H280" s="44"/>
      <c r="I280" s="44"/>
      <c r="J280" s="44"/>
      <c r="K280" s="44"/>
      <c r="L280" s="44"/>
      <c r="M280" s="44"/>
      <c r="N280" s="44"/>
      <c r="O280" s="44"/>
      <c r="P280" s="44"/>
      <c r="Q280" s="44"/>
      <c r="R280" s="44"/>
      <c r="S280" s="44"/>
      <c r="T280" s="44"/>
      <c r="U280" s="44"/>
      <c r="V280" s="44"/>
      <c r="W280" s="44"/>
      <c r="X280" s="44"/>
      <c r="Y280" s="44"/>
      <c r="Z280" s="44"/>
    </row>
    <row r="281" spans="1:26" ht="15.75" customHeight="1">
      <c r="A281" s="200" t="s">
        <v>1214</v>
      </c>
      <c r="B281" s="200" t="s">
        <v>1215</v>
      </c>
      <c r="C281" s="44"/>
      <c r="D281" s="44"/>
      <c r="E281" s="44"/>
      <c r="F281" s="44"/>
      <c r="G281" s="44"/>
      <c r="H281" s="44"/>
      <c r="I281" s="44"/>
      <c r="J281" s="44"/>
      <c r="K281" s="44"/>
      <c r="L281" s="44"/>
      <c r="M281" s="44"/>
      <c r="N281" s="44"/>
      <c r="O281" s="44"/>
      <c r="P281" s="44"/>
      <c r="Q281" s="44"/>
      <c r="R281" s="44"/>
      <c r="S281" s="44"/>
      <c r="T281" s="44"/>
      <c r="U281" s="44"/>
      <c r="V281" s="44"/>
      <c r="W281" s="44"/>
      <c r="X281" s="44"/>
      <c r="Y281" s="44"/>
      <c r="Z281" s="44"/>
    </row>
    <row r="282" spans="1:26" ht="15.75" customHeight="1">
      <c r="A282" s="200" t="s">
        <v>1216</v>
      </c>
      <c r="B282" s="200" t="s">
        <v>1217</v>
      </c>
      <c r="C282" s="44"/>
      <c r="D282" s="44"/>
      <c r="E282" s="44"/>
      <c r="F282" s="44"/>
      <c r="G282" s="44"/>
      <c r="H282" s="44"/>
      <c r="I282" s="44"/>
      <c r="J282" s="44"/>
      <c r="K282" s="44"/>
      <c r="L282" s="44"/>
      <c r="M282" s="44"/>
      <c r="N282" s="44"/>
      <c r="O282" s="44"/>
      <c r="P282" s="44"/>
      <c r="Q282" s="44"/>
      <c r="R282" s="44"/>
      <c r="S282" s="44"/>
      <c r="T282" s="44"/>
      <c r="U282" s="44"/>
      <c r="V282" s="44"/>
      <c r="W282" s="44"/>
      <c r="X282" s="44"/>
      <c r="Y282" s="44"/>
      <c r="Z282" s="44"/>
    </row>
    <row r="283" spans="1:26" ht="15.75" customHeight="1">
      <c r="A283" s="200" t="s">
        <v>1218</v>
      </c>
      <c r="B283" s="200" t="s">
        <v>1219</v>
      </c>
      <c r="C283" s="44"/>
      <c r="D283" s="44"/>
      <c r="E283" s="44"/>
      <c r="F283" s="44"/>
      <c r="G283" s="44"/>
      <c r="H283" s="44"/>
      <c r="I283" s="44"/>
      <c r="J283" s="44"/>
      <c r="K283" s="44"/>
      <c r="L283" s="44"/>
      <c r="M283" s="44"/>
      <c r="N283" s="44"/>
      <c r="O283" s="44"/>
      <c r="P283" s="44"/>
      <c r="Q283" s="44"/>
      <c r="R283" s="44"/>
      <c r="S283" s="44"/>
      <c r="T283" s="44"/>
      <c r="U283" s="44"/>
      <c r="V283" s="44"/>
      <c r="W283" s="44"/>
      <c r="X283" s="44"/>
      <c r="Y283" s="44"/>
      <c r="Z283" s="44"/>
    </row>
    <row r="284" spans="1:26" ht="15.75" customHeight="1">
      <c r="A284" s="200" t="s">
        <v>1220</v>
      </c>
      <c r="B284" s="200" t="s">
        <v>1221</v>
      </c>
      <c r="C284" s="44"/>
      <c r="D284" s="44"/>
      <c r="E284" s="44"/>
      <c r="F284" s="44"/>
      <c r="G284" s="44"/>
      <c r="H284" s="44"/>
      <c r="I284" s="44"/>
      <c r="J284" s="44"/>
      <c r="K284" s="44"/>
      <c r="L284" s="44"/>
      <c r="M284" s="44"/>
      <c r="N284" s="44"/>
      <c r="O284" s="44"/>
      <c r="P284" s="44"/>
      <c r="Q284" s="44"/>
      <c r="R284" s="44"/>
      <c r="S284" s="44"/>
      <c r="T284" s="44"/>
      <c r="U284" s="44"/>
      <c r="V284" s="44"/>
      <c r="W284" s="44"/>
      <c r="X284" s="44"/>
      <c r="Y284" s="44"/>
      <c r="Z284" s="44"/>
    </row>
    <row r="285" spans="1:26" ht="15.75" customHeight="1">
      <c r="A285" s="200" t="s">
        <v>1222</v>
      </c>
      <c r="B285" s="200" t="s">
        <v>1223</v>
      </c>
      <c r="C285" s="44"/>
      <c r="D285" s="44"/>
      <c r="E285" s="44"/>
      <c r="F285" s="44"/>
      <c r="G285" s="44"/>
      <c r="H285" s="44"/>
      <c r="I285" s="44"/>
      <c r="J285" s="44"/>
      <c r="K285" s="44"/>
      <c r="L285" s="44"/>
      <c r="M285" s="44"/>
      <c r="N285" s="44"/>
      <c r="O285" s="44"/>
      <c r="P285" s="44"/>
      <c r="Q285" s="44"/>
      <c r="R285" s="44"/>
      <c r="S285" s="44"/>
      <c r="T285" s="44"/>
      <c r="U285" s="44"/>
      <c r="V285" s="44"/>
      <c r="W285" s="44"/>
      <c r="X285" s="44"/>
      <c r="Y285" s="44"/>
      <c r="Z285" s="44"/>
    </row>
    <row r="286" spans="1:26" ht="15.75" customHeight="1">
      <c r="A286" s="200" t="s">
        <v>1224</v>
      </c>
      <c r="B286" s="200" t="s">
        <v>1225</v>
      </c>
      <c r="C286" s="44"/>
      <c r="D286" s="44"/>
      <c r="E286" s="44"/>
      <c r="F286" s="44"/>
      <c r="G286" s="44"/>
      <c r="H286" s="44"/>
      <c r="I286" s="44"/>
      <c r="J286" s="44"/>
      <c r="K286" s="44"/>
      <c r="L286" s="44"/>
      <c r="M286" s="44"/>
      <c r="N286" s="44"/>
      <c r="O286" s="44"/>
      <c r="P286" s="44"/>
      <c r="Q286" s="44"/>
      <c r="R286" s="44"/>
      <c r="S286" s="44"/>
      <c r="T286" s="44"/>
      <c r="U286" s="44"/>
      <c r="V286" s="44"/>
      <c r="W286" s="44"/>
      <c r="X286" s="44"/>
      <c r="Y286" s="44"/>
      <c r="Z286" s="44"/>
    </row>
    <row r="287" spans="1:26" ht="15.75" customHeight="1">
      <c r="A287" s="200" t="s">
        <v>1226</v>
      </c>
      <c r="B287" s="200" t="s">
        <v>1227</v>
      </c>
      <c r="C287" s="44"/>
      <c r="D287" s="44"/>
      <c r="E287" s="44"/>
      <c r="F287" s="44"/>
      <c r="G287" s="44"/>
      <c r="H287" s="44"/>
      <c r="I287" s="44"/>
      <c r="J287" s="44"/>
      <c r="K287" s="44"/>
      <c r="L287" s="44"/>
      <c r="M287" s="44"/>
      <c r="N287" s="44"/>
      <c r="O287" s="44"/>
      <c r="P287" s="44"/>
      <c r="Q287" s="44"/>
      <c r="R287" s="44"/>
      <c r="S287" s="44"/>
      <c r="T287" s="44"/>
      <c r="U287" s="44"/>
      <c r="V287" s="44"/>
      <c r="W287" s="44"/>
      <c r="X287" s="44"/>
      <c r="Y287" s="44"/>
      <c r="Z287" s="44"/>
    </row>
    <row r="288" spans="1:26" ht="15.75" customHeight="1">
      <c r="A288" s="200" t="s">
        <v>1228</v>
      </c>
      <c r="B288" s="200" t="s">
        <v>1229</v>
      </c>
      <c r="C288" s="44"/>
      <c r="D288" s="44"/>
      <c r="E288" s="44"/>
      <c r="F288" s="44"/>
      <c r="G288" s="44"/>
      <c r="H288" s="44"/>
      <c r="I288" s="44"/>
      <c r="J288" s="44"/>
      <c r="K288" s="44"/>
      <c r="L288" s="44"/>
      <c r="M288" s="44"/>
      <c r="N288" s="44"/>
      <c r="O288" s="44"/>
      <c r="P288" s="44"/>
      <c r="Q288" s="44"/>
      <c r="R288" s="44"/>
      <c r="S288" s="44"/>
      <c r="T288" s="44"/>
      <c r="U288" s="44"/>
      <c r="V288" s="44"/>
      <c r="W288" s="44"/>
      <c r="X288" s="44"/>
      <c r="Y288" s="44"/>
      <c r="Z288" s="44"/>
    </row>
    <row r="289" spans="1:26" ht="15.75" customHeight="1">
      <c r="A289" s="200" t="s">
        <v>1230</v>
      </c>
      <c r="B289" s="200" t="s">
        <v>1231</v>
      </c>
      <c r="C289" s="44"/>
      <c r="D289" s="44"/>
      <c r="E289" s="44"/>
      <c r="F289" s="44"/>
      <c r="G289" s="44"/>
      <c r="H289" s="44"/>
      <c r="I289" s="44"/>
      <c r="J289" s="44"/>
      <c r="K289" s="44"/>
      <c r="L289" s="44"/>
      <c r="M289" s="44"/>
      <c r="N289" s="44"/>
      <c r="O289" s="44"/>
      <c r="P289" s="44"/>
      <c r="Q289" s="44"/>
      <c r="R289" s="44"/>
      <c r="S289" s="44"/>
      <c r="T289" s="44"/>
      <c r="U289" s="44"/>
      <c r="V289" s="44"/>
      <c r="W289" s="44"/>
      <c r="X289" s="44"/>
      <c r="Y289" s="44"/>
      <c r="Z289" s="44"/>
    </row>
    <row r="290" spans="1:26" ht="15.75" customHeight="1">
      <c r="A290" s="200" t="s">
        <v>1232</v>
      </c>
      <c r="B290" s="200" t="s">
        <v>1233</v>
      </c>
      <c r="C290" s="44"/>
      <c r="D290" s="44"/>
      <c r="E290" s="44"/>
      <c r="F290" s="44"/>
      <c r="G290" s="44"/>
      <c r="H290" s="44"/>
      <c r="I290" s="44"/>
      <c r="J290" s="44"/>
      <c r="K290" s="44"/>
      <c r="L290" s="44"/>
      <c r="M290" s="44"/>
      <c r="N290" s="44"/>
      <c r="O290" s="44"/>
      <c r="P290" s="44"/>
      <c r="Q290" s="44"/>
      <c r="R290" s="44"/>
      <c r="S290" s="44"/>
      <c r="T290" s="44"/>
      <c r="U290" s="44"/>
      <c r="V290" s="44"/>
      <c r="W290" s="44"/>
      <c r="X290" s="44"/>
      <c r="Y290" s="44"/>
      <c r="Z290" s="44"/>
    </row>
    <row r="291" spans="1:26" ht="15.75" customHeight="1">
      <c r="A291" s="200" t="s">
        <v>1234</v>
      </c>
      <c r="B291" s="200" t="s">
        <v>1235</v>
      </c>
      <c r="C291" s="44"/>
      <c r="D291" s="44"/>
      <c r="E291" s="44"/>
      <c r="F291" s="44"/>
      <c r="G291" s="44"/>
      <c r="H291" s="44"/>
      <c r="I291" s="44"/>
      <c r="J291" s="44"/>
      <c r="K291" s="44"/>
      <c r="L291" s="44"/>
      <c r="M291" s="44"/>
      <c r="N291" s="44"/>
      <c r="O291" s="44"/>
      <c r="P291" s="44"/>
      <c r="Q291" s="44"/>
      <c r="R291" s="44"/>
      <c r="S291" s="44"/>
      <c r="T291" s="44"/>
      <c r="U291" s="44"/>
      <c r="V291" s="44"/>
      <c r="W291" s="44"/>
      <c r="X291" s="44"/>
      <c r="Y291" s="44"/>
      <c r="Z291" s="44"/>
    </row>
    <row r="292" spans="1:26" ht="15.75" customHeight="1">
      <c r="A292" s="200" t="s">
        <v>1236</v>
      </c>
      <c r="B292" s="200" t="s">
        <v>1237</v>
      </c>
      <c r="C292" s="44"/>
      <c r="D292" s="44"/>
      <c r="E292" s="44"/>
      <c r="F292" s="44"/>
      <c r="G292" s="44"/>
      <c r="H292" s="44"/>
      <c r="I292" s="44"/>
      <c r="J292" s="44"/>
      <c r="K292" s="44"/>
      <c r="L292" s="44"/>
      <c r="M292" s="44"/>
      <c r="N292" s="44"/>
      <c r="O292" s="44"/>
      <c r="P292" s="44"/>
      <c r="Q292" s="44"/>
      <c r="R292" s="44"/>
      <c r="S292" s="44"/>
      <c r="T292" s="44"/>
      <c r="U292" s="44"/>
      <c r="V292" s="44"/>
      <c r="W292" s="44"/>
      <c r="X292" s="44"/>
      <c r="Y292" s="44"/>
      <c r="Z292" s="44"/>
    </row>
    <row r="293" spans="1:26" ht="15.75" customHeight="1">
      <c r="A293" s="198" t="s">
        <v>3560</v>
      </c>
      <c r="B293" s="198" t="s">
        <v>3561</v>
      </c>
    </row>
    <row r="294" spans="1:26" ht="15.75" customHeight="1">
      <c r="A294" s="200" t="s">
        <v>1238</v>
      </c>
      <c r="B294" s="200" t="s">
        <v>1239</v>
      </c>
      <c r="C294" s="44"/>
      <c r="D294" s="44"/>
      <c r="E294" s="44"/>
      <c r="F294" s="44"/>
      <c r="G294" s="44"/>
      <c r="H294" s="44"/>
      <c r="I294" s="44"/>
      <c r="J294" s="44"/>
      <c r="K294" s="44"/>
      <c r="L294" s="44"/>
      <c r="M294" s="44"/>
      <c r="N294" s="44"/>
      <c r="O294" s="44"/>
      <c r="P294" s="44"/>
      <c r="Q294" s="44"/>
      <c r="R294" s="44"/>
      <c r="S294" s="44"/>
      <c r="T294" s="44"/>
      <c r="U294" s="44"/>
      <c r="V294" s="44"/>
      <c r="W294" s="44"/>
      <c r="X294" s="44"/>
      <c r="Y294" s="44"/>
      <c r="Z294" s="44"/>
    </row>
    <row r="295" spans="1:26" ht="15.75" customHeight="1">
      <c r="A295" s="200" t="s">
        <v>1240</v>
      </c>
      <c r="B295" s="200" t="s">
        <v>1241</v>
      </c>
      <c r="C295" s="44"/>
      <c r="D295" s="44"/>
      <c r="E295" s="44"/>
      <c r="F295" s="44"/>
      <c r="G295" s="44"/>
      <c r="H295" s="44"/>
      <c r="I295" s="44"/>
      <c r="J295" s="44"/>
      <c r="K295" s="44"/>
      <c r="L295" s="44"/>
      <c r="M295" s="44"/>
      <c r="N295" s="44"/>
      <c r="O295" s="44"/>
      <c r="P295" s="44"/>
      <c r="Q295" s="44"/>
      <c r="R295" s="44"/>
      <c r="S295" s="44"/>
      <c r="T295" s="44"/>
      <c r="U295" s="44"/>
      <c r="V295" s="44"/>
      <c r="W295" s="44"/>
      <c r="X295" s="44"/>
      <c r="Y295" s="44"/>
      <c r="Z295" s="44"/>
    </row>
    <row r="296" spans="1:26" ht="15.75" customHeight="1">
      <c r="A296" s="200" t="s">
        <v>1242</v>
      </c>
      <c r="B296" s="200" t="s">
        <v>1243</v>
      </c>
      <c r="C296" s="44"/>
      <c r="D296" s="44"/>
      <c r="E296" s="44"/>
      <c r="F296" s="44"/>
      <c r="G296" s="44"/>
      <c r="H296" s="44"/>
      <c r="I296" s="44"/>
      <c r="J296" s="44"/>
      <c r="K296" s="44"/>
      <c r="L296" s="44"/>
      <c r="M296" s="44"/>
      <c r="N296" s="44"/>
      <c r="O296" s="44"/>
      <c r="P296" s="44"/>
      <c r="Q296" s="44"/>
      <c r="R296" s="44"/>
      <c r="S296" s="44"/>
      <c r="T296" s="44"/>
      <c r="U296" s="44"/>
      <c r="V296" s="44"/>
      <c r="W296" s="44"/>
      <c r="X296" s="44"/>
      <c r="Y296" s="44"/>
      <c r="Z296" s="44"/>
    </row>
    <row r="297" spans="1:26" ht="15.75" customHeight="1">
      <c r="A297" s="200" t="s">
        <v>1244</v>
      </c>
      <c r="B297" s="200" t="s">
        <v>1245</v>
      </c>
      <c r="C297" s="44"/>
      <c r="D297" s="44"/>
      <c r="E297" s="44"/>
      <c r="F297" s="44"/>
      <c r="G297" s="44"/>
      <c r="H297" s="44"/>
      <c r="I297" s="44"/>
      <c r="J297" s="44"/>
      <c r="K297" s="44"/>
      <c r="L297" s="44"/>
      <c r="M297" s="44"/>
      <c r="N297" s="44"/>
      <c r="O297" s="44"/>
      <c r="P297" s="44"/>
      <c r="Q297" s="44"/>
      <c r="R297" s="44"/>
      <c r="S297" s="44"/>
      <c r="T297" s="44"/>
      <c r="U297" s="44"/>
      <c r="V297" s="44"/>
      <c r="W297" s="44"/>
      <c r="X297" s="44"/>
      <c r="Y297" s="44"/>
      <c r="Z297" s="44"/>
    </row>
    <row r="298" spans="1:26" ht="15.75" customHeight="1">
      <c r="A298" s="200" t="s">
        <v>1246</v>
      </c>
      <c r="B298" s="200" t="s">
        <v>1247</v>
      </c>
      <c r="C298" s="44"/>
      <c r="D298" s="44"/>
      <c r="E298" s="44"/>
      <c r="F298" s="44"/>
      <c r="G298" s="44"/>
      <c r="H298" s="44"/>
      <c r="I298" s="44"/>
      <c r="J298" s="44"/>
      <c r="K298" s="44"/>
      <c r="L298" s="44"/>
      <c r="M298" s="44"/>
      <c r="N298" s="44"/>
      <c r="O298" s="44"/>
      <c r="P298" s="44"/>
      <c r="Q298" s="44"/>
      <c r="R298" s="44"/>
      <c r="S298" s="44"/>
      <c r="T298" s="44"/>
      <c r="U298" s="44"/>
      <c r="V298" s="44"/>
      <c r="W298" s="44"/>
      <c r="X298" s="44"/>
      <c r="Y298" s="44"/>
      <c r="Z298" s="44"/>
    </row>
    <row r="299" spans="1:26" ht="15.75" customHeight="1">
      <c r="A299" s="200" t="s">
        <v>1248</v>
      </c>
      <c r="B299" s="200" t="s">
        <v>731</v>
      </c>
      <c r="C299" s="44"/>
      <c r="D299" s="44"/>
      <c r="E299" s="44"/>
      <c r="F299" s="44"/>
      <c r="G299" s="44"/>
      <c r="H299" s="44"/>
      <c r="I299" s="44"/>
      <c r="J299" s="44"/>
      <c r="K299" s="44"/>
      <c r="L299" s="44"/>
      <c r="M299" s="44"/>
      <c r="N299" s="44"/>
      <c r="O299" s="44"/>
      <c r="P299" s="44"/>
      <c r="Q299" s="44"/>
      <c r="R299" s="44"/>
      <c r="S299" s="44"/>
      <c r="T299" s="44"/>
      <c r="U299" s="44"/>
      <c r="V299" s="44"/>
      <c r="W299" s="44"/>
      <c r="X299" s="44"/>
      <c r="Y299" s="44"/>
      <c r="Z299" s="44"/>
    </row>
    <row r="300" spans="1:26" ht="15.75" customHeight="1">
      <c r="A300" s="200" t="s">
        <v>1249</v>
      </c>
      <c r="B300" s="200" t="s">
        <v>1250</v>
      </c>
      <c r="C300" s="44"/>
      <c r="D300" s="44"/>
      <c r="E300" s="44"/>
      <c r="F300" s="44"/>
      <c r="G300" s="44"/>
      <c r="H300" s="44"/>
      <c r="I300" s="44"/>
      <c r="J300" s="44"/>
      <c r="K300" s="44"/>
      <c r="L300" s="44"/>
      <c r="M300" s="44"/>
      <c r="N300" s="44"/>
      <c r="O300" s="44"/>
      <c r="P300" s="44"/>
      <c r="Q300" s="44"/>
      <c r="R300" s="44"/>
      <c r="S300" s="44"/>
      <c r="T300" s="44"/>
      <c r="U300" s="44"/>
      <c r="V300" s="44"/>
      <c r="W300" s="44"/>
      <c r="X300" s="44"/>
      <c r="Y300" s="44"/>
      <c r="Z300" s="44"/>
    </row>
    <row r="301" spans="1:26" ht="15.75" customHeight="1">
      <c r="A301" s="200" t="s">
        <v>1251</v>
      </c>
      <c r="B301" s="200" t="s">
        <v>1252</v>
      </c>
      <c r="C301" s="44"/>
      <c r="D301" s="44"/>
      <c r="E301" s="44"/>
      <c r="F301" s="44"/>
      <c r="G301" s="44"/>
      <c r="H301" s="44"/>
      <c r="I301" s="44"/>
      <c r="J301" s="44"/>
      <c r="K301" s="44"/>
      <c r="L301" s="44"/>
      <c r="M301" s="44"/>
      <c r="N301" s="44"/>
      <c r="O301" s="44"/>
      <c r="P301" s="44"/>
      <c r="Q301" s="44"/>
      <c r="R301" s="44"/>
      <c r="S301" s="44"/>
      <c r="T301" s="44"/>
      <c r="U301" s="44"/>
      <c r="V301" s="44"/>
      <c r="W301" s="44"/>
      <c r="X301" s="44"/>
      <c r="Y301" s="44"/>
      <c r="Z301" s="44"/>
    </row>
    <row r="302" spans="1:26" ht="15.75" customHeight="1">
      <c r="A302" s="200" t="s">
        <v>1253</v>
      </c>
      <c r="B302" s="200" t="s">
        <v>1254</v>
      </c>
      <c r="C302" s="44"/>
      <c r="D302" s="44"/>
      <c r="E302" s="44"/>
      <c r="F302" s="44"/>
      <c r="G302" s="44"/>
      <c r="H302" s="44"/>
      <c r="I302" s="44"/>
      <c r="J302" s="44"/>
      <c r="K302" s="44"/>
      <c r="L302" s="44"/>
      <c r="M302" s="44"/>
      <c r="N302" s="44"/>
      <c r="O302" s="44"/>
      <c r="P302" s="44"/>
      <c r="Q302" s="44"/>
      <c r="R302" s="44"/>
      <c r="S302" s="44"/>
      <c r="T302" s="44"/>
      <c r="U302" s="44"/>
      <c r="V302" s="44"/>
      <c r="W302" s="44"/>
      <c r="X302" s="44"/>
      <c r="Y302" s="44"/>
      <c r="Z302" s="44"/>
    </row>
    <row r="303" spans="1:26" ht="15.75" customHeight="1">
      <c r="A303" s="200" t="s">
        <v>1255</v>
      </c>
      <c r="B303" s="200" t="s">
        <v>1256</v>
      </c>
      <c r="C303" s="44"/>
      <c r="D303" s="44"/>
      <c r="E303" s="44"/>
      <c r="F303" s="44"/>
      <c r="G303" s="44"/>
      <c r="H303" s="44"/>
      <c r="I303" s="44"/>
      <c r="J303" s="44"/>
      <c r="K303" s="44"/>
      <c r="L303" s="44"/>
      <c r="M303" s="44"/>
      <c r="N303" s="44"/>
      <c r="O303" s="44"/>
      <c r="P303" s="44"/>
      <c r="Q303" s="44"/>
      <c r="R303" s="44"/>
      <c r="S303" s="44"/>
      <c r="T303" s="44"/>
      <c r="U303" s="44"/>
      <c r="V303" s="44"/>
      <c r="W303" s="44"/>
      <c r="X303" s="44"/>
      <c r="Y303" s="44"/>
      <c r="Z303" s="44"/>
    </row>
    <row r="304" spans="1:26" ht="15.75" customHeight="1">
      <c r="A304" s="200" t="s">
        <v>1257</v>
      </c>
      <c r="B304" s="200" t="s">
        <v>1258</v>
      </c>
      <c r="C304" s="44"/>
      <c r="D304" s="44"/>
      <c r="E304" s="44"/>
      <c r="F304" s="44"/>
      <c r="G304" s="44"/>
      <c r="H304" s="44"/>
      <c r="I304" s="44"/>
      <c r="J304" s="44"/>
      <c r="K304" s="44"/>
      <c r="L304" s="44"/>
      <c r="M304" s="44"/>
      <c r="N304" s="44"/>
      <c r="O304" s="44"/>
      <c r="P304" s="44"/>
      <c r="Q304" s="44"/>
      <c r="R304" s="44"/>
      <c r="S304" s="44"/>
      <c r="T304" s="44"/>
      <c r="U304" s="44"/>
      <c r="V304" s="44"/>
      <c r="W304" s="44"/>
      <c r="X304" s="44"/>
      <c r="Y304" s="44"/>
      <c r="Z304" s="44"/>
    </row>
    <row r="305" spans="1:26" ht="15.75" customHeight="1">
      <c r="A305" s="200" t="s">
        <v>1259</v>
      </c>
      <c r="B305" s="200" t="s">
        <v>1260</v>
      </c>
      <c r="C305" s="44"/>
      <c r="D305" s="44"/>
      <c r="E305" s="44"/>
      <c r="F305" s="44"/>
      <c r="G305" s="44"/>
      <c r="H305" s="44"/>
      <c r="I305" s="44"/>
      <c r="J305" s="44"/>
      <c r="K305" s="44"/>
      <c r="L305" s="44"/>
      <c r="M305" s="44"/>
      <c r="N305" s="44"/>
      <c r="O305" s="44"/>
      <c r="P305" s="44"/>
      <c r="Q305" s="44"/>
      <c r="R305" s="44"/>
      <c r="S305" s="44"/>
      <c r="T305" s="44"/>
      <c r="U305" s="44"/>
      <c r="V305" s="44"/>
      <c r="W305" s="44"/>
      <c r="X305" s="44"/>
      <c r="Y305" s="44"/>
      <c r="Z305" s="44"/>
    </row>
    <row r="306" spans="1:26" ht="15.75" customHeight="1">
      <c r="A306" s="200" t="s">
        <v>1261</v>
      </c>
      <c r="B306" s="200" t="s">
        <v>1262</v>
      </c>
      <c r="C306" s="44"/>
      <c r="D306" s="44"/>
      <c r="E306" s="44"/>
      <c r="F306" s="44"/>
      <c r="G306" s="44"/>
      <c r="H306" s="44"/>
      <c r="I306" s="44"/>
      <c r="J306" s="44"/>
      <c r="K306" s="44"/>
      <c r="L306" s="44"/>
      <c r="M306" s="44"/>
      <c r="N306" s="44"/>
      <c r="O306" s="44"/>
      <c r="P306" s="44"/>
      <c r="Q306" s="44"/>
      <c r="R306" s="44"/>
      <c r="S306" s="44"/>
      <c r="T306" s="44"/>
      <c r="U306" s="44"/>
      <c r="V306" s="44"/>
      <c r="W306" s="44"/>
      <c r="X306" s="44"/>
      <c r="Y306" s="44"/>
      <c r="Z306" s="44"/>
    </row>
    <row r="307" spans="1:26" ht="15.75" customHeight="1">
      <c r="A307" s="200" t="s">
        <v>1263</v>
      </c>
      <c r="B307" s="200" t="s">
        <v>1264</v>
      </c>
      <c r="C307" s="44"/>
      <c r="D307" s="44"/>
      <c r="E307" s="44"/>
      <c r="F307" s="44"/>
      <c r="G307" s="44"/>
      <c r="H307" s="44"/>
      <c r="I307" s="44"/>
      <c r="J307" s="44"/>
      <c r="K307" s="44"/>
      <c r="L307" s="44"/>
      <c r="M307" s="44"/>
      <c r="N307" s="44"/>
      <c r="O307" s="44"/>
      <c r="P307" s="44"/>
      <c r="Q307" s="44"/>
      <c r="R307" s="44"/>
      <c r="S307" s="44"/>
      <c r="T307" s="44"/>
      <c r="U307" s="44"/>
      <c r="V307" s="44"/>
      <c r="W307" s="44"/>
      <c r="X307" s="44"/>
      <c r="Y307" s="44"/>
      <c r="Z307" s="44"/>
    </row>
    <row r="308" spans="1:26" ht="15.75" customHeight="1">
      <c r="A308" s="200" t="s">
        <v>1265</v>
      </c>
      <c r="B308" s="200" t="s">
        <v>1266</v>
      </c>
      <c r="C308" s="44"/>
      <c r="D308" s="44"/>
      <c r="E308" s="44"/>
      <c r="F308" s="44"/>
      <c r="G308" s="44"/>
      <c r="H308" s="44"/>
      <c r="I308" s="44"/>
      <c r="J308" s="44"/>
      <c r="K308" s="44"/>
      <c r="L308" s="44"/>
      <c r="M308" s="44"/>
      <c r="N308" s="44"/>
      <c r="O308" s="44"/>
      <c r="P308" s="44"/>
      <c r="Q308" s="44"/>
      <c r="R308" s="44"/>
      <c r="S308" s="44"/>
      <c r="T308" s="44"/>
      <c r="U308" s="44"/>
      <c r="V308" s="44"/>
      <c r="W308" s="44"/>
      <c r="X308" s="44"/>
      <c r="Y308" s="44"/>
      <c r="Z308" s="44"/>
    </row>
    <row r="309" spans="1:26" ht="15.75" customHeight="1">
      <c r="A309" s="201" t="s">
        <v>3562</v>
      </c>
      <c r="B309" s="201" t="s">
        <v>1142</v>
      </c>
      <c r="C309" s="202" t="s">
        <v>3506</v>
      </c>
      <c r="D309" s="202"/>
      <c r="E309" s="202"/>
      <c r="F309" s="202"/>
      <c r="G309" s="202"/>
      <c r="H309" s="202"/>
      <c r="I309" s="202"/>
      <c r="J309" s="202"/>
      <c r="K309" s="202"/>
      <c r="L309" s="202"/>
      <c r="M309" s="202"/>
      <c r="N309" s="202"/>
      <c r="O309" s="202"/>
      <c r="P309" s="202"/>
      <c r="Q309" s="202"/>
      <c r="R309" s="202"/>
      <c r="S309" s="202"/>
      <c r="T309" s="202"/>
      <c r="U309" s="202"/>
      <c r="V309" s="202"/>
      <c r="W309" s="202"/>
      <c r="X309" s="202"/>
      <c r="Y309" s="202"/>
      <c r="Z309" s="202"/>
    </row>
    <row r="310" spans="1:26" ht="15.75" customHeight="1">
      <c r="A310" s="200" t="s">
        <v>1267</v>
      </c>
      <c r="B310" s="200" t="s">
        <v>1268</v>
      </c>
      <c r="C310" s="202"/>
      <c r="D310" s="44"/>
      <c r="E310" s="44"/>
      <c r="F310" s="44"/>
      <c r="G310" s="44"/>
      <c r="H310" s="44"/>
      <c r="I310" s="44"/>
      <c r="J310" s="44"/>
      <c r="K310" s="44"/>
      <c r="L310" s="44"/>
      <c r="M310" s="44"/>
      <c r="N310" s="44"/>
      <c r="O310" s="44"/>
      <c r="P310" s="44"/>
      <c r="Q310" s="44"/>
      <c r="R310" s="44"/>
      <c r="S310" s="44"/>
      <c r="T310" s="44"/>
      <c r="U310" s="44"/>
      <c r="V310" s="44"/>
      <c r="W310" s="44"/>
      <c r="X310" s="44"/>
      <c r="Y310" s="44"/>
      <c r="Z310" s="44"/>
    </row>
    <row r="311" spans="1:26" ht="15.75" customHeight="1"/>
    <row r="312" spans="1:26" ht="15.75" customHeight="1">
      <c r="A312" s="44"/>
      <c r="B312" s="44"/>
    </row>
    <row r="313" spans="1:26" ht="15.75" customHeight="1">
      <c r="A313" s="44"/>
      <c r="B313" s="44"/>
    </row>
    <row r="314" spans="1:26" ht="15.75" customHeight="1">
      <c r="A314" s="44"/>
      <c r="B314" s="44"/>
    </row>
    <row r="315" spans="1:26" ht="15.75" customHeight="1">
      <c r="A315" s="44"/>
      <c r="B315" s="44"/>
    </row>
    <row r="316" spans="1:26" ht="15.75" customHeight="1">
      <c r="A316" s="44"/>
      <c r="B316" s="44"/>
    </row>
    <row r="317" spans="1:26" ht="15.75" customHeight="1">
      <c r="A317" s="44"/>
      <c r="B317" s="44"/>
    </row>
    <row r="318" spans="1:26" ht="15.75" customHeight="1">
      <c r="A318" s="44"/>
      <c r="B318" s="44"/>
    </row>
    <row r="319" spans="1:26" ht="15.75" customHeight="1">
      <c r="A319" s="44"/>
      <c r="B319" s="44"/>
    </row>
    <row r="320" spans="1:26" ht="15.75" customHeight="1">
      <c r="A320" s="44"/>
      <c r="B320" s="44"/>
    </row>
    <row r="321" spans="1:2" ht="15.75" customHeight="1">
      <c r="A321" s="44"/>
      <c r="B321" s="44"/>
    </row>
    <row r="322" spans="1:2" ht="15.75" customHeight="1">
      <c r="A322" s="44"/>
      <c r="B322" s="44"/>
    </row>
    <row r="323" spans="1:2" ht="15.75" customHeight="1">
      <c r="A323" s="44"/>
      <c r="B323" s="44"/>
    </row>
    <row r="324" spans="1:2" ht="15.75" customHeight="1">
      <c r="A324" s="44"/>
      <c r="B324" s="44"/>
    </row>
    <row r="325" spans="1:2" ht="15.75" customHeight="1">
      <c r="A325" s="44"/>
      <c r="B325" s="44"/>
    </row>
    <row r="326" spans="1:2" ht="15.75" customHeight="1">
      <c r="A326" s="44"/>
      <c r="B326" s="44"/>
    </row>
    <row r="327" spans="1:2" ht="15.75" customHeight="1">
      <c r="A327" s="44"/>
      <c r="B327" s="44"/>
    </row>
    <row r="328" spans="1:2" ht="15.75" customHeight="1">
      <c r="A328" s="44"/>
      <c r="B328" s="44"/>
    </row>
    <row r="329" spans="1:2" ht="15.75" customHeight="1">
      <c r="A329" s="44"/>
      <c r="B329" s="44"/>
    </row>
    <row r="330" spans="1:2" ht="15.75" customHeight="1">
      <c r="A330" s="44"/>
      <c r="B330" s="44"/>
    </row>
    <row r="331" spans="1:2" ht="15.75" customHeight="1">
      <c r="A331" s="44"/>
      <c r="B331" s="44"/>
    </row>
    <row r="332" spans="1:2" ht="15.75" customHeight="1">
      <c r="A332" s="44"/>
      <c r="B332" s="44"/>
    </row>
    <row r="333" spans="1:2" ht="15.75" customHeight="1">
      <c r="A333" s="44"/>
      <c r="B333" s="44"/>
    </row>
    <row r="334" spans="1:2" ht="15.75" customHeight="1">
      <c r="A334" s="44"/>
      <c r="B334" s="44"/>
    </row>
    <row r="335" spans="1:2" ht="15.75" customHeight="1">
      <c r="A335" s="44"/>
      <c r="B335" s="44"/>
    </row>
    <row r="336" spans="1:2" ht="15.75" customHeight="1">
      <c r="A336" s="44"/>
      <c r="B336" s="44"/>
    </row>
    <row r="337" spans="1:2" ht="15.75" customHeight="1">
      <c r="A337" s="44"/>
      <c r="B337" s="44"/>
    </row>
    <row r="338" spans="1:2" ht="15.75" customHeight="1">
      <c r="A338" s="44"/>
      <c r="B338" s="44"/>
    </row>
    <row r="339" spans="1:2" ht="15.75" customHeight="1">
      <c r="A339" s="44"/>
      <c r="B339" s="44"/>
    </row>
    <row r="340" spans="1:2" ht="15.75" customHeight="1">
      <c r="A340" s="44"/>
      <c r="B340" s="44"/>
    </row>
    <row r="341" spans="1:2" ht="15.75" customHeight="1">
      <c r="A341" s="44"/>
      <c r="B341" s="44"/>
    </row>
    <row r="342" spans="1:2" ht="15.75" customHeight="1">
      <c r="A342" s="44"/>
      <c r="B342" s="44"/>
    </row>
    <row r="343" spans="1:2" ht="15.75" customHeight="1">
      <c r="A343" s="44"/>
      <c r="B343" s="44"/>
    </row>
    <row r="344" spans="1:2" ht="15.75" customHeight="1">
      <c r="A344" s="44"/>
      <c r="B344" s="44"/>
    </row>
    <row r="345" spans="1:2" ht="15.75" customHeight="1">
      <c r="A345" s="44"/>
      <c r="B345" s="44"/>
    </row>
    <row r="346" spans="1:2" ht="15.75" customHeight="1">
      <c r="A346" s="44"/>
      <c r="B346" s="44"/>
    </row>
    <row r="347" spans="1:2" ht="15.75" customHeight="1">
      <c r="A347" s="44"/>
      <c r="B347" s="44"/>
    </row>
    <row r="348" spans="1:2" ht="15.75" customHeight="1">
      <c r="A348" s="44"/>
      <c r="B348" s="44"/>
    </row>
    <row r="349" spans="1:2" ht="15.75" customHeight="1">
      <c r="A349" s="44"/>
      <c r="B349" s="44"/>
    </row>
    <row r="350" spans="1:2" ht="15.75" customHeight="1">
      <c r="A350" s="44"/>
      <c r="B350" s="44"/>
    </row>
    <row r="351" spans="1:2" ht="15.75" customHeight="1">
      <c r="A351" s="44"/>
      <c r="B351" s="44"/>
    </row>
    <row r="352" spans="1:2" ht="15.75" customHeight="1">
      <c r="A352" s="44"/>
      <c r="B352" s="44"/>
    </row>
    <row r="353" spans="1:2" ht="15.75" customHeight="1">
      <c r="A353" s="44"/>
      <c r="B353" s="44"/>
    </row>
    <row r="354" spans="1:2" ht="15.75" customHeight="1">
      <c r="A354" s="44"/>
      <c r="B354" s="44"/>
    </row>
    <row r="355" spans="1:2" ht="15.75" customHeight="1">
      <c r="A355" s="44"/>
      <c r="B355" s="44"/>
    </row>
    <row r="356" spans="1:2" ht="15.75" customHeight="1">
      <c r="A356" s="44"/>
      <c r="B356" s="44"/>
    </row>
    <row r="357" spans="1:2" ht="15.75" customHeight="1">
      <c r="A357" s="44"/>
      <c r="B357" s="44"/>
    </row>
    <row r="358" spans="1:2" ht="15.75" customHeight="1">
      <c r="A358" s="44"/>
      <c r="B358" s="44"/>
    </row>
    <row r="359" spans="1:2" ht="15.75" customHeight="1">
      <c r="A359" s="44"/>
      <c r="B359" s="44"/>
    </row>
    <row r="360" spans="1:2" ht="15.75" customHeight="1">
      <c r="A360" s="44"/>
      <c r="B360" s="44"/>
    </row>
    <row r="361" spans="1:2" ht="15.75" customHeight="1">
      <c r="A361" s="44"/>
      <c r="B361" s="44"/>
    </row>
    <row r="362" spans="1:2" ht="15.75" customHeight="1">
      <c r="A362" s="44"/>
      <c r="B362" s="44"/>
    </row>
    <row r="363" spans="1:2" ht="15.75" customHeight="1">
      <c r="A363" s="44"/>
      <c r="B363" s="44"/>
    </row>
    <row r="364" spans="1:2" ht="15.75" customHeight="1">
      <c r="A364" s="44"/>
      <c r="B364" s="44"/>
    </row>
    <row r="365" spans="1:2" ht="15.75" customHeight="1">
      <c r="A365" s="44"/>
      <c r="B365" s="44"/>
    </row>
    <row r="366" spans="1:2" ht="15.75" customHeight="1">
      <c r="A366" s="44"/>
      <c r="B366" s="44"/>
    </row>
    <row r="367" spans="1:2" ht="15.75" customHeight="1">
      <c r="A367" s="44"/>
      <c r="B367" s="44"/>
    </row>
    <row r="368" spans="1:2" ht="15.75" customHeight="1">
      <c r="A368" s="44"/>
      <c r="B368" s="44"/>
    </row>
    <row r="369" spans="1:2" ht="15.75" customHeight="1">
      <c r="A369" s="44"/>
      <c r="B369" s="44"/>
    </row>
    <row r="370" spans="1:2" ht="15.75" customHeight="1">
      <c r="A370" s="44"/>
      <c r="B370" s="44"/>
    </row>
    <row r="371" spans="1:2" ht="15.75" customHeight="1">
      <c r="A371" s="44"/>
      <c r="B371" s="44"/>
    </row>
    <row r="372" spans="1:2" ht="15.75" customHeight="1">
      <c r="A372" s="44"/>
      <c r="B372" s="44"/>
    </row>
    <row r="373" spans="1:2" ht="15.75" customHeight="1">
      <c r="A373" s="44"/>
      <c r="B373" s="44"/>
    </row>
    <row r="374" spans="1:2" ht="15.75" customHeight="1">
      <c r="A374" s="44"/>
      <c r="B374" s="44"/>
    </row>
    <row r="375" spans="1:2" ht="15.75" customHeight="1">
      <c r="A375" s="44"/>
      <c r="B375" s="44"/>
    </row>
    <row r="376" spans="1:2" ht="15.75" customHeight="1">
      <c r="A376" s="44"/>
      <c r="B376" s="44"/>
    </row>
    <row r="377" spans="1:2" ht="15.75" customHeight="1">
      <c r="A377" s="44"/>
      <c r="B377" s="44"/>
    </row>
    <row r="378" spans="1:2" ht="15.75" customHeight="1">
      <c r="A378" s="44"/>
      <c r="B378" s="44"/>
    </row>
    <row r="379" spans="1:2" ht="15.75" customHeight="1">
      <c r="A379" s="44"/>
      <c r="B379" s="44"/>
    </row>
    <row r="380" spans="1:2" ht="15.75" customHeight="1">
      <c r="A380" s="44"/>
      <c r="B380" s="44"/>
    </row>
    <row r="381" spans="1:2" ht="15.75" customHeight="1">
      <c r="A381" s="44"/>
      <c r="B381" s="44"/>
    </row>
    <row r="382" spans="1:2" ht="15.75" customHeight="1">
      <c r="A382" s="44"/>
      <c r="B382" s="44"/>
    </row>
    <row r="383" spans="1:2" ht="15.75" customHeight="1">
      <c r="A383" s="44"/>
      <c r="B383" s="44"/>
    </row>
    <row r="384" spans="1:2" ht="15.75" customHeight="1">
      <c r="A384" s="44"/>
      <c r="B384" s="44"/>
    </row>
    <row r="385" spans="1:2" ht="15.75" customHeight="1">
      <c r="A385" s="44"/>
      <c r="B385" s="44"/>
    </row>
    <row r="386" spans="1:2" ht="15.75" customHeight="1">
      <c r="A386" s="44"/>
      <c r="B386" s="44"/>
    </row>
    <row r="387" spans="1:2" ht="15.75" customHeight="1">
      <c r="A387" s="44"/>
      <c r="B387" s="44"/>
    </row>
    <row r="388" spans="1:2" ht="15.75" customHeight="1">
      <c r="A388" s="44"/>
      <c r="B388" s="44"/>
    </row>
    <row r="389" spans="1:2" ht="15.75" customHeight="1">
      <c r="A389" s="44"/>
      <c r="B389" s="44"/>
    </row>
    <row r="390" spans="1:2" ht="15.75" customHeight="1">
      <c r="A390" s="44"/>
      <c r="B390" s="44"/>
    </row>
    <row r="391" spans="1:2" ht="15.75" customHeight="1">
      <c r="A391" s="44"/>
      <c r="B391" s="44"/>
    </row>
    <row r="392" spans="1:2" ht="15.75" customHeight="1">
      <c r="A392" s="44"/>
      <c r="B392" s="44"/>
    </row>
    <row r="393" spans="1:2" ht="15.75" customHeight="1">
      <c r="A393" s="44"/>
      <c r="B393" s="44"/>
    </row>
    <row r="394" spans="1:2" ht="15.75" customHeight="1">
      <c r="A394" s="44"/>
      <c r="B394" s="44"/>
    </row>
    <row r="395" spans="1:2" ht="15.75" customHeight="1">
      <c r="A395" s="44"/>
      <c r="B395" s="44"/>
    </row>
    <row r="396" spans="1:2" ht="15.75" customHeight="1">
      <c r="A396" s="44"/>
      <c r="B396" s="44"/>
    </row>
    <row r="397" spans="1:2" ht="15.75" customHeight="1">
      <c r="A397" s="44"/>
      <c r="B397" s="44"/>
    </row>
    <row r="398" spans="1:2" ht="15.75" customHeight="1">
      <c r="A398" s="44"/>
      <c r="B398" s="44"/>
    </row>
    <row r="399" spans="1:2" ht="15.75" customHeight="1">
      <c r="A399" s="44"/>
      <c r="B399" s="44"/>
    </row>
    <row r="400" spans="1:2" ht="15.75" customHeight="1">
      <c r="A400" s="44"/>
      <c r="B400" s="44"/>
    </row>
    <row r="401" spans="1:2" ht="15.75" customHeight="1">
      <c r="A401" s="44"/>
      <c r="B401" s="44"/>
    </row>
    <row r="402" spans="1:2" ht="15.75" customHeight="1">
      <c r="A402" s="44"/>
      <c r="B402" s="44"/>
    </row>
    <row r="403" spans="1:2" ht="15.75" customHeight="1">
      <c r="A403" s="44"/>
      <c r="B403" s="44"/>
    </row>
    <row r="404" spans="1:2" ht="15.75" customHeight="1">
      <c r="A404" s="44"/>
      <c r="B404" s="44"/>
    </row>
    <row r="405" spans="1:2" ht="15.75" customHeight="1">
      <c r="A405" s="44"/>
      <c r="B405" s="44"/>
    </row>
    <row r="406" spans="1:2" ht="15.75" customHeight="1">
      <c r="A406" s="44"/>
      <c r="B406" s="44"/>
    </row>
    <row r="407" spans="1:2" ht="15.75" customHeight="1">
      <c r="A407" s="44"/>
      <c r="B407" s="44"/>
    </row>
    <row r="408" spans="1:2" ht="15.75" customHeight="1">
      <c r="A408" s="44"/>
      <c r="B408" s="44"/>
    </row>
    <row r="409" spans="1:2" ht="15.75" customHeight="1">
      <c r="A409" s="44"/>
      <c r="B409" s="44"/>
    </row>
    <row r="410" spans="1:2" ht="15.75" customHeight="1">
      <c r="A410" s="44"/>
      <c r="B410" s="44"/>
    </row>
    <row r="411" spans="1:2" ht="15.75" customHeight="1">
      <c r="A411" s="44"/>
      <c r="B411" s="44"/>
    </row>
    <row r="412" spans="1:2" ht="15.75" customHeight="1">
      <c r="A412" s="44"/>
      <c r="B412" s="44"/>
    </row>
    <row r="413" spans="1:2" ht="15.75" customHeight="1">
      <c r="A413" s="44"/>
      <c r="B413" s="44"/>
    </row>
    <row r="414" spans="1:2" ht="15.75" customHeight="1">
      <c r="A414" s="44"/>
      <c r="B414" s="44"/>
    </row>
    <row r="415" spans="1:2" ht="15.75" customHeight="1">
      <c r="A415" s="44"/>
      <c r="B415" s="44"/>
    </row>
    <row r="416" spans="1:2" ht="15.75" customHeight="1">
      <c r="A416" s="44"/>
      <c r="B416" s="44"/>
    </row>
    <row r="417" spans="1:2" ht="15.75" customHeight="1">
      <c r="A417" s="44"/>
      <c r="B417" s="44"/>
    </row>
    <row r="418" spans="1:2" ht="15.75" customHeight="1">
      <c r="A418" s="44"/>
      <c r="B418" s="44"/>
    </row>
    <row r="419" spans="1:2" ht="15.75" customHeight="1">
      <c r="A419" s="44"/>
      <c r="B419" s="44"/>
    </row>
    <row r="420" spans="1:2" ht="15.75" customHeight="1">
      <c r="A420" s="44"/>
      <c r="B420" s="44"/>
    </row>
    <row r="421" spans="1:2" ht="15.75" customHeight="1">
      <c r="A421" s="44"/>
      <c r="B421" s="44"/>
    </row>
    <row r="422" spans="1:2" ht="15.75" customHeight="1">
      <c r="A422" s="44"/>
      <c r="B422" s="44"/>
    </row>
    <row r="423" spans="1:2" ht="15.75" customHeight="1">
      <c r="A423" s="44"/>
      <c r="B423" s="44"/>
    </row>
    <row r="424" spans="1:2" ht="15.75" customHeight="1">
      <c r="A424" s="44"/>
      <c r="B424" s="44"/>
    </row>
    <row r="425" spans="1:2" ht="15.75" customHeight="1">
      <c r="A425" s="44"/>
      <c r="B425" s="44"/>
    </row>
    <row r="426" spans="1:2" ht="15.75" customHeight="1">
      <c r="A426" s="44"/>
      <c r="B426" s="44"/>
    </row>
    <row r="427" spans="1:2" ht="15.75" customHeight="1">
      <c r="A427" s="44"/>
      <c r="B427" s="44"/>
    </row>
    <row r="428" spans="1:2" ht="15.75" customHeight="1">
      <c r="A428" s="44"/>
      <c r="B428" s="44"/>
    </row>
    <row r="429" spans="1:2" ht="15.75" customHeight="1">
      <c r="A429" s="44"/>
      <c r="B429" s="44"/>
    </row>
    <row r="430" spans="1:2" ht="15.75" customHeight="1">
      <c r="A430" s="44"/>
      <c r="B430" s="44"/>
    </row>
    <row r="431" spans="1:2" ht="15.75" customHeight="1">
      <c r="A431" s="44"/>
      <c r="B431" s="44"/>
    </row>
    <row r="432" spans="1:2" ht="15.75" customHeight="1">
      <c r="A432" s="44"/>
      <c r="B432" s="44"/>
    </row>
    <row r="433" spans="1:2" ht="15.75" customHeight="1">
      <c r="A433" s="44"/>
      <c r="B433" s="44"/>
    </row>
    <row r="434" spans="1:2" ht="15.75" customHeight="1">
      <c r="A434" s="44"/>
      <c r="B434" s="44"/>
    </row>
    <row r="435" spans="1:2" ht="15.75" customHeight="1">
      <c r="A435" s="44"/>
      <c r="B435" s="44"/>
    </row>
    <row r="436" spans="1:2" ht="15.75" customHeight="1">
      <c r="A436" s="44"/>
      <c r="B436" s="44"/>
    </row>
    <row r="437" spans="1:2" ht="15.75" customHeight="1">
      <c r="A437" s="44"/>
      <c r="B437" s="44"/>
    </row>
    <row r="438" spans="1:2" ht="15.75" customHeight="1">
      <c r="A438" s="44"/>
      <c r="B438" s="44"/>
    </row>
    <row r="439" spans="1:2" ht="15.75" customHeight="1">
      <c r="A439" s="44"/>
      <c r="B439" s="44"/>
    </row>
    <row r="440" spans="1:2" ht="15.75" customHeight="1">
      <c r="A440" s="44"/>
      <c r="B440" s="44"/>
    </row>
    <row r="441" spans="1:2" ht="15.75" customHeight="1">
      <c r="A441" s="44"/>
      <c r="B441" s="44"/>
    </row>
    <row r="442" spans="1:2" ht="15.75" customHeight="1">
      <c r="A442" s="44"/>
      <c r="B442" s="44"/>
    </row>
    <row r="443" spans="1:2" ht="15.75" customHeight="1">
      <c r="A443" s="44"/>
      <c r="B443" s="44"/>
    </row>
    <row r="444" spans="1:2" ht="15.75" customHeight="1">
      <c r="A444" s="44"/>
      <c r="B444" s="44"/>
    </row>
    <row r="445" spans="1:2" ht="15.75" customHeight="1">
      <c r="A445" s="44"/>
      <c r="B445" s="44"/>
    </row>
    <row r="446" spans="1:2" ht="15.75" customHeight="1">
      <c r="A446" s="44"/>
      <c r="B446" s="44"/>
    </row>
    <row r="447" spans="1:2" ht="15.75" customHeight="1">
      <c r="A447" s="44"/>
      <c r="B447" s="44"/>
    </row>
    <row r="448" spans="1:2" ht="15.75" customHeight="1">
      <c r="A448" s="44"/>
      <c r="B448" s="44"/>
    </row>
    <row r="449" spans="1:2" ht="15.75" customHeight="1">
      <c r="A449" s="44"/>
      <c r="B449" s="44"/>
    </row>
    <row r="450" spans="1:2" ht="15.75" customHeight="1">
      <c r="A450" s="44"/>
      <c r="B450" s="44"/>
    </row>
    <row r="451" spans="1:2" ht="15.75" customHeight="1">
      <c r="A451" s="44"/>
      <c r="B451" s="44"/>
    </row>
    <row r="452" spans="1:2" ht="15.75" customHeight="1">
      <c r="A452" s="44"/>
      <c r="B452" s="44"/>
    </row>
    <row r="453" spans="1:2" ht="15.75" customHeight="1">
      <c r="A453" s="44"/>
      <c r="B453" s="44"/>
    </row>
    <row r="454" spans="1:2" ht="15.75" customHeight="1">
      <c r="A454" s="44"/>
      <c r="B454" s="44"/>
    </row>
    <row r="455" spans="1:2" ht="15.75" customHeight="1">
      <c r="A455" s="44"/>
      <c r="B455" s="44"/>
    </row>
    <row r="456" spans="1:2" ht="15.75" customHeight="1">
      <c r="A456" s="44"/>
      <c r="B456" s="44"/>
    </row>
    <row r="457" spans="1:2" ht="15.75" customHeight="1">
      <c r="A457" s="44"/>
      <c r="B457" s="44"/>
    </row>
    <row r="458" spans="1:2" ht="15.75" customHeight="1">
      <c r="A458" s="44"/>
      <c r="B458" s="44"/>
    </row>
    <row r="459" spans="1:2" ht="15.75" customHeight="1">
      <c r="A459" s="44"/>
      <c r="B459" s="44"/>
    </row>
    <row r="460" spans="1:2" ht="15.75" customHeight="1">
      <c r="A460" s="44"/>
      <c r="B460" s="44"/>
    </row>
    <row r="461" spans="1:2" ht="15.75" customHeight="1">
      <c r="A461" s="44"/>
      <c r="B461" s="44"/>
    </row>
    <row r="462" spans="1:2" ht="15.75" customHeight="1">
      <c r="A462" s="44"/>
      <c r="B462" s="44"/>
    </row>
    <row r="463" spans="1:2" ht="15.75" customHeight="1">
      <c r="A463" s="44"/>
      <c r="B463" s="44"/>
    </row>
    <row r="464" spans="1:2" ht="15.75" customHeight="1">
      <c r="A464" s="44"/>
      <c r="B464" s="44"/>
    </row>
    <row r="465" spans="1:2" ht="15.75" customHeight="1">
      <c r="A465" s="44"/>
      <c r="B465" s="44"/>
    </row>
    <row r="466" spans="1:2" ht="15.75" customHeight="1">
      <c r="A466" s="44"/>
      <c r="B466" s="44"/>
    </row>
    <row r="467" spans="1:2" ht="15.75" customHeight="1">
      <c r="A467" s="44"/>
      <c r="B467" s="44"/>
    </row>
    <row r="468" spans="1:2" ht="15.75" customHeight="1">
      <c r="A468" s="44"/>
      <c r="B468" s="44"/>
    </row>
    <row r="469" spans="1:2" ht="15.75" customHeight="1">
      <c r="A469" s="44"/>
      <c r="B469" s="44"/>
    </row>
    <row r="470" spans="1:2" ht="15.75" customHeight="1">
      <c r="A470" s="44"/>
      <c r="B470" s="44"/>
    </row>
    <row r="471" spans="1:2" ht="15.75" customHeight="1">
      <c r="A471" s="44"/>
      <c r="B471" s="44"/>
    </row>
    <row r="472" spans="1:2" ht="15.75" customHeight="1">
      <c r="A472" s="44"/>
      <c r="B472" s="44"/>
    </row>
    <row r="473" spans="1:2" ht="15.75" customHeight="1">
      <c r="A473" s="44"/>
      <c r="B473" s="44"/>
    </row>
    <row r="474" spans="1:2" ht="15.75" customHeight="1">
      <c r="A474" s="44"/>
      <c r="B474" s="44"/>
    </row>
    <row r="475" spans="1:2" ht="15.75" customHeight="1">
      <c r="A475" s="44"/>
      <c r="B475" s="44"/>
    </row>
    <row r="476" spans="1:2" ht="15.75" customHeight="1">
      <c r="A476" s="44"/>
      <c r="B476" s="44"/>
    </row>
    <row r="477" spans="1:2" ht="15.75" customHeight="1">
      <c r="A477" s="44"/>
      <c r="B477" s="44"/>
    </row>
    <row r="478" spans="1:2" ht="15.75" customHeight="1">
      <c r="A478" s="44"/>
      <c r="B478" s="44"/>
    </row>
    <row r="479" spans="1:2" ht="15.75" customHeight="1">
      <c r="A479" s="44"/>
      <c r="B479" s="44"/>
    </row>
    <row r="480" spans="1:2" ht="15.75" customHeight="1">
      <c r="A480" s="44"/>
      <c r="B480" s="44"/>
    </row>
    <row r="481" spans="1:2" ht="15.75" customHeight="1">
      <c r="A481" s="44"/>
      <c r="B481" s="44"/>
    </row>
    <row r="482" spans="1:2" ht="15.75" customHeight="1">
      <c r="A482" s="44"/>
      <c r="B482" s="44"/>
    </row>
    <row r="483" spans="1:2" ht="15.75" customHeight="1">
      <c r="A483" s="44"/>
      <c r="B483" s="44"/>
    </row>
    <row r="484" spans="1:2" ht="15.75" customHeight="1">
      <c r="A484" s="44"/>
      <c r="B484" s="44"/>
    </row>
    <row r="485" spans="1:2" ht="15.75" customHeight="1">
      <c r="A485" s="44"/>
      <c r="B485" s="44"/>
    </row>
    <row r="486" spans="1:2" ht="15.75" customHeight="1">
      <c r="A486" s="44"/>
      <c r="B486" s="44"/>
    </row>
    <row r="487" spans="1:2" ht="15.75" customHeight="1">
      <c r="A487" s="44"/>
      <c r="B487" s="44"/>
    </row>
    <row r="488" spans="1:2" ht="15.75" customHeight="1">
      <c r="A488" s="44"/>
      <c r="B488" s="44"/>
    </row>
    <row r="489" spans="1:2" ht="15.75" customHeight="1">
      <c r="A489" s="44"/>
      <c r="B489" s="44"/>
    </row>
    <row r="490" spans="1:2" ht="15.75" customHeight="1">
      <c r="A490" s="44"/>
      <c r="B490" s="44"/>
    </row>
    <row r="491" spans="1:2" ht="15.75" customHeight="1">
      <c r="A491" s="44"/>
      <c r="B491" s="44"/>
    </row>
    <row r="492" spans="1:2" ht="15.75" customHeight="1">
      <c r="A492" s="44"/>
      <c r="B492" s="44"/>
    </row>
    <row r="493" spans="1:2" ht="15.75" customHeight="1">
      <c r="A493" s="44"/>
      <c r="B493" s="44"/>
    </row>
    <row r="494" spans="1:2" ht="15.75" customHeight="1">
      <c r="A494" s="44"/>
      <c r="B494" s="44"/>
    </row>
    <row r="495" spans="1:2" ht="15.75" customHeight="1">
      <c r="A495" s="44"/>
      <c r="B495" s="44"/>
    </row>
    <row r="496" spans="1:2" ht="15.75" customHeight="1">
      <c r="A496" s="44"/>
      <c r="B496" s="44"/>
    </row>
    <row r="497" spans="1:2" ht="15.75" customHeight="1">
      <c r="A497" s="44"/>
      <c r="B497" s="44"/>
    </row>
    <row r="498" spans="1:2" ht="15.75" customHeight="1">
      <c r="A498" s="44"/>
      <c r="B498" s="44"/>
    </row>
    <row r="499" spans="1:2" ht="15.75" customHeight="1">
      <c r="A499" s="44"/>
      <c r="B499" s="44"/>
    </row>
    <row r="500" spans="1:2" ht="15.75" customHeight="1">
      <c r="A500" s="44"/>
      <c r="B500" s="44"/>
    </row>
    <row r="501" spans="1:2" ht="15.75" customHeight="1">
      <c r="A501" s="44"/>
      <c r="B501" s="44"/>
    </row>
    <row r="502" spans="1:2" ht="15.75" customHeight="1">
      <c r="A502" s="44"/>
      <c r="B502" s="44"/>
    </row>
    <row r="503" spans="1:2" ht="15.75" customHeight="1">
      <c r="A503" s="44"/>
      <c r="B503" s="44"/>
    </row>
    <row r="504" spans="1:2" ht="15.75" customHeight="1">
      <c r="A504" s="44"/>
      <c r="B504" s="44"/>
    </row>
    <row r="505" spans="1:2" ht="15.75" customHeight="1">
      <c r="A505" s="44"/>
      <c r="B505" s="44"/>
    </row>
    <row r="506" spans="1:2" ht="15.75" customHeight="1">
      <c r="A506" s="44"/>
      <c r="B506" s="44"/>
    </row>
    <row r="507" spans="1:2" ht="15.75" customHeight="1">
      <c r="A507" s="44"/>
      <c r="B507" s="44"/>
    </row>
    <row r="508" spans="1:2" ht="15.75" customHeight="1">
      <c r="A508" s="44"/>
      <c r="B508" s="44"/>
    </row>
    <row r="509" spans="1:2" ht="15.75" customHeight="1">
      <c r="A509" s="44"/>
      <c r="B509" s="44"/>
    </row>
    <row r="510" spans="1:2" ht="15.75" customHeight="1">
      <c r="A510" s="44"/>
      <c r="B510" s="44"/>
    </row>
    <row r="511" spans="1:2" ht="15.75" customHeight="1">
      <c r="A511" s="44"/>
      <c r="B511" s="44"/>
    </row>
    <row r="512" spans="1:2" ht="15.75" customHeight="1">
      <c r="A512" s="44"/>
      <c r="B512" s="44"/>
    </row>
    <row r="513" spans="1:2" ht="15.75" customHeight="1">
      <c r="A513" s="44"/>
      <c r="B513" s="44"/>
    </row>
    <row r="514" spans="1:2" ht="15.75" customHeight="1">
      <c r="A514" s="44"/>
      <c r="B514" s="44"/>
    </row>
    <row r="515" spans="1:2" ht="15.75" customHeight="1">
      <c r="A515" s="44"/>
      <c r="B515" s="44"/>
    </row>
    <row r="516" spans="1:2" ht="15.75" customHeight="1">
      <c r="A516" s="44"/>
      <c r="B516" s="44"/>
    </row>
    <row r="517" spans="1:2" ht="15.75" customHeight="1">
      <c r="A517" s="44"/>
      <c r="B517" s="44"/>
    </row>
    <row r="518" spans="1:2" ht="15.75" customHeight="1">
      <c r="A518" s="44"/>
      <c r="B518" s="44"/>
    </row>
    <row r="519" spans="1:2" ht="15.75" customHeight="1">
      <c r="A519" s="44"/>
      <c r="B519" s="44"/>
    </row>
    <row r="520" spans="1:2" ht="15.75" customHeight="1">
      <c r="A520" s="44"/>
      <c r="B520" s="44"/>
    </row>
    <row r="521" spans="1:2" ht="15.75" customHeight="1">
      <c r="A521" s="44"/>
      <c r="B521" s="44"/>
    </row>
    <row r="522" spans="1:2" ht="15.75" customHeight="1">
      <c r="A522" s="44"/>
      <c r="B522" s="44"/>
    </row>
    <row r="523" spans="1:2" ht="15.75" customHeight="1">
      <c r="A523" s="44"/>
      <c r="B523" s="44"/>
    </row>
    <row r="524" spans="1:2" ht="15.75" customHeight="1">
      <c r="A524" s="44"/>
      <c r="B524" s="44"/>
    </row>
    <row r="525" spans="1:2" ht="15.75" customHeight="1">
      <c r="A525" s="44"/>
      <c r="B525" s="44"/>
    </row>
    <row r="526" spans="1:2" ht="15.75" customHeight="1">
      <c r="A526" s="44"/>
      <c r="B526" s="44"/>
    </row>
    <row r="527" spans="1:2" ht="15.75" customHeight="1">
      <c r="A527" s="44"/>
      <c r="B527" s="44"/>
    </row>
    <row r="528" spans="1:2" ht="15.75" customHeight="1">
      <c r="A528" s="44"/>
      <c r="B528" s="44"/>
    </row>
    <row r="529" spans="1:2" ht="15.75" customHeight="1">
      <c r="A529" s="44"/>
      <c r="B529" s="44"/>
    </row>
    <row r="530" spans="1:2" ht="15.75" customHeight="1">
      <c r="A530" s="44"/>
      <c r="B530" s="44"/>
    </row>
    <row r="531" spans="1:2" ht="15.75" customHeight="1">
      <c r="A531" s="44"/>
      <c r="B531" s="44"/>
    </row>
    <row r="532" spans="1:2" ht="15.75" customHeight="1">
      <c r="A532" s="44"/>
      <c r="B532" s="44"/>
    </row>
    <row r="533" spans="1:2" ht="15.75" customHeight="1">
      <c r="A533" s="44"/>
      <c r="B533" s="44"/>
    </row>
    <row r="534" spans="1:2" ht="15.75" customHeight="1">
      <c r="A534" s="44"/>
      <c r="B534" s="44"/>
    </row>
    <row r="535" spans="1:2" ht="15.75" customHeight="1">
      <c r="A535" s="44"/>
      <c r="B535" s="44"/>
    </row>
    <row r="536" spans="1:2" ht="15.75" customHeight="1">
      <c r="A536" s="44"/>
      <c r="B536" s="44"/>
    </row>
    <row r="537" spans="1:2" ht="15.75" customHeight="1">
      <c r="A537" s="44"/>
      <c r="B537" s="44"/>
    </row>
    <row r="538" spans="1:2" ht="15.75" customHeight="1">
      <c r="A538" s="44"/>
      <c r="B538" s="44"/>
    </row>
    <row r="539" spans="1:2" ht="15.75" customHeight="1">
      <c r="A539" s="44"/>
      <c r="B539" s="44"/>
    </row>
    <row r="540" spans="1:2" ht="15.75" customHeight="1">
      <c r="A540" s="44"/>
      <c r="B540" s="44"/>
    </row>
    <row r="541" spans="1:2" ht="15.75" customHeight="1">
      <c r="A541" s="44"/>
      <c r="B541" s="44"/>
    </row>
    <row r="542" spans="1:2" ht="15.75" customHeight="1">
      <c r="A542" s="44"/>
      <c r="B542" s="44"/>
    </row>
    <row r="543" spans="1:2" ht="15.75" customHeight="1">
      <c r="A543" s="44"/>
      <c r="B543" s="44"/>
    </row>
    <row r="544" spans="1:2" ht="15.75" customHeight="1">
      <c r="A544" s="44"/>
      <c r="B544" s="44"/>
    </row>
    <row r="545" spans="1:2" ht="15.75" customHeight="1">
      <c r="A545" s="44"/>
      <c r="B545" s="44"/>
    </row>
    <row r="546" spans="1:2" ht="15.75" customHeight="1">
      <c r="A546" s="44"/>
      <c r="B546" s="44"/>
    </row>
    <row r="547" spans="1:2" ht="15.75" customHeight="1">
      <c r="A547" s="44"/>
      <c r="B547" s="44"/>
    </row>
    <row r="548" spans="1:2" ht="15.75" customHeight="1">
      <c r="A548" s="44"/>
      <c r="B548" s="44"/>
    </row>
    <row r="549" spans="1:2" ht="15.75" customHeight="1">
      <c r="A549" s="44"/>
      <c r="B549" s="44"/>
    </row>
    <row r="550" spans="1:2" ht="15.75" customHeight="1">
      <c r="A550" s="44"/>
      <c r="B550" s="44"/>
    </row>
    <row r="551" spans="1:2" ht="15.75" customHeight="1">
      <c r="A551" s="44"/>
      <c r="B551" s="44"/>
    </row>
    <row r="552" spans="1:2" ht="15.75" customHeight="1">
      <c r="A552" s="44"/>
      <c r="B552" s="44"/>
    </row>
    <row r="553" spans="1:2" ht="15.75" customHeight="1">
      <c r="A553" s="44"/>
      <c r="B553" s="44"/>
    </row>
    <row r="554" spans="1:2" ht="15.75" customHeight="1">
      <c r="A554" s="44"/>
      <c r="B554" s="44"/>
    </row>
    <row r="555" spans="1:2" ht="15.75" customHeight="1">
      <c r="A555" s="44"/>
      <c r="B555" s="44"/>
    </row>
    <row r="556" spans="1:2" ht="15.75" customHeight="1">
      <c r="A556" s="44"/>
      <c r="B556" s="44"/>
    </row>
    <row r="557" spans="1:2" ht="15.75" customHeight="1">
      <c r="A557" s="44"/>
      <c r="B557" s="44"/>
    </row>
    <row r="558" spans="1:2" ht="15.75" customHeight="1">
      <c r="A558" s="44"/>
      <c r="B558" s="44"/>
    </row>
    <row r="559" spans="1:2" ht="15.75" customHeight="1">
      <c r="A559" s="44"/>
      <c r="B559" s="44"/>
    </row>
    <row r="560" spans="1:2" ht="15.75" customHeight="1">
      <c r="A560" s="44"/>
      <c r="B560" s="44"/>
    </row>
    <row r="561" spans="1:2" ht="15.75" customHeight="1">
      <c r="A561" s="44"/>
      <c r="B561" s="44"/>
    </row>
    <row r="562" spans="1:2" ht="15.75" customHeight="1">
      <c r="A562" s="44"/>
      <c r="B562" s="44"/>
    </row>
    <row r="563" spans="1:2" ht="15.75" customHeight="1">
      <c r="A563" s="44"/>
      <c r="B563" s="44"/>
    </row>
    <row r="564" spans="1:2" ht="15.75" customHeight="1">
      <c r="A564" s="44"/>
      <c r="B564" s="44"/>
    </row>
    <row r="565" spans="1:2" ht="15.75" customHeight="1">
      <c r="A565" s="44"/>
      <c r="B565" s="44"/>
    </row>
    <row r="566" spans="1:2" ht="15.75" customHeight="1">
      <c r="A566" s="44"/>
      <c r="B566" s="44"/>
    </row>
    <row r="567" spans="1:2" ht="15.75" customHeight="1">
      <c r="A567" s="44"/>
      <c r="B567" s="44"/>
    </row>
    <row r="568" spans="1:2" ht="15.75" customHeight="1">
      <c r="A568" s="44"/>
      <c r="B568" s="44"/>
    </row>
    <row r="569" spans="1:2" ht="15.75" customHeight="1">
      <c r="A569" s="44"/>
      <c r="B569" s="44"/>
    </row>
    <row r="570" spans="1:2" ht="15.75" customHeight="1">
      <c r="A570" s="44"/>
      <c r="B570" s="44"/>
    </row>
    <row r="571" spans="1:2" ht="15.75" customHeight="1">
      <c r="A571" s="44"/>
      <c r="B571" s="44"/>
    </row>
    <row r="572" spans="1:2" ht="15.75" customHeight="1">
      <c r="A572" s="44"/>
      <c r="B572" s="44"/>
    </row>
    <row r="573" spans="1:2" ht="15.75" customHeight="1">
      <c r="A573" s="44"/>
      <c r="B573" s="44"/>
    </row>
    <row r="574" spans="1:2" ht="15.75" customHeight="1">
      <c r="A574" s="44"/>
      <c r="B574" s="44"/>
    </row>
    <row r="575" spans="1:2" ht="15.75" customHeight="1">
      <c r="A575" s="44"/>
      <c r="B575" s="44"/>
    </row>
    <row r="576" spans="1:2" ht="15.75" customHeight="1">
      <c r="A576" s="44"/>
      <c r="B576" s="44"/>
    </row>
    <row r="577" spans="1:2" ht="15.75" customHeight="1">
      <c r="A577" s="44"/>
      <c r="B577" s="44"/>
    </row>
    <row r="578" spans="1:2" ht="15.75" customHeight="1">
      <c r="A578" s="44"/>
      <c r="B578" s="44"/>
    </row>
    <row r="579" spans="1:2" ht="15.75" customHeight="1">
      <c r="A579" s="44"/>
      <c r="B579" s="44"/>
    </row>
    <row r="580" spans="1:2" ht="15.75" customHeight="1">
      <c r="A580" s="44"/>
      <c r="B580" s="44"/>
    </row>
    <row r="581" spans="1:2" ht="15.75" customHeight="1">
      <c r="A581" s="44"/>
      <c r="B581" s="44"/>
    </row>
    <row r="582" spans="1:2" ht="15.75" customHeight="1">
      <c r="A582" s="44"/>
      <c r="B582" s="44"/>
    </row>
    <row r="583" spans="1:2" ht="15.75" customHeight="1">
      <c r="A583" s="44"/>
      <c r="B583" s="44"/>
    </row>
    <row r="584" spans="1:2" ht="15.75" customHeight="1">
      <c r="A584" s="44"/>
      <c r="B584" s="44"/>
    </row>
    <row r="585" spans="1:2" ht="15.75" customHeight="1">
      <c r="A585" s="44"/>
      <c r="B585" s="44"/>
    </row>
    <row r="586" spans="1:2" ht="15.75" customHeight="1">
      <c r="A586" s="44"/>
      <c r="B586" s="44"/>
    </row>
    <row r="587" spans="1:2" ht="15.75" customHeight="1">
      <c r="A587" s="44"/>
      <c r="B587" s="44"/>
    </row>
    <row r="588" spans="1:2" ht="15.75" customHeight="1">
      <c r="A588" s="44"/>
      <c r="B588" s="44"/>
    </row>
    <row r="589" spans="1:2" ht="15.75" customHeight="1">
      <c r="A589" s="44"/>
      <c r="B589" s="44"/>
    </row>
    <row r="590" spans="1:2" ht="15.75" customHeight="1">
      <c r="A590" s="44"/>
      <c r="B590" s="44"/>
    </row>
    <row r="591" spans="1:2" ht="15.75" customHeight="1">
      <c r="A591" s="44"/>
      <c r="B591" s="44"/>
    </row>
    <row r="592" spans="1:2" ht="15.75" customHeight="1">
      <c r="A592" s="44"/>
      <c r="B592" s="44"/>
    </row>
    <row r="593" spans="1:2" ht="15.75" customHeight="1">
      <c r="A593" s="44"/>
      <c r="B593" s="44"/>
    </row>
    <row r="594" spans="1:2" ht="15.75" customHeight="1">
      <c r="A594" s="44"/>
      <c r="B594" s="44"/>
    </row>
    <row r="595" spans="1:2" ht="15.75" customHeight="1">
      <c r="A595" s="44"/>
      <c r="B595" s="44"/>
    </row>
    <row r="596" spans="1:2" ht="15.75" customHeight="1">
      <c r="A596" s="44"/>
      <c r="B596" s="44"/>
    </row>
    <row r="597" spans="1:2" ht="15.75" customHeight="1">
      <c r="A597" s="44"/>
      <c r="B597" s="44"/>
    </row>
    <row r="598" spans="1:2" ht="15.75" customHeight="1">
      <c r="A598" s="44"/>
      <c r="B598" s="44"/>
    </row>
    <row r="599" spans="1:2" ht="15.75" customHeight="1">
      <c r="A599" s="44"/>
      <c r="B599" s="44"/>
    </row>
    <row r="600" spans="1:2" ht="15.75" customHeight="1">
      <c r="A600" s="44"/>
      <c r="B600" s="44"/>
    </row>
    <row r="601" spans="1:2" ht="15.75" customHeight="1">
      <c r="A601" s="44"/>
      <c r="B601" s="44"/>
    </row>
    <row r="602" spans="1:2" ht="15.75" customHeight="1">
      <c r="A602" s="44"/>
      <c r="B602" s="44"/>
    </row>
    <row r="603" spans="1:2" ht="15.75" customHeight="1">
      <c r="A603" s="44"/>
      <c r="B603" s="44"/>
    </row>
    <row r="604" spans="1:2" ht="15.75" customHeight="1">
      <c r="A604" s="44"/>
      <c r="B604" s="44"/>
    </row>
    <row r="605" spans="1:2" ht="15.75" customHeight="1">
      <c r="A605" s="44"/>
      <c r="B605" s="44"/>
    </row>
    <row r="606" spans="1:2" ht="15.75" customHeight="1">
      <c r="A606" s="44"/>
      <c r="B606" s="44"/>
    </row>
    <row r="607" spans="1:2" ht="15.75" customHeight="1">
      <c r="A607" s="44"/>
      <c r="B607" s="44"/>
    </row>
    <row r="608" spans="1:2" ht="15.75" customHeight="1">
      <c r="A608" s="44"/>
      <c r="B608" s="44"/>
    </row>
    <row r="609" spans="1:2" ht="15.75" customHeight="1">
      <c r="A609" s="44"/>
      <c r="B609" s="44"/>
    </row>
    <row r="610" spans="1:2" ht="15.75" customHeight="1">
      <c r="A610" s="44"/>
      <c r="B610" s="44"/>
    </row>
    <row r="611" spans="1:2" ht="15.75" customHeight="1">
      <c r="A611" s="44"/>
      <c r="B611" s="44"/>
    </row>
    <row r="612" spans="1:2" ht="15.75" customHeight="1">
      <c r="A612" s="44"/>
      <c r="B612" s="44"/>
    </row>
    <row r="613" spans="1:2" ht="15.75" customHeight="1">
      <c r="A613" s="44"/>
      <c r="B613" s="44"/>
    </row>
    <row r="614" spans="1:2" ht="15.75" customHeight="1">
      <c r="A614" s="44"/>
      <c r="B614" s="44"/>
    </row>
    <row r="615" spans="1:2" ht="15.75" customHeight="1">
      <c r="A615" s="44"/>
      <c r="B615" s="44"/>
    </row>
    <row r="616" spans="1:2" ht="15.75" customHeight="1">
      <c r="A616" s="44"/>
      <c r="B616" s="44"/>
    </row>
    <row r="617" spans="1:2" ht="15.75" customHeight="1">
      <c r="A617" s="44"/>
      <c r="B617" s="44"/>
    </row>
    <row r="618" spans="1:2" ht="15.75" customHeight="1">
      <c r="A618" s="44"/>
      <c r="B618" s="44"/>
    </row>
    <row r="619" spans="1:2" ht="15.75" customHeight="1">
      <c r="A619" s="44"/>
      <c r="B619" s="44"/>
    </row>
    <row r="620" spans="1:2" ht="15.75" customHeight="1">
      <c r="A620" s="44"/>
      <c r="B620" s="44"/>
    </row>
    <row r="621" spans="1:2" ht="15.75" customHeight="1">
      <c r="A621" s="44"/>
      <c r="B621" s="44"/>
    </row>
    <row r="622" spans="1:2" ht="15.75" customHeight="1">
      <c r="A622" s="44"/>
      <c r="B622" s="44"/>
    </row>
    <row r="623" spans="1:2" ht="15.75" customHeight="1">
      <c r="A623" s="44"/>
      <c r="B623" s="44"/>
    </row>
    <row r="624" spans="1:2" ht="15.75" customHeight="1">
      <c r="A624" s="44"/>
      <c r="B624" s="44"/>
    </row>
    <row r="625" spans="1:2" ht="15.75" customHeight="1">
      <c r="A625" s="44"/>
      <c r="B625" s="44"/>
    </row>
    <row r="626" spans="1:2" ht="15.75" customHeight="1">
      <c r="A626" s="44"/>
      <c r="B626" s="44"/>
    </row>
    <row r="627" spans="1:2" ht="15.75" customHeight="1">
      <c r="A627" s="44"/>
      <c r="B627" s="44"/>
    </row>
    <row r="628" spans="1:2" ht="15.75" customHeight="1">
      <c r="A628" s="44"/>
      <c r="B628" s="44"/>
    </row>
    <row r="629" spans="1:2" ht="15.75" customHeight="1">
      <c r="A629" s="44"/>
      <c r="B629" s="44"/>
    </row>
    <row r="630" spans="1:2" ht="15.75" customHeight="1">
      <c r="A630" s="44"/>
      <c r="B630" s="44"/>
    </row>
    <row r="631" spans="1:2" ht="15.75" customHeight="1">
      <c r="A631" s="44"/>
      <c r="B631" s="44"/>
    </row>
    <row r="632" spans="1:2" ht="15.75" customHeight="1">
      <c r="A632" s="44"/>
      <c r="B632" s="44"/>
    </row>
    <row r="633" spans="1:2" ht="15.75" customHeight="1">
      <c r="A633" s="44"/>
      <c r="B633" s="44"/>
    </row>
    <row r="634" spans="1:2" ht="15.75" customHeight="1">
      <c r="A634" s="44"/>
      <c r="B634" s="44"/>
    </row>
    <row r="635" spans="1:2" ht="15.75" customHeight="1">
      <c r="A635" s="44"/>
      <c r="B635" s="44"/>
    </row>
    <row r="636" spans="1:2" ht="15.75" customHeight="1">
      <c r="A636" s="44"/>
      <c r="B636" s="44"/>
    </row>
    <row r="637" spans="1:2" ht="15.75" customHeight="1">
      <c r="A637" s="44"/>
      <c r="B637" s="44"/>
    </row>
    <row r="638" spans="1:2" ht="15.75" customHeight="1">
      <c r="A638" s="44"/>
      <c r="B638" s="44"/>
    </row>
    <row r="639" spans="1:2" ht="15.75" customHeight="1">
      <c r="A639" s="44"/>
      <c r="B639" s="44"/>
    </row>
    <row r="640" spans="1:2" ht="15.75" customHeight="1">
      <c r="A640" s="44"/>
      <c r="B640" s="44"/>
    </row>
    <row r="641" spans="1:2" ht="15.75" customHeight="1">
      <c r="A641" s="44"/>
      <c r="B641" s="44"/>
    </row>
    <row r="642" spans="1:2" ht="15.75" customHeight="1">
      <c r="A642" s="44"/>
      <c r="B642" s="44"/>
    </row>
    <row r="643" spans="1:2" ht="15.75" customHeight="1">
      <c r="A643" s="44"/>
      <c r="B643" s="44"/>
    </row>
    <row r="644" spans="1:2" ht="15.75" customHeight="1">
      <c r="A644" s="44"/>
      <c r="B644" s="44"/>
    </row>
    <row r="645" spans="1:2" ht="15.75" customHeight="1">
      <c r="A645" s="44"/>
      <c r="B645" s="44"/>
    </row>
    <row r="646" spans="1:2" ht="15.75" customHeight="1">
      <c r="A646" s="44"/>
      <c r="B646" s="44"/>
    </row>
    <row r="647" spans="1:2" ht="15.75" customHeight="1">
      <c r="A647" s="44"/>
      <c r="B647" s="44"/>
    </row>
    <row r="648" spans="1:2" ht="15.75" customHeight="1">
      <c r="A648" s="44"/>
      <c r="B648" s="44"/>
    </row>
    <row r="649" spans="1:2" ht="15.75" customHeight="1">
      <c r="A649" s="44"/>
      <c r="B649" s="44"/>
    </row>
    <row r="650" spans="1:2" ht="15.75" customHeight="1">
      <c r="A650" s="44"/>
      <c r="B650" s="44"/>
    </row>
    <row r="651" spans="1:2" ht="15.75" customHeight="1">
      <c r="A651" s="44"/>
      <c r="B651" s="44"/>
    </row>
    <row r="652" spans="1:2" ht="15.75" customHeight="1">
      <c r="A652" s="44"/>
      <c r="B652" s="44"/>
    </row>
    <row r="653" spans="1:2" ht="15.75" customHeight="1">
      <c r="A653" s="44"/>
      <c r="B653" s="44"/>
    </row>
    <row r="654" spans="1:2" ht="15.75" customHeight="1">
      <c r="A654" s="44"/>
      <c r="B654" s="44"/>
    </row>
    <row r="655" spans="1:2" ht="15.75" customHeight="1">
      <c r="A655" s="44"/>
      <c r="B655" s="44"/>
    </row>
    <row r="656" spans="1:2" ht="15.75" customHeight="1">
      <c r="A656" s="44"/>
      <c r="B656" s="44"/>
    </row>
    <row r="657" spans="1:2" ht="15.75" customHeight="1">
      <c r="A657" s="44"/>
      <c r="B657" s="44"/>
    </row>
    <row r="658" spans="1:2" ht="15.75" customHeight="1">
      <c r="A658" s="44"/>
      <c r="B658" s="44"/>
    </row>
    <row r="659" spans="1:2" ht="15.75" customHeight="1">
      <c r="A659" s="44"/>
      <c r="B659" s="44"/>
    </row>
    <row r="660" spans="1:2" ht="15.75" customHeight="1">
      <c r="A660" s="44"/>
      <c r="B660" s="44"/>
    </row>
    <row r="661" spans="1:2" ht="15.75" customHeight="1">
      <c r="A661" s="44"/>
      <c r="B661" s="44"/>
    </row>
    <row r="662" spans="1:2" ht="15.75" customHeight="1">
      <c r="A662" s="44"/>
      <c r="B662" s="44"/>
    </row>
    <row r="663" spans="1:2" ht="15.75" customHeight="1">
      <c r="A663" s="44"/>
      <c r="B663" s="44"/>
    </row>
    <row r="664" spans="1:2" ht="15.75" customHeight="1">
      <c r="A664" s="44"/>
      <c r="B664" s="44"/>
    </row>
    <row r="665" spans="1:2" ht="15.75" customHeight="1">
      <c r="A665" s="44"/>
      <c r="B665" s="44"/>
    </row>
    <row r="666" spans="1:2" ht="15.75" customHeight="1">
      <c r="A666" s="44"/>
      <c r="B666" s="44"/>
    </row>
    <row r="667" spans="1:2" ht="15.75" customHeight="1">
      <c r="A667" s="44"/>
      <c r="B667" s="44"/>
    </row>
    <row r="668" spans="1:2" ht="15.75" customHeight="1">
      <c r="A668" s="44"/>
      <c r="B668" s="44"/>
    </row>
    <row r="669" spans="1:2" ht="15.75" customHeight="1">
      <c r="A669" s="44"/>
      <c r="B669" s="44"/>
    </row>
    <row r="670" spans="1:2" ht="15.75" customHeight="1">
      <c r="A670" s="44"/>
      <c r="B670" s="44"/>
    </row>
    <row r="671" spans="1:2" ht="15.75" customHeight="1">
      <c r="A671" s="44"/>
      <c r="B671" s="44"/>
    </row>
    <row r="672" spans="1:2" ht="15.75" customHeight="1">
      <c r="A672" s="44"/>
      <c r="B672" s="44"/>
    </row>
    <row r="673" spans="1:2" ht="15.75" customHeight="1">
      <c r="A673" s="44"/>
      <c r="B673" s="44"/>
    </row>
    <row r="674" spans="1:2" ht="15.75" customHeight="1">
      <c r="A674" s="44"/>
      <c r="B674" s="44"/>
    </row>
    <row r="675" spans="1:2" ht="15.75" customHeight="1">
      <c r="A675" s="44"/>
      <c r="B675" s="44"/>
    </row>
    <row r="676" spans="1:2" ht="15.75" customHeight="1">
      <c r="A676" s="44"/>
      <c r="B676" s="44"/>
    </row>
    <row r="677" spans="1:2" ht="15.75" customHeight="1">
      <c r="A677" s="44"/>
      <c r="B677" s="44"/>
    </row>
    <row r="678" spans="1:2" ht="15.75" customHeight="1">
      <c r="A678" s="44"/>
      <c r="B678" s="44"/>
    </row>
    <row r="679" spans="1:2" ht="15.75" customHeight="1">
      <c r="A679" s="44"/>
      <c r="B679" s="44"/>
    </row>
    <row r="680" spans="1:2" ht="15.75" customHeight="1">
      <c r="A680" s="44"/>
      <c r="B680" s="44"/>
    </row>
    <row r="681" spans="1:2" ht="15.75" customHeight="1">
      <c r="A681" s="44"/>
      <c r="B681" s="44"/>
    </row>
    <row r="682" spans="1:2" ht="15.75" customHeight="1">
      <c r="A682" s="44"/>
      <c r="B682" s="44"/>
    </row>
    <row r="683" spans="1:2" ht="15.75" customHeight="1">
      <c r="A683" s="44"/>
      <c r="B683" s="44"/>
    </row>
    <row r="684" spans="1:2" ht="15.75" customHeight="1">
      <c r="A684" s="44"/>
      <c r="B684" s="44"/>
    </row>
    <row r="685" spans="1:2" ht="15.75" customHeight="1">
      <c r="A685" s="44"/>
      <c r="B685" s="44"/>
    </row>
    <row r="686" spans="1:2" ht="15.75" customHeight="1">
      <c r="A686" s="44"/>
      <c r="B686" s="44"/>
    </row>
    <row r="687" spans="1:2" ht="15.75" customHeight="1">
      <c r="A687" s="44"/>
      <c r="B687" s="44"/>
    </row>
    <row r="688" spans="1:2" ht="15.75" customHeight="1">
      <c r="A688" s="44"/>
      <c r="B688" s="44"/>
    </row>
    <row r="689" spans="1:2" ht="15.75" customHeight="1">
      <c r="A689" s="44"/>
      <c r="B689" s="44"/>
    </row>
    <row r="690" spans="1:2" ht="15.75" customHeight="1">
      <c r="A690" s="44"/>
      <c r="B690" s="44"/>
    </row>
    <row r="691" spans="1:2" ht="15.75" customHeight="1">
      <c r="A691" s="44"/>
      <c r="B691" s="44"/>
    </row>
    <row r="692" spans="1:2" ht="15.75" customHeight="1">
      <c r="A692" s="44"/>
      <c r="B692" s="44"/>
    </row>
    <row r="693" spans="1:2" ht="15.75" customHeight="1">
      <c r="A693" s="44"/>
      <c r="B693" s="44"/>
    </row>
    <row r="694" spans="1:2" ht="15.75" customHeight="1">
      <c r="A694" s="44"/>
      <c r="B694" s="44"/>
    </row>
    <row r="695" spans="1:2" ht="15.75" customHeight="1">
      <c r="A695" s="44"/>
      <c r="B695" s="44"/>
    </row>
    <row r="696" spans="1:2" ht="15.75" customHeight="1">
      <c r="A696" s="44"/>
      <c r="B696" s="44"/>
    </row>
    <row r="697" spans="1:2" ht="15.75" customHeight="1">
      <c r="A697" s="44"/>
      <c r="B697" s="44"/>
    </row>
    <row r="698" spans="1:2" ht="15.75" customHeight="1">
      <c r="A698" s="44"/>
      <c r="B698" s="44"/>
    </row>
    <row r="699" spans="1:2" ht="15.75" customHeight="1">
      <c r="A699" s="44"/>
      <c r="B699" s="44"/>
    </row>
    <row r="700" spans="1:2" ht="15.75" customHeight="1">
      <c r="A700" s="44"/>
      <c r="B700" s="44"/>
    </row>
    <row r="701" spans="1:2" ht="15.75" customHeight="1">
      <c r="A701" s="44"/>
      <c r="B701" s="44"/>
    </row>
    <row r="702" spans="1:2" ht="15.75" customHeight="1">
      <c r="A702" s="44"/>
      <c r="B702" s="44"/>
    </row>
    <row r="703" spans="1:2" ht="15.75" customHeight="1">
      <c r="A703" s="44"/>
      <c r="B703" s="44"/>
    </row>
    <row r="704" spans="1:2" ht="15.75" customHeight="1">
      <c r="A704" s="44"/>
      <c r="B704" s="44"/>
    </row>
    <row r="705" spans="1:2" ht="15.75" customHeight="1">
      <c r="A705" s="44"/>
      <c r="B705" s="44"/>
    </row>
    <row r="706" spans="1:2" ht="15.75" customHeight="1">
      <c r="A706" s="44"/>
      <c r="B706" s="44"/>
    </row>
    <row r="707" spans="1:2" ht="15.75" customHeight="1">
      <c r="A707" s="44"/>
      <c r="B707" s="44"/>
    </row>
    <row r="708" spans="1:2" ht="15.75" customHeight="1">
      <c r="A708" s="44"/>
      <c r="B708" s="44"/>
    </row>
    <row r="709" spans="1:2" ht="15.75" customHeight="1">
      <c r="A709" s="44"/>
      <c r="B709" s="44"/>
    </row>
    <row r="710" spans="1:2" ht="15.75" customHeight="1">
      <c r="A710" s="44"/>
      <c r="B710" s="44"/>
    </row>
    <row r="711" spans="1:2" ht="15.75" customHeight="1">
      <c r="A711" s="44"/>
      <c r="B711" s="44"/>
    </row>
    <row r="712" spans="1:2" ht="15.75" customHeight="1">
      <c r="A712" s="44"/>
      <c r="B712" s="44"/>
    </row>
    <row r="713" spans="1:2" ht="15.75" customHeight="1">
      <c r="A713" s="44"/>
      <c r="B713" s="44"/>
    </row>
    <row r="714" spans="1:2" ht="15.75" customHeight="1">
      <c r="A714" s="44"/>
      <c r="B714" s="44"/>
    </row>
    <row r="715" spans="1:2" ht="15.75" customHeight="1">
      <c r="A715" s="44"/>
      <c r="B715" s="44"/>
    </row>
    <row r="716" spans="1:2" ht="15.75" customHeight="1">
      <c r="A716" s="44"/>
      <c r="B716" s="44"/>
    </row>
    <row r="717" spans="1:2" ht="15.75" customHeight="1">
      <c r="A717" s="44"/>
      <c r="B717" s="44"/>
    </row>
    <row r="718" spans="1:2" ht="15.75" customHeight="1">
      <c r="A718" s="44"/>
      <c r="B718" s="44"/>
    </row>
    <row r="719" spans="1:2" ht="15.75" customHeight="1">
      <c r="A719" s="44"/>
      <c r="B719" s="44"/>
    </row>
    <row r="720" spans="1:2" ht="15.75" customHeight="1">
      <c r="A720" s="44"/>
      <c r="B720" s="44"/>
    </row>
    <row r="721" spans="1:2" ht="15.75" customHeight="1">
      <c r="A721" s="44"/>
      <c r="B721" s="44"/>
    </row>
    <row r="722" spans="1:2" ht="15.75" customHeight="1">
      <c r="A722" s="44"/>
      <c r="B722" s="44"/>
    </row>
    <row r="723" spans="1:2" ht="15.75" customHeight="1">
      <c r="A723" s="44"/>
      <c r="B723" s="44"/>
    </row>
    <row r="724" spans="1:2" ht="15.75" customHeight="1">
      <c r="A724" s="44"/>
      <c r="B724" s="44"/>
    </row>
    <row r="725" spans="1:2" ht="15.75" customHeight="1">
      <c r="A725" s="44"/>
      <c r="B725" s="44"/>
    </row>
    <row r="726" spans="1:2" ht="15.75" customHeight="1">
      <c r="A726" s="44"/>
      <c r="B726" s="44"/>
    </row>
    <row r="727" spans="1:2" ht="15.75" customHeight="1">
      <c r="A727" s="44"/>
      <c r="B727" s="44"/>
    </row>
    <row r="728" spans="1:2" ht="15.75" customHeight="1">
      <c r="A728" s="44"/>
      <c r="B728" s="44"/>
    </row>
    <row r="729" spans="1:2" ht="15.75" customHeight="1">
      <c r="A729" s="44"/>
      <c r="B729" s="44"/>
    </row>
    <row r="730" spans="1:2" ht="15.75" customHeight="1">
      <c r="A730" s="44"/>
      <c r="B730" s="44"/>
    </row>
    <row r="731" spans="1:2" ht="15.75" customHeight="1">
      <c r="A731" s="44"/>
      <c r="B731" s="44"/>
    </row>
    <row r="732" spans="1:2" ht="15.75" customHeight="1">
      <c r="A732" s="44"/>
      <c r="B732" s="44"/>
    </row>
    <row r="733" spans="1:2" ht="15.75" customHeight="1">
      <c r="A733" s="44"/>
      <c r="B733" s="44"/>
    </row>
    <row r="734" spans="1:2" ht="15.75" customHeight="1">
      <c r="A734" s="44"/>
      <c r="B734" s="44"/>
    </row>
    <row r="735" spans="1:2" ht="15.75" customHeight="1">
      <c r="A735" s="44"/>
      <c r="B735" s="44"/>
    </row>
    <row r="736" spans="1:2" ht="15.75" customHeight="1">
      <c r="A736" s="44"/>
      <c r="B736" s="44"/>
    </row>
    <row r="737" spans="1:2" ht="15.75" customHeight="1">
      <c r="A737" s="44"/>
      <c r="B737" s="44"/>
    </row>
    <row r="738" spans="1:2" ht="15.75" customHeight="1">
      <c r="A738" s="44"/>
      <c r="B738" s="44"/>
    </row>
    <row r="739" spans="1:2" ht="15.75" customHeight="1">
      <c r="A739" s="44"/>
      <c r="B739" s="44"/>
    </row>
    <row r="740" spans="1:2" ht="15.75" customHeight="1">
      <c r="A740" s="44"/>
      <c r="B740" s="44"/>
    </row>
    <row r="741" spans="1:2" ht="15.75" customHeight="1">
      <c r="A741" s="44"/>
      <c r="B741" s="44"/>
    </row>
    <row r="742" spans="1:2" ht="15.75" customHeight="1">
      <c r="A742" s="44"/>
      <c r="B742" s="44"/>
    </row>
    <row r="743" spans="1:2" ht="15.75" customHeight="1">
      <c r="A743" s="44"/>
      <c r="B743" s="44"/>
    </row>
    <row r="744" spans="1:2" ht="15.75" customHeight="1">
      <c r="A744" s="44"/>
      <c r="B744" s="44"/>
    </row>
    <row r="745" spans="1:2" ht="15.75" customHeight="1">
      <c r="A745" s="44"/>
      <c r="B745" s="44"/>
    </row>
    <row r="746" spans="1:2" ht="15.75" customHeight="1">
      <c r="A746" s="44"/>
      <c r="B746" s="44"/>
    </row>
    <row r="747" spans="1:2" ht="15.75" customHeight="1">
      <c r="A747" s="44"/>
      <c r="B747" s="44"/>
    </row>
    <row r="748" spans="1:2" ht="15.75" customHeight="1">
      <c r="A748" s="44"/>
      <c r="B748" s="44"/>
    </row>
    <row r="749" spans="1:2" ht="15.75" customHeight="1">
      <c r="A749" s="44"/>
      <c r="B749" s="44"/>
    </row>
    <row r="750" spans="1:2" ht="15.75" customHeight="1">
      <c r="A750" s="44"/>
      <c r="B750" s="44"/>
    </row>
    <row r="751" spans="1:2" ht="15.75" customHeight="1">
      <c r="A751" s="44"/>
      <c r="B751" s="44"/>
    </row>
    <row r="752" spans="1:2" ht="15.75" customHeight="1">
      <c r="A752" s="44"/>
      <c r="B752" s="44"/>
    </row>
    <row r="753" spans="1:2" ht="15.75" customHeight="1">
      <c r="A753" s="44"/>
      <c r="B753" s="44"/>
    </row>
    <row r="754" spans="1:2" ht="15.75" customHeight="1">
      <c r="A754" s="44"/>
      <c r="B754" s="44"/>
    </row>
    <row r="755" spans="1:2" ht="15.75" customHeight="1">
      <c r="A755" s="44"/>
      <c r="B755" s="44"/>
    </row>
    <row r="756" spans="1:2" ht="15.75" customHeight="1">
      <c r="A756" s="44"/>
      <c r="B756" s="44"/>
    </row>
    <row r="757" spans="1:2" ht="15.75" customHeight="1">
      <c r="A757" s="44"/>
      <c r="B757" s="44"/>
    </row>
    <row r="758" spans="1:2" ht="15.75" customHeight="1">
      <c r="A758" s="44"/>
      <c r="B758" s="44"/>
    </row>
    <row r="759" spans="1:2" ht="15.75" customHeight="1">
      <c r="A759" s="44"/>
      <c r="B759" s="44"/>
    </row>
    <row r="760" spans="1:2" ht="15.75" customHeight="1">
      <c r="A760" s="44"/>
      <c r="B760" s="44"/>
    </row>
    <row r="761" spans="1:2" ht="15.75" customHeight="1">
      <c r="A761" s="44"/>
      <c r="B761" s="44"/>
    </row>
    <row r="762" spans="1:2" ht="15.75" customHeight="1">
      <c r="A762" s="44"/>
      <c r="B762" s="44"/>
    </row>
    <row r="763" spans="1:2" ht="15.75" customHeight="1">
      <c r="A763" s="44"/>
      <c r="B763" s="44"/>
    </row>
    <row r="764" spans="1:2" ht="15.75" customHeight="1">
      <c r="A764" s="44"/>
      <c r="B764" s="44"/>
    </row>
    <row r="765" spans="1:2" ht="15.75" customHeight="1">
      <c r="A765" s="44"/>
      <c r="B765" s="44"/>
    </row>
    <row r="766" spans="1:2" ht="15.75" customHeight="1">
      <c r="A766" s="44"/>
      <c r="B766" s="44"/>
    </row>
    <row r="767" spans="1:2" ht="15.75" customHeight="1">
      <c r="A767" s="44"/>
      <c r="B767" s="44"/>
    </row>
    <row r="768" spans="1:2" ht="15.75" customHeight="1">
      <c r="A768" s="44"/>
      <c r="B768" s="44"/>
    </row>
    <row r="769" spans="1:2" ht="15.75" customHeight="1">
      <c r="A769" s="44"/>
      <c r="B769" s="44"/>
    </row>
    <row r="770" spans="1:2" ht="15.75" customHeight="1">
      <c r="A770" s="44"/>
      <c r="B770" s="44"/>
    </row>
    <row r="771" spans="1:2" ht="15.75" customHeight="1">
      <c r="A771" s="44"/>
      <c r="B771" s="44"/>
    </row>
    <row r="772" spans="1:2" ht="15.75" customHeight="1">
      <c r="A772" s="44"/>
      <c r="B772" s="44"/>
    </row>
    <row r="773" spans="1:2" ht="15.75" customHeight="1">
      <c r="A773" s="44"/>
      <c r="B773" s="44"/>
    </row>
    <row r="774" spans="1:2" ht="15.75" customHeight="1">
      <c r="A774" s="44"/>
      <c r="B774" s="44"/>
    </row>
    <row r="775" spans="1:2" ht="15.75" customHeight="1">
      <c r="A775" s="44"/>
      <c r="B775" s="44"/>
    </row>
    <row r="776" spans="1:2" ht="15.75" customHeight="1">
      <c r="A776" s="44"/>
      <c r="B776" s="44"/>
    </row>
    <row r="777" spans="1:2" ht="15.75" customHeight="1">
      <c r="A777" s="44"/>
      <c r="B777" s="44"/>
    </row>
    <row r="778" spans="1:2" ht="15.75" customHeight="1">
      <c r="A778" s="44"/>
      <c r="B778" s="44"/>
    </row>
    <row r="779" spans="1:2" ht="15.75" customHeight="1">
      <c r="A779" s="44"/>
      <c r="B779" s="44"/>
    </row>
    <row r="780" spans="1:2" ht="15.75" customHeight="1">
      <c r="A780" s="44"/>
      <c r="B780" s="44"/>
    </row>
    <row r="781" spans="1:2" ht="15.75" customHeight="1">
      <c r="A781" s="44"/>
      <c r="B781" s="44"/>
    </row>
    <row r="782" spans="1:2" ht="15.75" customHeight="1">
      <c r="A782" s="44"/>
      <c r="B782" s="44"/>
    </row>
    <row r="783" spans="1:2" ht="15.75" customHeight="1">
      <c r="A783" s="44"/>
      <c r="B783" s="44"/>
    </row>
    <row r="784" spans="1:2" ht="15.75" customHeight="1">
      <c r="A784" s="44"/>
      <c r="B784" s="44"/>
    </row>
    <row r="785" spans="1:2" ht="15.75" customHeight="1">
      <c r="A785" s="44"/>
      <c r="B785" s="44"/>
    </row>
    <row r="786" spans="1:2" ht="15.75" customHeight="1">
      <c r="A786" s="44"/>
      <c r="B786" s="44"/>
    </row>
    <row r="787" spans="1:2" ht="15.75" customHeight="1">
      <c r="A787" s="44"/>
      <c r="B787" s="44"/>
    </row>
    <row r="788" spans="1:2" ht="15.75" customHeight="1">
      <c r="A788" s="44"/>
      <c r="B788" s="44"/>
    </row>
    <row r="789" spans="1:2" ht="15.75" customHeight="1">
      <c r="A789" s="44"/>
      <c r="B789" s="44"/>
    </row>
    <row r="790" spans="1:2" ht="15.75" customHeight="1">
      <c r="A790" s="44"/>
      <c r="B790" s="44"/>
    </row>
    <row r="791" spans="1:2" ht="15.75" customHeight="1">
      <c r="A791" s="44"/>
      <c r="B791" s="44"/>
    </row>
    <row r="792" spans="1:2" ht="15.75" customHeight="1">
      <c r="A792" s="44"/>
      <c r="B792" s="44"/>
    </row>
    <row r="793" spans="1:2" ht="15.75" customHeight="1">
      <c r="A793" s="44"/>
      <c r="B793" s="44"/>
    </row>
    <row r="794" spans="1:2" ht="15.75" customHeight="1">
      <c r="A794" s="44"/>
      <c r="B794" s="44"/>
    </row>
    <row r="795" spans="1:2" ht="15.75" customHeight="1">
      <c r="A795" s="44"/>
      <c r="B795" s="44"/>
    </row>
    <row r="796" spans="1:2" ht="15.75" customHeight="1">
      <c r="A796" s="44"/>
      <c r="B796" s="44"/>
    </row>
    <row r="797" spans="1:2" ht="15.75" customHeight="1">
      <c r="A797" s="44"/>
      <c r="B797" s="44"/>
    </row>
    <row r="798" spans="1:2" ht="15.75" customHeight="1">
      <c r="A798" s="44"/>
      <c r="B798" s="44"/>
    </row>
    <row r="799" spans="1:2" ht="15.75" customHeight="1">
      <c r="A799" s="44"/>
      <c r="B799" s="44"/>
    </row>
    <row r="800" spans="1:2" ht="15.75" customHeight="1">
      <c r="A800" s="44"/>
      <c r="B800" s="44"/>
    </row>
    <row r="801" spans="1:2" ht="15.75" customHeight="1">
      <c r="A801" s="44"/>
      <c r="B801" s="44"/>
    </row>
    <row r="802" spans="1:2" ht="15.75" customHeight="1">
      <c r="A802" s="44"/>
      <c r="B802" s="44"/>
    </row>
    <row r="803" spans="1:2" ht="15.75" customHeight="1">
      <c r="A803" s="44"/>
      <c r="B803" s="44"/>
    </row>
    <row r="804" spans="1:2" ht="15.75" customHeight="1">
      <c r="A804" s="44"/>
      <c r="B804" s="44"/>
    </row>
    <row r="805" spans="1:2" ht="15.75" customHeight="1">
      <c r="A805" s="44"/>
      <c r="B805" s="44"/>
    </row>
    <row r="806" spans="1:2" ht="15.75" customHeight="1">
      <c r="A806" s="44"/>
      <c r="B806" s="44"/>
    </row>
    <row r="807" spans="1:2" ht="15.75" customHeight="1">
      <c r="A807" s="44"/>
      <c r="B807" s="44"/>
    </row>
    <row r="808" spans="1:2" ht="15.75" customHeight="1">
      <c r="A808" s="44"/>
      <c r="B808" s="44"/>
    </row>
    <row r="809" spans="1:2" ht="15.75" customHeight="1">
      <c r="A809" s="44"/>
      <c r="B809" s="44"/>
    </row>
    <row r="810" spans="1:2" ht="15.75" customHeight="1">
      <c r="A810" s="44"/>
      <c r="B810" s="44"/>
    </row>
    <row r="811" spans="1:2" ht="15.75" customHeight="1">
      <c r="A811" s="44"/>
      <c r="B811" s="44"/>
    </row>
    <row r="812" spans="1:2" ht="15.75" customHeight="1">
      <c r="A812" s="44"/>
      <c r="B812" s="44"/>
    </row>
    <row r="813" spans="1:2" ht="15.75" customHeight="1">
      <c r="A813" s="44"/>
      <c r="B813" s="44"/>
    </row>
    <row r="814" spans="1:2" ht="15.75" customHeight="1">
      <c r="A814" s="44"/>
      <c r="B814" s="44"/>
    </row>
    <row r="815" spans="1:2" ht="15.75" customHeight="1">
      <c r="A815" s="44"/>
      <c r="B815" s="44"/>
    </row>
    <row r="816" spans="1:2" ht="15.75" customHeight="1">
      <c r="A816" s="44"/>
      <c r="B816" s="44"/>
    </row>
    <row r="817" spans="1:2" ht="15.75" customHeight="1">
      <c r="A817" s="44"/>
      <c r="B817" s="44"/>
    </row>
    <row r="818" spans="1:2" ht="15.75" customHeight="1">
      <c r="A818" s="44"/>
      <c r="B818" s="44"/>
    </row>
    <row r="819" spans="1:2" ht="15.75" customHeight="1">
      <c r="A819" s="44"/>
      <c r="B819" s="44"/>
    </row>
    <row r="820" spans="1:2" ht="15.75" customHeight="1">
      <c r="A820" s="44"/>
      <c r="B820" s="44"/>
    </row>
    <row r="821" spans="1:2" ht="15.75" customHeight="1">
      <c r="A821" s="44"/>
      <c r="B821" s="44"/>
    </row>
    <row r="822" spans="1:2" ht="15.75" customHeight="1">
      <c r="A822" s="44"/>
      <c r="B822" s="44"/>
    </row>
    <row r="823" spans="1:2" ht="15.75" customHeight="1">
      <c r="A823" s="44"/>
      <c r="B823" s="44"/>
    </row>
    <row r="824" spans="1:2" ht="15.75" customHeight="1">
      <c r="A824" s="44"/>
      <c r="B824" s="44"/>
    </row>
    <row r="825" spans="1:2" ht="15.75" customHeight="1">
      <c r="A825" s="44"/>
      <c r="B825" s="44"/>
    </row>
    <row r="826" spans="1:2" ht="15.75" customHeight="1">
      <c r="A826" s="44"/>
      <c r="B826" s="44"/>
    </row>
    <row r="827" spans="1:2" ht="15.75" customHeight="1">
      <c r="A827" s="44"/>
      <c r="B827" s="44"/>
    </row>
    <row r="828" spans="1:2" ht="15.75" customHeight="1">
      <c r="A828" s="44"/>
      <c r="B828" s="44"/>
    </row>
    <row r="829" spans="1:2" ht="15.75" customHeight="1">
      <c r="A829" s="44"/>
      <c r="B829" s="44"/>
    </row>
    <row r="830" spans="1:2" ht="15.75" customHeight="1">
      <c r="A830" s="44"/>
      <c r="B830" s="44"/>
    </row>
    <row r="831" spans="1:2" ht="15.75" customHeight="1">
      <c r="A831" s="44"/>
      <c r="B831" s="44"/>
    </row>
    <row r="832" spans="1:2" ht="15.75" customHeight="1">
      <c r="A832" s="44"/>
      <c r="B832" s="44"/>
    </row>
    <row r="833" spans="1:2" ht="15.75" customHeight="1">
      <c r="A833" s="44"/>
      <c r="B833" s="44"/>
    </row>
    <row r="834" spans="1:2" ht="15.75" customHeight="1">
      <c r="A834" s="44"/>
      <c r="B834" s="44"/>
    </row>
    <row r="835" spans="1:2" ht="15.75" customHeight="1">
      <c r="A835" s="44"/>
      <c r="B835" s="44"/>
    </row>
    <row r="836" spans="1:2" ht="15.75" customHeight="1">
      <c r="A836" s="44"/>
      <c r="B836" s="44"/>
    </row>
    <row r="837" spans="1:2" ht="15.75" customHeight="1">
      <c r="A837" s="44"/>
      <c r="B837" s="44"/>
    </row>
    <row r="838" spans="1:2" ht="15.75" customHeight="1">
      <c r="A838" s="44"/>
      <c r="B838" s="44"/>
    </row>
    <row r="839" spans="1:2" ht="15.75" customHeight="1">
      <c r="A839" s="44"/>
      <c r="B839" s="44"/>
    </row>
    <row r="840" spans="1:2" ht="15.75" customHeight="1">
      <c r="A840" s="44"/>
      <c r="B840" s="44"/>
    </row>
    <row r="841" spans="1:2" ht="15.75" customHeight="1">
      <c r="A841" s="44"/>
      <c r="B841" s="44"/>
    </row>
    <row r="842" spans="1:2" ht="15.75" customHeight="1">
      <c r="A842" s="44"/>
      <c r="B842" s="44"/>
    </row>
    <row r="843" spans="1:2" ht="15.75" customHeight="1">
      <c r="A843" s="44"/>
      <c r="B843" s="44"/>
    </row>
    <row r="844" spans="1:2" ht="15.75" customHeight="1">
      <c r="A844" s="44"/>
      <c r="B844" s="44"/>
    </row>
    <row r="845" spans="1:2" ht="15.75" customHeight="1">
      <c r="A845" s="44"/>
      <c r="B845" s="44"/>
    </row>
    <row r="846" spans="1:2" ht="15.75" customHeight="1">
      <c r="A846" s="44"/>
      <c r="B846" s="44"/>
    </row>
    <row r="847" spans="1:2" ht="15.75" customHeight="1">
      <c r="A847" s="44"/>
      <c r="B847" s="44"/>
    </row>
    <row r="848" spans="1:2" ht="15.75" customHeight="1">
      <c r="A848" s="44"/>
      <c r="B848" s="44"/>
    </row>
    <row r="849" spans="1:2" ht="15.75" customHeight="1">
      <c r="A849" s="44"/>
      <c r="B849" s="44"/>
    </row>
    <row r="850" spans="1:2" ht="15.75" customHeight="1">
      <c r="A850" s="44"/>
      <c r="B850" s="44"/>
    </row>
    <row r="851" spans="1:2" ht="15.75" customHeight="1">
      <c r="A851" s="44"/>
      <c r="B851" s="44"/>
    </row>
    <row r="852" spans="1:2" ht="15.75" customHeight="1">
      <c r="A852" s="44"/>
      <c r="B852" s="44"/>
    </row>
    <row r="853" spans="1:2" ht="15.75" customHeight="1">
      <c r="A853" s="44"/>
      <c r="B853" s="44"/>
    </row>
    <row r="854" spans="1:2" ht="15.75" customHeight="1">
      <c r="A854" s="44"/>
      <c r="B854" s="44"/>
    </row>
    <row r="855" spans="1:2" ht="15.75" customHeight="1">
      <c r="A855" s="44"/>
      <c r="B855" s="44"/>
    </row>
    <row r="856" spans="1:2" ht="15.75" customHeight="1">
      <c r="A856" s="44"/>
      <c r="B856" s="44"/>
    </row>
    <row r="857" spans="1:2" ht="15.75" customHeight="1">
      <c r="A857" s="44"/>
      <c r="B857" s="44"/>
    </row>
    <row r="858" spans="1:2" ht="15.75" customHeight="1">
      <c r="A858" s="44"/>
      <c r="B858" s="44"/>
    </row>
    <row r="859" spans="1:2" ht="15.75" customHeight="1">
      <c r="A859" s="44"/>
      <c r="B859" s="44"/>
    </row>
    <row r="860" spans="1:2" ht="15.75" customHeight="1">
      <c r="A860" s="44"/>
      <c r="B860" s="44"/>
    </row>
    <row r="861" spans="1:2" ht="15.75" customHeight="1">
      <c r="A861" s="44"/>
      <c r="B861" s="44"/>
    </row>
    <row r="862" spans="1:2" ht="15.75" customHeight="1">
      <c r="A862" s="44"/>
      <c r="B862" s="44"/>
    </row>
    <row r="863" spans="1:2" ht="15.75" customHeight="1">
      <c r="A863" s="44"/>
      <c r="B863" s="44"/>
    </row>
    <row r="864" spans="1:2" ht="15.75" customHeight="1">
      <c r="A864" s="44"/>
      <c r="B864" s="44"/>
    </row>
    <row r="865" spans="1:2" ht="15.75" customHeight="1">
      <c r="A865" s="44"/>
      <c r="B865" s="44"/>
    </row>
    <row r="866" spans="1:2" ht="15.75" customHeight="1">
      <c r="A866" s="44"/>
      <c r="B866" s="44"/>
    </row>
    <row r="867" spans="1:2" ht="15.75" customHeight="1">
      <c r="A867" s="44"/>
      <c r="B867" s="44"/>
    </row>
    <row r="868" spans="1:2" ht="15.75" customHeight="1">
      <c r="A868" s="44"/>
      <c r="B868" s="44"/>
    </row>
    <row r="869" spans="1:2" ht="15.75" customHeight="1">
      <c r="A869" s="44"/>
      <c r="B869" s="44"/>
    </row>
    <row r="870" spans="1:2" ht="15.75" customHeight="1">
      <c r="A870" s="44"/>
      <c r="B870" s="44"/>
    </row>
    <row r="871" spans="1:2" ht="15.75" customHeight="1">
      <c r="A871" s="44"/>
      <c r="B871" s="44"/>
    </row>
    <row r="872" spans="1:2" ht="15.75" customHeight="1">
      <c r="A872" s="44"/>
      <c r="B872" s="44"/>
    </row>
    <row r="873" spans="1:2" ht="15.75" customHeight="1">
      <c r="A873" s="44"/>
      <c r="B873" s="44"/>
    </row>
    <row r="874" spans="1:2" ht="15.75" customHeight="1">
      <c r="A874" s="44"/>
      <c r="B874" s="44"/>
    </row>
    <row r="875" spans="1:2" ht="15.75" customHeight="1">
      <c r="A875" s="44"/>
      <c r="B875" s="44"/>
    </row>
    <row r="876" spans="1:2" ht="15.75" customHeight="1">
      <c r="A876" s="44"/>
      <c r="B876" s="44"/>
    </row>
    <row r="877" spans="1:2" ht="15.75" customHeight="1">
      <c r="A877" s="44"/>
      <c r="B877" s="44"/>
    </row>
    <row r="878" spans="1:2" ht="15.75" customHeight="1">
      <c r="A878" s="44"/>
      <c r="B878" s="44"/>
    </row>
    <row r="879" spans="1:2" ht="15.75" customHeight="1">
      <c r="A879" s="44"/>
      <c r="B879" s="44"/>
    </row>
    <row r="880" spans="1:2" ht="15.75" customHeight="1">
      <c r="A880" s="44"/>
      <c r="B880" s="44"/>
    </row>
    <row r="881" spans="1:2" ht="15.75" customHeight="1">
      <c r="A881" s="44"/>
      <c r="B881" s="44"/>
    </row>
    <row r="882" spans="1:2" ht="15.75" customHeight="1">
      <c r="A882" s="44"/>
      <c r="B882" s="44"/>
    </row>
    <row r="883" spans="1:2" ht="15.75" customHeight="1">
      <c r="A883" s="44"/>
      <c r="B883" s="44"/>
    </row>
    <row r="884" spans="1:2" ht="15.75" customHeight="1">
      <c r="A884" s="44"/>
      <c r="B884" s="44"/>
    </row>
    <row r="885" spans="1:2" ht="15.75" customHeight="1">
      <c r="A885" s="44"/>
      <c r="B885" s="44"/>
    </row>
    <row r="886" spans="1:2" ht="15.75" customHeight="1">
      <c r="A886" s="44"/>
      <c r="B886" s="44"/>
    </row>
    <row r="887" spans="1:2" ht="15.75" customHeight="1">
      <c r="A887" s="44"/>
      <c r="B887" s="44"/>
    </row>
    <row r="888" spans="1:2" ht="15.75" customHeight="1">
      <c r="A888" s="44"/>
      <c r="B888" s="44"/>
    </row>
    <row r="889" spans="1:2" ht="15.75" customHeight="1">
      <c r="A889" s="44"/>
      <c r="B889" s="44"/>
    </row>
    <row r="890" spans="1:2" ht="15.75" customHeight="1">
      <c r="A890" s="44"/>
      <c r="B890" s="44"/>
    </row>
    <row r="891" spans="1:2" ht="15.75" customHeight="1">
      <c r="A891" s="44"/>
      <c r="B891" s="44"/>
    </row>
    <row r="892" spans="1:2" ht="15.75" customHeight="1">
      <c r="A892" s="44"/>
      <c r="B892" s="44"/>
    </row>
    <row r="893" spans="1:2" ht="15.75" customHeight="1">
      <c r="A893" s="44"/>
      <c r="B893" s="44"/>
    </row>
    <row r="894" spans="1:2" ht="15.75" customHeight="1">
      <c r="A894" s="44"/>
      <c r="B894" s="44"/>
    </row>
    <row r="895" spans="1:2" ht="15.75" customHeight="1">
      <c r="A895" s="44"/>
      <c r="B895" s="44"/>
    </row>
    <row r="896" spans="1:2" ht="15.75" customHeight="1">
      <c r="A896" s="44"/>
      <c r="B896" s="44"/>
    </row>
    <row r="897" spans="1:2" ht="15.75" customHeight="1">
      <c r="A897" s="44"/>
      <c r="B897" s="44"/>
    </row>
    <row r="898" spans="1:2" ht="15.75" customHeight="1">
      <c r="A898" s="44"/>
      <c r="B898" s="44"/>
    </row>
    <row r="899" spans="1:2" ht="15.75" customHeight="1">
      <c r="A899" s="44"/>
      <c r="B899" s="44"/>
    </row>
    <row r="900" spans="1:2" ht="15.75" customHeight="1">
      <c r="A900" s="44"/>
      <c r="B900" s="44"/>
    </row>
    <row r="901" spans="1:2" ht="15.75" customHeight="1">
      <c r="A901" s="44"/>
      <c r="B901" s="44"/>
    </row>
    <row r="902" spans="1:2" ht="15.75" customHeight="1">
      <c r="A902" s="44"/>
      <c r="B902" s="44"/>
    </row>
    <row r="903" spans="1:2" ht="15.75" customHeight="1">
      <c r="A903" s="44"/>
      <c r="B903" s="44"/>
    </row>
    <row r="904" spans="1:2" ht="15.75" customHeight="1">
      <c r="A904" s="44"/>
      <c r="B904" s="44"/>
    </row>
    <row r="905" spans="1:2" ht="15.75" customHeight="1">
      <c r="A905" s="44"/>
      <c r="B905" s="44"/>
    </row>
    <row r="906" spans="1:2" ht="15.75" customHeight="1">
      <c r="A906" s="44"/>
      <c r="B906" s="44"/>
    </row>
    <row r="907" spans="1:2" ht="15.75" customHeight="1">
      <c r="A907" s="44"/>
      <c r="B907" s="44"/>
    </row>
    <row r="908" spans="1:2" ht="15.75" customHeight="1">
      <c r="A908" s="44"/>
      <c r="B908" s="44"/>
    </row>
    <row r="909" spans="1:2" ht="15.75" customHeight="1">
      <c r="A909" s="44"/>
      <c r="B909" s="44"/>
    </row>
    <row r="910" spans="1:2" ht="15.75" customHeight="1">
      <c r="A910" s="44"/>
      <c r="B910" s="44"/>
    </row>
    <row r="911" spans="1:2" ht="15.75" customHeight="1">
      <c r="A911" s="44"/>
      <c r="B911" s="44"/>
    </row>
    <row r="912" spans="1:2" ht="15.75" customHeight="1">
      <c r="A912" s="44"/>
      <c r="B912" s="44"/>
    </row>
    <row r="913" spans="1:2" ht="15.75" customHeight="1">
      <c r="A913" s="44"/>
      <c r="B913" s="44"/>
    </row>
    <row r="914" spans="1:2" ht="15.75" customHeight="1">
      <c r="A914" s="44"/>
      <c r="B914" s="44"/>
    </row>
    <row r="915" spans="1:2" ht="15.75" customHeight="1">
      <c r="A915" s="44"/>
      <c r="B915" s="44"/>
    </row>
    <row r="916" spans="1:2" ht="15.75" customHeight="1">
      <c r="A916" s="44"/>
      <c r="B916" s="44"/>
    </row>
    <row r="917" spans="1:2" ht="15.75" customHeight="1">
      <c r="A917" s="44"/>
      <c r="B917" s="44"/>
    </row>
    <row r="918" spans="1:2" ht="15.75" customHeight="1">
      <c r="A918" s="44"/>
      <c r="B918" s="44"/>
    </row>
    <row r="919" spans="1:2" ht="15.75" customHeight="1">
      <c r="A919" s="44"/>
      <c r="B919" s="44"/>
    </row>
    <row r="920" spans="1:2" ht="15.75" customHeight="1">
      <c r="A920" s="44"/>
      <c r="B920" s="44"/>
    </row>
    <row r="921" spans="1:2" ht="15.75" customHeight="1">
      <c r="A921" s="44"/>
      <c r="B921" s="44"/>
    </row>
    <row r="922" spans="1:2" ht="15.75" customHeight="1">
      <c r="A922" s="44"/>
      <c r="B922" s="44"/>
    </row>
    <row r="923" spans="1:2" ht="15.75" customHeight="1">
      <c r="A923" s="44"/>
      <c r="B923" s="44"/>
    </row>
    <row r="924" spans="1:2" ht="15.75" customHeight="1">
      <c r="A924" s="44"/>
      <c r="B924" s="44"/>
    </row>
    <row r="925" spans="1:2" ht="15.75" customHeight="1">
      <c r="A925" s="44"/>
      <c r="B925" s="44"/>
    </row>
    <row r="926" spans="1:2" ht="15.75" customHeight="1">
      <c r="A926" s="44"/>
      <c r="B926" s="44"/>
    </row>
    <row r="927" spans="1:2" ht="15.75" customHeight="1">
      <c r="A927" s="44"/>
      <c r="B927" s="44"/>
    </row>
    <row r="928" spans="1:2" ht="15.75" customHeight="1">
      <c r="A928" s="44"/>
      <c r="B928" s="44"/>
    </row>
    <row r="929" spans="1:2" ht="15.75" customHeight="1">
      <c r="A929" s="44"/>
      <c r="B929" s="44"/>
    </row>
    <row r="930" spans="1:2" ht="15.75" customHeight="1">
      <c r="A930" s="44"/>
      <c r="B930" s="44"/>
    </row>
    <row r="931" spans="1:2" ht="15.75" customHeight="1">
      <c r="A931" s="44"/>
      <c r="B931" s="44"/>
    </row>
    <row r="932" spans="1:2" ht="15.75" customHeight="1">
      <c r="A932" s="44"/>
      <c r="B932" s="44"/>
    </row>
    <row r="933" spans="1:2" ht="15.75" customHeight="1">
      <c r="A933" s="44"/>
      <c r="B933" s="44"/>
    </row>
    <row r="934" spans="1:2" ht="15.75" customHeight="1">
      <c r="A934" s="44"/>
      <c r="B934" s="44"/>
    </row>
    <row r="935" spans="1:2" ht="15.75" customHeight="1">
      <c r="A935" s="44"/>
      <c r="B935" s="44"/>
    </row>
    <row r="936" spans="1:2" ht="15.75" customHeight="1">
      <c r="A936" s="44"/>
      <c r="B936" s="44"/>
    </row>
    <row r="937" spans="1:2" ht="15.75" customHeight="1">
      <c r="A937" s="44"/>
      <c r="B937" s="44"/>
    </row>
    <row r="938" spans="1:2" ht="15.75" customHeight="1">
      <c r="A938" s="44"/>
      <c r="B938" s="44"/>
    </row>
    <row r="939" spans="1:2" ht="15.75" customHeight="1">
      <c r="A939" s="44"/>
      <c r="B939" s="44"/>
    </row>
    <row r="940" spans="1:2" ht="15.75" customHeight="1">
      <c r="A940" s="44"/>
      <c r="B940" s="44"/>
    </row>
    <row r="941" spans="1:2" ht="15.75" customHeight="1">
      <c r="A941" s="44"/>
      <c r="B941" s="44"/>
    </row>
    <row r="942" spans="1:2" ht="15.75" customHeight="1">
      <c r="A942" s="44"/>
      <c r="B942" s="44"/>
    </row>
    <row r="943" spans="1:2" ht="15.75" customHeight="1">
      <c r="A943" s="44"/>
      <c r="B943" s="44"/>
    </row>
    <row r="944" spans="1:2" ht="15.75" customHeight="1">
      <c r="A944" s="44"/>
      <c r="B944" s="44"/>
    </row>
    <row r="945" spans="1:2" ht="15.75" customHeight="1">
      <c r="A945" s="44"/>
      <c r="B945" s="44"/>
    </row>
    <row r="946" spans="1:2" ht="15.75" customHeight="1">
      <c r="A946" s="44"/>
      <c r="B946" s="44"/>
    </row>
    <row r="947" spans="1:2" ht="15.75" customHeight="1">
      <c r="A947" s="44"/>
      <c r="B947" s="44"/>
    </row>
    <row r="948" spans="1:2" ht="15.75" customHeight="1">
      <c r="A948" s="44"/>
      <c r="B948" s="44"/>
    </row>
    <row r="949" spans="1:2" ht="15.75" customHeight="1">
      <c r="A949" s="44"/>
      <c r="B949" s="44"/>
    </row>
    <row r="950" spans="1:2" ht="15.75" customHeight="1">
      <c r="A950" s="44"/>
      <c r="B950" s="44"/>
    </row>
    <row r="951" spans="1:2" ht="15.75" customHeight="1">
      <c r="A951" s="44"/>
      <c r="B951" s="44"/>
    </row>
    <row r="952" spans="1:2" ht="15.75" customHeight="1">
      <c r="A952" s="44"/>
      <c r="B952" s="44"/>
    </row>
    <row r="953" spans="1:2" ht="15.75" customHeight="1">
      <c r="A953" s="44"/>
      <c r="B953" s="44"/>
    </row>
    <row r="954" spans="1:2" ht="15.75" customHeight="1">
      <c r="A954" s="44"/>
      <c r="B954" s="44"/>
    </row>
    <row r="955" spans="1:2" ht="15.75" customHeight="1">
      <c r="A955" s="44"/>
      <c r="B955" s="44"/>
    </row>
    <row r="956" spans="1:2" ht="15.75" customHeight="1">
      <c r="A956" s="44"/>
      <c r="B956" s="44"/>
    </row>
    <row r="957" spans="1:2" ht="15.75" customHeight="1">
      <c r="A957" s="44"/>
      <c r="B957" s="44"/>
    </row>
    <row r="958" spans="1:2" ht="15.75" customHeight="1">
      <c r="A958" s="44"/>
      <c r="B958" s="44"/>
    </row>
    <row r="959" spans="1:2" ht="15.75" customHeight="1">
      <c r="A959" s="44"/>
      <c r="B959" s="44"/>
    </row>
    <row r="960" spans="1:2" ht="15.75" customHeight="1">
      <c r="A960" s="44"/>
      <c r="B960" s="44"/>
    </row>
    <row r="961" spans="1:2" ht="15.75" customHeight="1">
      <c r="A961" s="44"/>
      <c r="B961" s="44"/>
    </row>
    <row r="962" spans="1:2" ht="15.75" customHeight="1">
      <c r="A962" s="44"/>
      <c r="B962" s="44"/>
    </row>
    <row r="963" spans="1:2" ht="15.75" customHeight="1">
      <c r="A963" s="44"/>
      <c r="B963" s="44"/>
    </row>
    <row r="964" spans="1:2" ht="15.75" customHeight="1">
      <c r="A964" s="44"/>
      <c r="B964" s="44"/>
    </row>
    <row r="965" spans="1:2" ht="15.75" customHeight="1">
      <c r="A965" s="44"/>
      <c r="B965" s="44"/>
    </row>
    <row r="966" spans="1:2" ht="15.75" customHeight="1">
      <c r="A966" s="44"/>
      <c r="B966" s="44"/>
    </row>
    <row r="967" spans="1:2" ht="15.75" customHeight="1">
      <c r="A967" s="44"/>
      <c r="B967" s="44"/>
    </row>
    <row r="968" spans="1:2" ht="15.75" customHeight="1">
      <c r="A968" s="44"/>
      <c r="B968" s="44"/>
    </row>
    <row r="969" spans="1:2" ht="15.75" customHeight="1">
      <c r="A969" s="44"/>
      <c r="B969" s="44"/>
    </row>
    <row r="970" spans="1:2" ht="15.75" customHeight="1">
      <c r="A970" s="44"/>
      <c r="B970" s="44"/>
    </row>
    <row r="971" spans="1:2" ht="15.75" customHeight="1">
      <c r="A971" s="44"/>
      <c r="B971" s="44"/>
    </row>
    <row r="972" spans="1:2" ht="15.75" customHeight="1">
      <c r="A972" s="44"/>
      <c r="B972" s="44"/>
    </row>
    <row r="973" spans="1:2" ht="15.75" customHeight="1">
      <c r="A973" s="44"/>
      <c r="B973" s="44"/>
    </row>
    <row r="974" spans="1:2" ht="15.75" customHeight="1">
      <c r="A974" s="44"/>
      <c r="B974" s="44"/>
    </row>
    <row r="975" spans="1:2" ht="15.75" customHeight="1">
      <c r="A975" s="44"/>
      <c r="B975" s="44"/>
    </row>
    <row r="976" spans="1:2" ht="15.75" customHeight="1">
      <c r="A976" s="44"/>
      <c r="B976" s="44"/>
    </row>
    <row r="977" spans="1:2" ht="15.75" customHeight="1">
      <c r="A977" s="44"/>
      <c r="B977" s="44"/>
    </row>
    <row r="978" spans="1:2" ht="15.75" customHeight="1">
      <c r="A978" s="44"/>
      <c r="B978" s="44"/>
    </row>
    <row r="979" spans="1:2" ht="15.75" customHeight="1">
      <c r="A979" s="44"/>
      <c r="B979" s="44"/>
    </row>
    <row r="980" spans="1:2" ht="15.75" customHeight="1">
      <c r="A980" s="44"/>
      <c r="B980" s="44"/>
    </row>
    <row r="981" spans="1:2" ht="15.75" customHeight="1">
      <c r="A981" s="44"/>
      <c r="B981" s="44"/>
    </row>
    <row r="982" spans="1:2" ht="15.75" customHeight="1">
      <c r="A982" s="44"/>
      <c r="B982" s="44"/>
    </row>
    <row r="983" spans="1:2" ht="15.75" customHeight="1">
      <c r="A983" s="44"/>
      <c r="B983" s="44"/>
    </row>
    <row r="984" spans="1:2" ht="15.75" customHeight="1">
      <c r="A984" s="44"/>
      <c r="B984" s="44"/>
    </row>
    <row r="985" spans="1:2" ht="15.75" customHeight="1">
      <c r="A985" s="44"/>
      <c r="B985" s="44"/>
    </row>
    <row r="986" spans="1:2" ht="15.75" customHeight="1">
      <c r="A986" s="44"/>
      <c r="B986" s="44"/>
    </row>
    <row r="987" spans="1:2" ht="15.75" customHeight="1">
      <c r="A987" s="44"/>
      <c r="B987" s="44"/>
    </row>
    <row r="988" spans="1:2" ht="15.75" customHeight="1">
      <c r="A988" s="44"/>
      <c r="B988" s="44"/>
    </row>
    <row r="989" spans="1:2" ht="15.75" customHeight="1">
      <c r="A989" s="44"/>
      <c r="B989" s="44"/>
    </row>
    <row r="990" spans="1:2" ht="15.75" customHeight="1">
      <c r="A990" s="44"/>
      <c r="B990" s="44"/>
    </row>
    <row r="991" spans="1:2" ht="15.75" customHeight="1">
      <c r="A991" s="44"/>
      <c r="B991" s="44"/>
    </row>
    <row r="992" spans="1:2" ht="15.75" customHeight="1">
      <c r="A992" s="44"/>
      <c r="B992" s="44"/>
    </row>
    <row r="993" spans="1:2" ht="15.75" customHeight="1">
      <c r="A993" s="44"/>
      <c r="B993" s="44"/>
    </row>
    <row r="994" spans="1:2" ht="15.75" customHeight="1">
      <c r="A994" s="44"/>
      <c r="B994" s="44"/>
    </row>
    <row r="995" spans="1:2" ht="15.75" customHeight="1">
      <c r="A995" s="44"/>
      <c r="B995" s="44"/>
    </row>
    <row r="996" spans="1:2" ht="15.75" customHeight="1">
      <c r="A996" s="44"/>
      <c r="B996" s="44"/>
    </row>
    <row r="997" spans="1:2" ht="15.75" customHeight="1">
      <c r="A997" s="44"/>
      <c r="B997" s="44"/>
    </row>
    <row r="998" spans="1:2" ht="15.75" customHeight="1">
      <c r="A998" s="44"/>
      <c r="B998" s="44"/>
    </row>
    <row r="999" spans="1:2" ht="15.75" customHeight="1">
      <c r="A999" s="44"/>
      <c r="B999" s="44"/>
    </row>
    <row r="1000" spans="1:2" ht="15.75" customHeight="1">
      <c r="A1000" s="44"/>
      <c r="B1000" s="44"/>
    </row>
  </sheetData>
  <autoFilter ref="A1:B310"/>
  <pageMargins left="0.7" right="0.7" top="0.75" bottom="0.75" header="0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defaultColWidth="12.625" defaultRowHeight="15" customHeight="1"/>
  <cols>
    <col min="1" max="26" width="7.62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42"/>
  <sheetViews>
    <sheetView workbookViewId="0"/>
  </sheetViews>
  <sheetFormatPr defaultColWidth="12.625" defaultRowHeight="15" customHeight="1"/>
  <cols>
    <col min="1" max="1" width="19.75" customWidth="1"/>
    <col min="2" max="2" width="114.625" customWidth="1"/>
    <col min="3" max="26" width="7.625" customWidth="1"/>
  </cols>
  <sheetData>
    <row r="1" spans="1:2" ht="14.25">
      <c r="A1" s="203" t="s">
        <v>3563</v>
      </c>
      <c r="B1" s="204"/>
    </row>
    <row r="2" spans="1:2" ht="14.25">
      <c r="A2" s="203" t="s">
        <v>1288</v>
      </c>
      <c r="B2" s="204"/>
    </row>
    <row r="3" spans="1:2" ht="14.25">
      <c r="A3" s="205" t="s">
        <v>3498</v>
      </c>
      <c r="B3" s="206" t="s">
        <v>37</v>
      </c>
    </row>
    <row r="4" spans="1:2" ht="14.25">
      <c r="A4" s="207" t="s">
        <v>27</v>
      </c>
      <c r="B4" s="208" t="s">
        <v>3501</v>
      </c>
    </row>
    <row r="5" spans="1:2" ht="14.25">
      <c r="A5" s="209" t="s">
        <v>3504</v>
      </c>
      <c r="B5" s="210" t="s">
        <v>3505</v>
      </c>
    </row>
    <row r="6" spans="1:2" ht="14.25">
      <c r="A6" s="211" t="s">
        <v>1289</v>
      </c>
      <c r="B6" s="212" t="s">
        <v>1290</v>
      </c>
    </row>
    <row r="7" spans="1:2" ht="14.25">
      <c r="A7" s="211" t="s">
        <v>1291</v>
      </c>
      <c r="B7" s="212" t="s">
        <v>1292</v>
      </c>
    </row>
    <row r="8" spans="1:2" ht="14.25">
      <c r="A8" s="211" t="s">
        <v>1293</v>
      </c>
      <c r="B8" s="212" t="s">
        <v>1294</v>
      </c>
    </row>
    <row r="9" spans="1:2" ht="14.25">
      <c r="A9" s="211" t="s">
        <v>1295</v>
      </c>
      <c r="B9" s="212" t="s">
        <v>1296</v>
      </c>
    </row>
    <row r="10" spans="1:2" ht="14.25">
      <c r="A10" s="211" t="s">
        <v>1302</v>
      </c>
      <c r="B10" s="212" t="s">
        <v>1303</v>
      </c>
    </row>
    <row r="11" spans="1:2" ht="14.25">
      <c r="A11" s="211" t="s">
        <v>1304</v>
      </c>
      <c r="B11" s="212" t="s">
        <v>1305</v>
      </c>
    </row>
    <row r="12" spans="1:2" ht="14.25">
      <c r="A12" s="211" t="s">
        <v>1310</v>
      </c>
      <c r="B12" s="212" t="s">
        <v>1311</v>
      </c>
    </row>
    <row r="13" spans="1:2" ht="15.75" customHeight="1">
      <c r="A13" s="211" t="s">
        <v>1318</v>
      </c>
      <c r="B13" s="212" t="s">
        <v>1319</v>
      </c>
    </row>
    <row r="14" spans="1:2" ht="14.25">
      <c r="A14" s="209" t="s">
        <v>3507</v>
      </c>
      <c r="B14" s="210" t="s">
        <v>3508</v>
      </c>
    </row>
    <row r="15" spans="1:2" ht="14.25">
      <c r="A15" s="211" t="s">
        <v>1320</v>
      </c>
      <c r="B15" s="212" t="s">
        <v>1321</v>
      </c>
    </row>
    <row r="16" spans="1:2" ht="14.25">
      <c r="A16" s="211" t="s">
        <v>1324</v>
      </c>
      <c r="B16" s="212" t="s">
        <v>1325</v>
      </c>
    </row>
    <row r="17" spans="1:2" ht="14.25">
      <c r="A17" s="211" t="s">
        <v>1327</v>
      </c>
      <c r="B17" s="212" t="s">
        <v>1328</v>
      </c>
    </row>
    <row r="18" spans="1:2" ht="14.25">
      <c r="A18" s="211" t="s">
        <v>1332</v>
      </c>
      <c r="B18" s="212" t="s">
        <v>1333</v>
      </c>
    </row>
    <row r="19" spans="1:2" ht="14.25">
      <c r="A19" s="211" t="s">
        <v>1334</v>
      </c>
      <c r="B19" s="212" t="s">
        <v>1335</v>
      </c>
    </row>
    <row r="20" spans="1:2" ht="14.25">
      <c r="A20" s="211" t="s">
        <v>1336</v>
      </c>
      <c r="B20" s="212" t="s">
        <v>1337</v>
      </c>
    </row>
    <row r="21" spans="1:2" ht="15.75" customHeight="1">
      <c r="A21" s="211" t="s">
        <v>1342</v>
      </c>
      <c r="B21" s="212" t="s">
        <v>1343</v>
      </c>
    </row>
    <row r="22" spans="1:2" ht="15.75" customHeight="1">
      <c r="A22" s="211" t="s">
        <v>1344</v>
      </c>
      <c r="B22" s="212" t="s">
        <v>1345</v>
      </c>
    </row>
    <row r="23" spans="1:2" ht="15.75" customHeight="1">
      <c r="A23" s="211" t="s">
        <v>1346</v>
      </c>
      <c r="B23" s="212" t="s">
        <v>1347</v>
      </c>
    </row>
    <row r="24" spans="1:2" ht="15.75" customHeight="1">
      <c r="A24" s="211" t="s">
        <v>1348</v>
      </c>
      <c r="B24" s="212" t="s">
        <v>1349</v>
      </c>
    </row>
    <row r="25" spans="1:2" ht="15.75" customHeight="1">
      <c r="A25" s="211" t="s">
        <v>1350</v>
      </c>
      <c r="B25" s="212" t="s">
        <v>1351</v>
      </c>
    </row>
    <row r="26" spans="1:2" ht="15.75" customHeight="1">
      <c r="A26" s="211" t="s">
        <v>1352</v>
      </c>
      <c r="B26" s="212" t="s">
        <v>1353</v>
      </c>
    </row>
    <row r="27" spans="1:2" ht="15.75" customHeight="1">
      <c r="A27" s="211" t="s">
        <v>1354</v>
      </c>
      <c r="B27" s="212" t="s">
        <v>1355</v>
      </c>
    </row>
    <row r="28" spans="1:2" ht="15.75" customHeight="1">
      <c r="A28" s="211" t="s">
        <v>1356</v>
      </c>
      <c r="B28" s="212" t="s">
        <v>1357</v>
      </c>
    </row>
    <row r="29" spans="1:2" ht="15.75" customHeight="1">
      <c r="A29" s="211" t="s">
        <v>1359</v>
      </c>
      <c r="B29" s="212" t="s">
        <v>1360</v>
      </c>
    </row>
    <row r="30" spans="1:2" ht="15.75" customHeight="1">
      <c r="A30" s="211" t="s">
        <v>1361</v>
      </c>
      <c r="B30" s="212" t="s">
        <v>1362</v>
      </c>
    </row>
    <row r="31" spans="1:2" ht="15.75" customHeight="1">
      <c r="A31" s="211" t="s">
        <v>1363</v>
      </c>
      <c r="B31" s="212" t="s">
        <v>1364</v>
      </c>
    </row>
    <row r="32" spans="1:2" ht="15.75" customHeight="1">
      <c r="A32" s="211" t="s">
        <v>1365</v>
      </c>
      <c r="B32" s="212" t="s">
        <v>1366</v>
      </c>
    </row>
    <row r="33" spans="1:2" ht="15.75" customHeight="1">
      <c r="A33" s="211" t="s">
        <v>1367</v>
      </c>
      <c r="B33" s="212" t="s">
        <v>1368</v>
      </c>
    </row>
    <row r="34" spans="1:2" ht="15.75" customHeight="1">
      <c r="A34" s="211" t="s">
        <v>1369</v>
      </c>
      <c r="B34" s="212" t="s">
        <v>1370</v>
      </c>
    </row>
    <row r="35" spans="1:2" ht="15.75" customHeight="1">
      <c r="A35" s="211" t="s">
        <v>1371</v>
      </c>
      <c r="B35" s="212" t="s">
        <v>1372</v>
      </c>
    </row>
    <row r="36" spans="1:2" ht="15.75" customHeight="1">
      <c r="A36" s="211" t="s">
        <v>1378</v>
      </c>
      <c r="B36" s="212" t="s">
        <v>1379</v>
      </c>
    </row>
    <row r="37" spans="1:2" ht="15.75" customHeight="1">
      <c r="A37" s="207" t="s">
        <v>34</v>
      </c>
      <c r="B37" s="208" t="s">
        <v>33</v>
      </c>
    </row>
    <row r="38" spans="1:2" ht="15.75" customHeight="1">
      <c r="A38" s="209" t="s">
        <v>3509</v>
      </c>
      <c r="B38" s="210" t="s">
        <v>3510</v>
      </c>
    </row>
    <row r="39" spans="1:2" ht="15.75" customHeight="1">
      <c r="A39" s="211" t="s">
        <v>1380</v>
      </c>
      <c r="B39" s="212" t="s">
        <v>1381</v>
      </c>
    </row>
    <row r="40" spans="1:2" ht="15.75" customHeight="1">
      <c r="A40" s="211" t="s">
        <v>1382</v>
      </c>
      <c r="B40" s="212" t="s">
        <v>1383</v>
      </c>
    </row>
    <row r="41" spans="1:2" ht="15.75" customHeight="1">
      <c r="A41" s="211" t="s">
        <v>1384</v>
      </c>
      <c r="B41" s="212" t="s">
        <v>1385</v>
      </c>
    </row>
    <row r="42" spans="1:2" ht="15.75" customHeight="1">
      <c r="A42" s="211" t="s">
        <v>1386</v>
      </c>
      <c r="B42" s="212" t="s">
        <v>1387</v>
      </c>
    </row>
    <row r="43" spans="1:2" ht="15.75" customHeight="1">
      <c r="A43" s="211" t="s">
        <v>1388</v>
      </c>
      <c r="B43" s="212" t="s">
        <v>1389</v>
      </c>
    </row>
    <row r="44" spans="1:2" ht="15.75" customHeight="1">
      <c r="A44" s="211" t="s">
        <v>1394</v>
      </c>
      <c r="B44" s="212" t="s">
        <v>1395</v>
      </c>
    </row>
    <row r="45" spans="1:2" ht="15.75" customHeight="1">
      <c r="A45" s="211" t="s">
        <v>1396</v>
      </c>
      <c r="B45" s="212" t="s">
        <v>1397</v>
      </c>
    </row>
    <row r="46" spans="1:2" ht="15.75" customHeight="1">
      <c r="A46" s="211" t="s">
        <v>1398</v>
      </c>
      <c r="B46" s="212" t="s">
        <v>1399</v>
      </c>
    </row>
    <row r="47" spans="1:2" ht="15.75" customHeight="1">
      <c r="A47" s="211" t="s">
        <v>1400</v>
      </c>
      <c r="B47" s="212" t="s">
        <v>1401</v>
      </c>
    </row>
    <row r="48" spans="1:2" ht="15.75" customHeight="1">
      <c r="A48" s="211" t="s">
        <v>1407</v>
      </c>
      <c r="B48" s="212" t="s">
        <v>1408</v>
      </c>
    </row>
    <row r="49" spans="1:2" ht="15.75" customHeight="1">
      <c r="A49" s="211" t="s">
        <v>1409</v>
      </c>
      <c r="B49" s="212" t="s">
        <v>1410</v>
      </c>
    </row>
    <row r="50" spans="1:2" ht="15.75" customHeight="1">
      <c r="A50" s="211" t="s">
        <v>1414</v>
      </c>
      <c r="B50" s="212" t="s">
        <v>1415</v>
      </c>
    </row>
    <row r="51" spans="1:2" ht="15.75" customHeight="1">
      <c r="A51" s="211" t="s">
        <v>1416</v>
      </c>
      <c r="B51" s="212" t="s">
        <v>1417</v>
      </c>
    </row>
    <row r="52" spans="1:2" ht="15.75" customHeight="1">
      <c r="A52" s="211" t="s">
        <v>1423</v>
      </c>
      <c r="B52" s="212" t="s">
        <v>1424</v>
      </c>
    </row>
    <row r="53" spans="1:2" ht="15.75" customHeight="1">
      <c r="A53" s="211" t="s">
        <v>1426</v>
      </c>
      <c r="B53" s="212" t="s">
        <v>1427</v>
      </c>
    </row>
    <row r="54" spans="1:2" ht="15.75" customHeight="1">
      <c r="A54" s="211" t="s">
        <v>1429</v>
      </c>
      <c r="B54" s="212" t="s">
        <v>1430</v>
      </c>
    </row>
    <row r="55" spans="1:2" ht="15.75" customHeight="1">
      <c r="A55" s="211" t="s">
        <v>1432</v>
      </c>
      <c r="B55" s="212" t="s">
        <v>1433</v>
      </c>
    </row>
    <row r="56" spans="1:2" ht="15.75" customHeight="1">
      <c r="A56" s="211" t="s">
        <v>1435</v>
      </c>
      <c r="B56" s="212" t="s">
        <v>1436</v>
      </c>
    </row>
    <row r="57" spans="1:2" ht="15.75" customHeight="1">
      <c r="A57" s="211" t="s">
        <v>1443</v>
      </c>
      <c r="B57" s="212" t="s">
        <v>1444</v>
      </c>
    </row>
    <row r="58" spans="1:2" ht="15.75" customHeight="1">
      <c r="A58" s="211" t="s">
        <v>1445</v>
      </c>
      <c r="B58" s="212" t="s">
        <v>1446</v>
      </c>
    </row>
    <row r="59" spans="1:2" ht="15.75" customHeight="1">
      <c r="A59" s="211" t="s">
        <v>1447</v>
      </c>
      <c r="B59" s="212" t="s">
        <v>1448</v>
      </c>
    </row>
    <row r="60" spans="1:2" ht="15.75" customHeight="1">
      <c r="A60" s="211" t="s">
        <v>1449</v>
      </c>
      <c r="B60" s="212" t="s">
        <v>1450</v>
      </c>
    </row>
    <row r="61" spans="1:2" ht="15.75" customHeight="1">
      <c r="A61" s="211" t="s">
        <v>1451</v>
      </c>
      <c r="B61" s="212" t="s">
        <v>1452</v>
      </c>
    </row>
    <row r="62" spans="1:2" ht="15.75" customHeight="1">
      <c r="A62" s="211" t="s">
        <v>1453</v>
      </c>
      <c r="B62" s="212" t="s">
        <v>1454</v>
      </c>
    </row>
    <row r="63" spans="1:2" ht="15.75" customHeight="1">
      <c r="A63" s="211" t="s">
        <v>1455</v>
      </c>
      <c r="B63" s="212" t="s">
        <v>1456</v>
      </c>
    </row>
    <row r="64" spans="1:2" ht="15.75" customHeight="1">
      <c r="A64" s="211" t="s">
        <v>1457</v>
      </c>
      <c r="B64" s="212" t="s">
        <v>1458</v>
      </c>
    </row>
    <row r="65" spans="1:2" ht="15.75" customHeight="1">
      <c r="A65" s="211" t="s">
        <v>1459</v>
      </c>
      <c r="B65" s="212" t="s">
        <v>1460</v>
      </c>
    </row>
    <row r="66" spans="1:2" ht="15.75" customHeight="1">
      <c r="A66" s="211" t="s">
        <v>1461</v>
      </c>
      <c r="B66" s="212" t="s">
        <v>1462</v>
      </c>
    </row>
    <row r="67" spans="1:2" ht="15.75" customHeight="1">
      <c r="A67" s="211" t="s">
        <v>1463</v>
      </c>
      <c r="B67" s="212" t="s">
        <v>1464</v>
      </c>
    </row>
    <row r="68" spans="1:2" ht="15.75" customHeight="1">
      <c r="A68" s="211" t="s">
        <v>1465</v>
      </c>
      <c r="B68" s="212" t="s">
        <v>1466</v>
      </c>
    </row>
    <row r="69" spans="1:2" ht="15.75" customHeight="1">
      <c r="A69" s="211" t="s">
        <v>1467</v>
      </c>
      <c r="B69" s="212" t="s">
        <v>1468</v>
      </c>
    </row>
    <row r="70" spans="1:2" ht="15.75" customHeight="1">
      <c r="A70" s="211" t="s">
        <v>1469</v>
      </c>
      <c r="B70" s="212" t="s">
        <v>1470</v>
      </c>
    </row>
    <row r="71" spans="1:2" ht="15.75" customHeight="1">
      <c r="A71" s="211" t="s">
        <v>1471</v>
      </c>
      <c r="B71" s="212" t="s">
        <v>1472</v>
      </c>
    </row>
    <row r="72" spans="1:2" ht="15.75" customHeight="1">
      <c r="A72" s="211" t="s">
        <v>1473</v>
      </c>
      <c r="B72" s="212" t="s">
        <v>1474</v>
      </c>
    </row>
    <row r="73" spans="1:2" ht="15.75" customHeight="1">
      <c r="A73" s="211" t="s">
        <v>1475</v>
      </c>
      <c r="B73" s="212" t="s">
        <v>1476</v>
      </c>
    </row>
    <row r="74" spans="1:2" ht="15.75" customHeight="1">
      <c r="A74" s="211" t="s">
        <v>1477</v>
      </c>
      <c r="B74" s="212" t="s">
        <v>1478</v>
      </c>
    </row>
    <row r="75" spans="1:2" ht="15.75" customHeight="1">
      <c r="A75" s="211" t="s">
        <v>1479</v>
      </c>
      <c r="B75" s="212" t="s">
        <v>1480</v>
      </c>
    </row>
    <row r="76" spans="1:2" ht="15.75" customHeight="1">
      <c r="A76" s="211" t="s">
        <v>1481</v>
      </c>
      <c r="B76" s="212" t="s">
        <v>1482</v>
      </c>
    </row>
    <row r="77" spans="1:2" ht="15.75" customHeight="1">
      <c r="A77" s="211" t="s">
        <v>1483</v>
      </c>
      <c r="B77" s="212" t="s">
        <v>1484</v>
      </c>
    </row>
    <row r="78" spans="1:2" ht="15.75" customHeight="1">
      <c r="A78" s="211" t="s">
        <v>1485</v>
      </c>
      <c r="B78" s="212" t="s">
        <v>1486</v>
      </c>
    </row>
    <row r="79" spans="1:2" ht="15.75" customHeight="1">
      <c r="A79" s="211" t="s">
        <v>1487</v>
      </c>
      <c r="B79" s="212" t="s">
        <v>1488</v>
      </c>
    </row>
    <row r="80" spans="1:2" ht="15.75" customHeight="1">
      <c r="A80" s="211" t="s">
        <v>1489</v>
      </c>
      <c r="B80" s="212" t="s">
        <v>1490</v>
      </c>
    </row>
    <row r="81" spans="1:2" ht="15.75" customHeight="1">
      <c r="A81" s="211" t="s">
        <v>1491</v>
      </c>
      <c r="B81" s="212" t="s">
        <v>1492</v>
      </c>
    </row>
    <row r="82" spans="1:2" ht="15.75" customHeight="1">
      <c r="A82" s="211" t="s">
        <v>1493</v>
      </c>
      <c r="B82" s="212" t="s">
        <v>1494</v>
      </c>
    </row>
    <row r="83" spans="1:2" ht="15.75" customHeight="1">
      <c r="A83" s="211" t="s">
        <v>1495</v>
      </c>
      <c r="B83" s="212" t="s">
        <v>1496</v>
      </c>
    </row>
    <row r="84" spans="1:2" ht="15.75" customHeight="1">
      <c r="A84" s="211" t="s">
        <v>1497</v>
      </c>
      <c r="B84" s="212" t="s">
        <v>1498</v>
      </c>
    </row>
    <row r="85" spans="1:2" ht="15.75" customHeight="1">
      <c r="A85" s="211" t="s">
        <v>1499</v>
      </c>
      <c r="B85" s="212" t="s">
        <v>1500</v>
      </c>
    </row>
    <row r="86" spans="1:2" ht="15.75" customHeight="1">
      <c r="A86" s="211" t="s">
        <v>1501</v>
      </c>
      <c r="B86" s="212" t="s">
        <v>1502</v>
      </c>
    </row>
    <row r="87" spans="1:2" ht="15.75" customHeight="1">
      <c r="A87" s="211" t="s">
        <v>1503</v>
      </c>
      <c r="B87" s="212" t="s">
        <v>1504</v>
      </c>
    </row>
    <row r="88" spans="1:2" ht="15.75" customHeight="1">
      <c r="A88" s="211" t="s">
        <v>1505</v>
      </c>
      <c r="B88" s="212" t="s">
        <v>1506</v>
      </c>
    </row>
    <row r="89" spans="1:2" ht="15.75" customHeight="1">
      <c r="A89" s="209" t="s">
        <v>3511</v>
      </c>
      <c r="B89" s="210" t="s">
        <v>3512</v>
      </c>
    </row>
    <row r="90" spans="1:2" ht="15.75" customHeight="1">
      <c r="A90" s="211" t="s">
        <v>1507</v>
      </c>
      <c r="B90" s="212" t="s">
        <v>1508</v>
      </c>
    </row>
    <row r="91" spans="1:2" ht="15.75" customHeight="1">
      <c r="A91" s="211" t="s">
        <v>1509</v>
      </c>
      <c r="B91" s="212" t="s">
        <v>1510</v>
      </c>
    </row>
    <row r="92" spans="1:2" ht="15.75" customHeight="1">
      <c r="A92" s="211" t="s">
        <v>1511</v>
      </c>
      <c r="B92" s="212" t="s">
        <v>1512</v>
      </c>
    </row>
    <row r="93" spans="1:2" ht="15.75" customHeight="1">
      <c r="A93" s="211" t="s">
        <v>1513</v>
      </c>
      <c r="B93" s="212" t="s">
        <v>1514</v>
      </c>
    </row>
    <row r="94" spans="1:2" ht="15.75" customHeight="1">
      <c r="A94" s="211" t="s">
        <v>1515</v>
      </c>
      <c r="B94" s="212" t="s">
        <v>1516</v>
      </c>
    </row>
    <row r="95" spans="1:2" ht="15.75" customHeight="1">
      <c r="A95" s="211" t="s">
        <v>1517</v>
      </c>
      <c r="B95" s="212" t="s">
        <v>1518</v>
      </c>
    </row>
    <row r="96" spans="1:2" ht="15.75" customHeight="1">
      <c r="A96" s="211" t="s">
        <v>1519</v>
      </c>
      <c r="B96" s="212" t="s">
        <v>1520</v>
      </c>
    </row>
    <row r="97" spans="1:2" ht="15.75" customHeight="1">
      <c r="A97" s="211" t="s">
        <v>1521</v>
      </c>
      <c r="B97" s="212" t="s">
        <v>1522</v>
      </c>
    </row>
    <row r="98" spans="1:2" ht="15.75" customHeight="1">
      <c r="A98" s="211" t="s">
        <v>1523</v>
      </c>
      <c r="B98" s="212" t="s">
        <v>1524</v>
      </c>
    </row>
    <row r="99" spans="1:2" ht="15.75" customHeight="1">
      <c r="A99" s="211" t="s">
        <v>1525</v>
      </c>
      <c r="B99" s="212" t="s">
        <v>1526</v>
      </c>
    </row>
    <row r="100" spans="1:2" ht="15.75" customHeight="1">
      <c r="A100" s="211" t="s">
        <v>1527</v>
      </c>
      <c r="B100" s="212" t="s">
        <v>1528</v>
      </c>
    </row>
    <row r="101" spans="1:2" ht="15.75" customHeight="1">
      <c r="A101" s="211" t="s">
        <v>1529</v>
      </c>
      <c r="B101" s="212" t="s">
        <v>1530</v>
      </c>
    </row>
    <row r="102" spans="1:2" ht="15.75" customHeight="1">
      <c r="A102" s="211" t="s">
        <v>1531</v>
      </c>
      <c r="B102" s="212" t="s">
        <v>1532</v>
      </c>
    </row>
    <row r="103" spans="1:2" ht="15.75" customHeight="1">
      <c r="A103" s="211" t="s">
        <v>1533</v>
      </c>
      <c r="B103" s="212" t="s">
        <v>1534</v>
      </c>
    </row>
    <row r="104" spans="1:2" ht="15.75" customHeight="1">
      <c r="A104" s="211" t="s">
        <v>1535</v>
      </c>
      <c r="B104" s="212" t="s">
        <v>1536</v>
      </c>
    </row>
    <row r="105" spans="1:2" ht="15.75" customHeight="1">
      <c r="A105" s="211" t="s">
        <v>1537</v>
      </c>
      <c r="B105" s="212" t="s">
        <v>1538</v>
      </c>
    </row>
    <row r="106" spans="1:2" ht="15.75" customHeight="1">
      <c r="A106" s="211" t="s">
        <v>1539</v>
      </c>
      <c r="B106" s="212" t="s">
        <v>1540</v>
      </c>
    </row>
    <row r="107" spans="1:2" ht="15.75" customHeight="1">
      <c r="A107" s="211" t="s">
        <v>1541</v>
      </c>
      <c r="B107" s="212" t="s">
        <v>1542</v>
      </c>
    </row>
    <row r="108" spans="1:2" ht="15.75" customHeight="1">
      <c r="A108" s="211" t="s">
        <v>1543</v>
      </c>
      <c r="B108" s="212" t="s">
        <v>1544</v>
      </c>
    </row>
    <row r="109" spans="1:2" ht="15.75" customHeight="1">
      <c r="A109" s="211" t="s">
        <v>1545</v>
      </c>
      <c r="B109" s="212" t="s">
        <v>1546</v>
      </c>
    </row>
    <row r="110" spans="1:2" ht="15.75" customHeight="1">
      <c r="A110" s="211" t="s">
        <v>1547</v>
      </c>
      <c r="B110" s="212" t="s">
        <v>1548</v>
      </c>
    </row>
    <row r="111" spans="1:2" ht="15.75" customHeight="1">
      <c r="A111" s="211" t="s">
        <v>1549</v>
      </c>
      <c r="B111" s="212" t="s">
        <v>1550</v>
      </c>
    </row>
    <row r="112" spans="1:2" ht="15.75" customHeight="1">
      <c r="A112" s="211" t="s">
        <v>1551</v>
      </c>
      <c r="B112" s="212" t="s">
        <v>1552</v>
      </c>
    </row>
    <row r="113" spans="1:2" ht="15.75" customHeight="1">
      <c r="A113" s="211" t="s">
        <v>1553</v>
      </c>
      <c r="B113" s="212" t="s">
        <v>1554</v>
      </c>
    </row>
    <row r="114" spans="1:2" ht="15.75" customHeight="1">
      <c r="A114" s="211" t="s">
        <v>1555</v>
      </c>
      <c r="B114" s="212" t="s">
        <v>1556</v>
      </c>
    </row>
    <row r="115" spans="1:2" ht="15.75" customHeight="1">
      <c r="A115" s="211" t="s">
        <v>1557</v>
      </c>
      <c r="B115" s="212" t="s">
        <v>1558</v>
      </c>
    </row>
    <row r="116" spans="1:2" ht="15.75" customHeight="1">
      <c r="A116" s="211" t="s">
        <v>1559</v>
      </c>
      <c r="B116" s="212" t="s">
        <v>1560</v>
      </c>
    </row>
    <row r="117" spans="1:2" ht="15.75" customHeight="1">
      <c r="A117" s="211" t="s">
        <v>1561</v>
      </c>
      <c r="B117" s="212" t="s">
        <v>1562</v>
      </c>
    </row>
    <row r="118" spans="1:2" ht="15.75" customHeight="1">
      <c r="A118" s="211" t="s">
        <v>1563</v>
      </c>
      <c r="B118" s="212" t="s">
        <v>1564</v>
      </c>
    </row>
    <row r="119" spans="1:2" ht="15.75" customHeight="1">
      <c r="A119" s="211" t="s">
        <v>1565</v>
      </c>
      <c r="B119" s="212" t="s">
        <v>1566</v>
      </c>
    </row>
    <row r="120" spans="1:2" ht="15.75" customHeight="1">
      <c r="A120" s="211" t="s">
        <v>1567</v>
      </c>
      <c r="B120" s="212" t="s">
        <v>1568</v>
      </c>
    </row>
    <row r="121" spans="1:2" ht="15.75" customHeight="1">
      <c r="A121" s="211" t="s">
        <v>1569</v>
      </c>
      <c r="B121" s="212" t="s">
        <v>1570</v>
      </c>
    </row>
    <row r="122" spans="1:2" ht="15.75" customHeight="1">
      <c r="A122" s="211" t="s">
        <v>1571</v>
      </c>
      <c r="B122" s="212" t="s">
        <v>1572</v>
      </c>
    </row>
    <row r="123" spans="1:2" ht="15.75" customHeight="1">
      <c r="A123" s="211" t="s">
        <v>1573</v>
      </c>
      <c r="B123" s="212" t="s">
        <v>1574</v>
      </c>
    </row>
    <row r="124" spans="1:2" ht="15.75" customHeight="1">
      <c r="A124" s="211" t="s">
        <v>1575</v>
      </c>
      <c r="B124" s="212" t="s">
        <v>1576</v>
      </c>
    </row>
    <row r="125" spans="1:2" ht="15.75" customHeight="1">
      <c r="A125" s="211" t="s">
        <v>1577</v>
      </c>
      <c r="B125" s="212" t="s">
        <v>1578</v>
      </c>
    </row>
    <row r="126" spans="1:2" ht="15.75" customHeight="1">
      <c r="A126" s="211" t="s">
        <v>1579</v>
      </c>
      <c r="B126" s="212" t="s">
        <v>1580</v>
      </c>
    </row>
    <row r="127" spans="1:2" ht="15.75" customHeight="1">
      <c r="A127" s="211" t="s">
        <v>1581</v>
      </c>
      <c r="B127" s="212" t="s">
        <v>1582</v>
      </c>
    </row>
    <row r="128" spans="1:2" ht="15.75" customHeight="1">
      <c r="A128" s="211" t="s">
        <v>1583</v>
      </c>
      <c r="B128" s="212" t="s">
        <v>1584</v>
      </c>
    </row>
    <row r="129" spans="1:2" ht="15.75" customHeight="1">
      <c r="A129" s="211" t="s">
        <v>1585</v>
      </c>
      <c r="B129" s="212" t="s">
        <v>1586</v>
      </c>
    </row>
    <row r="130" spans="1:2" ht="15.75" customHeight="1">
      <c r="A130" s="211" t="s">
        <v>1587</v>
      </c>
      <c r="B130" s="212" t="s">
        <v>1588</v>
      </c>
    </row>
    <row r="131" spans="1:2" ht="15.75" customHeight="1">
      <c r="A131" s="211" t="s">
        <v>1589</v>
      </c>
      <c r="B131" s="212" t="s">
        <v>1590</v>
      </c>
    </row>
    <row r="132" spans="1:2" ht="15.75" customHeight="1">
      <c r="A132" s="211" t="s">
        <v>1591</v>
      </c>
      <c r="B132" s="212" t="s">
        <v>1592</v>
      </c>
    </row>
    <row r="133" spans="1:2" ht="15.75" customHeight="1">
      <c r="A133" s="211" t="s">
        <v>1593</v>
      </c>
      <c r="B133" s="212" t="s">
        <v>1594</v>
      </c>
    </row>
    <row r="134" spans="1:2" ht="15.75" customHeight="1">
      <c r="A134" s="211" t="s">
        <v>1595</v>
      </c>
      <c r="B134" s="212" t="s">
        <v>1596</v>
      </c>
    </row>
    <row r="135" spans="1:2" ht="15.75" customHeight="1">
      <c r="A135" s="211" t="s">
        <v>1597</v>
      </c>
      <c r="B135" s="212" t="s">
        <v>1598</v>
      </c>
    </row>
    <row r="136" spans="1:2" ht="15.75" customHeight="1">
      <c r="A136" s="211" t="s">
        <v>1599</v>
      </c>
      <c r="B136" s="212" t="s">
        <v>1600</v>
      </c>
    </row>
    <row r="137" spans="1:2" ht="15.75" customHeight="1">
      <c r="A137" s="211" t="s">
        <v>1601</v>
      </c>
      <c r="B137" s="212" t="s">
        <v>1602</v>
      </c>
    </row>
    <row r="138" spans="1:2" ht="15.75" customHeight="1">
      <c r="A138" s="211" t="s">
        <v>1603</v>
      </c>
      <c r="B138" s="212" t="s">
        <v>1604</v>
      </c>
    </row>
    <row r="139" spans="1:2" ht="15.75" customHeight="1">
      <c r="A139" s="211" t="s">
        <v>1605</v>
      </c>
      <c r="B139" s="212" t="s">
        <v>1606</v>
      </c>
    </row>
    <row r="140" spans="1:2" ht="15.75" customHeight="1">
      <c r="A140" s="211" t="s">
        <v>1607</v>
      </c>
      <c r="B140" s="212" t="s">
        <v>1608</v>
      </c>
    </row>
    <row r="141" spans="1:2" ht="15.75" customHeight="1">
      <c r="A141" s="211" t="s">
        <v>1609</v>
      </c>
      <c r="B141" s="212" t="s">
        <v>1610</v>
      </c>
    </row>
    <row r="142" spans="1:2" ht="15.75" customHeight="1">
      <c r="A142" s="211" t="s">
        <v>1611</v>
      </c>
      <c r="B142" s="212" t="s">
        <v>1612</v>
      </c>
    </row>
    <row r="143" spans="1:2" ht="15.75" customHeight="1">
      <c r="A143" s="211" t="s">
        <v>1613</v>
      </c>
      <c r="B143" s="212" t="s">
        <v>1614</v>
      </c>
    </row>
    <row r="144" spans="1:2" ht="15.75" customHeight="1">
      <c r="A144" s="211" t="s">
        <v>1615</v>
      </c>
      <c r="B144" s="212" t="s">
        <v>1616</v>
      </c>
    </row>
    <row r="145" spans="1:2" ht="15.75" customHeight="1">
      <c r="A145" s="211" t="s">
        <v>1617</v>
      </c>
      <c r="B145" s="212" t="s">
        <v>1618</v>
      </c>
    </row>
    <row r="146" spans="1:2" ht="15.75" customHeight="1">
      <c r="A146" s="211" t="s">
        <v>1619</v>
      </c>
      <c r="B146" s="212" t="s">
        <v>1620</v>
      </c>
    </row>
    <row r="147" spans="1:2" ht="15.75" customHeight="1">
      <c r="A147" s="211" t="s">
        <v>1621</v>
      </c>
      <c r="B147" s="212" t="s">
        <v>1622</v>
      </c>
    </row>
    <row r="148" spans="1:2" ht="15.75" customHeight="1">
      <c r="A148" s="211" t="s">
        <v>1623</v>
      </c>
      <c r="B148" s="212" t="s">
        <v>1624</v>
      </c>
    </row>
    <row r="149" spans="1:2" ht="15.75" customHeight="1">
      <c r="A149" s="211" t="s">
        <v>1625</v>
      </c>
      <c r="B149" s="212" t="s">
        <v>1626</v>
      </c>
    </row>
    <row r="150" spans="1:2" ht="15.75" customHeight="1">
      <c r="A150" s="211" t="s">
        <v>1627</v>
      </c>
      <c r="B150" s="212" t="s">
        <v>1628</v>
      </c>
    </row>
    <row r="151" spans="1:2" ht="15.75" customHeight="1">
      <c r="A151" s="211" t="s">
        <v>1629</v>
      </c>
      <c r="B151" s="212" t="s">
        <v>1630</v>
      </c>
    </row>
    <row r="152" spans="1:2" ht="15.75" customHeight="1">
      <c r="A152" s="211" t="s">
        <v>1631</v>
      </c>
      <c r="B152" s="212" t="s">
        <v>1632</v>
      </c>
    </row>
    <row r="153" spans="1:2" ht="15.75" customHeight="1">
      <c r="A153" s="211" t="s">
        <v>1633</v>
      </c>
      <c r="B153" s="212" t="s">
        <v>1464</v>
      </c>
    </row>
    <row r="154" spans="1:2" ht="15.75" customHeight="1">
      <c r="A154" s="211" t="s">
        <v>1634</v>
      </c>
      <c r="B154" s="212" t="s">
        <v>1635</v>
      </c>
    </row>
    <row r="155" spans="1:2" ht="15.75" customHeight="1">
      <c r="A155" s="211" t="s">
        <v>1636</v>
      </c>
      <c r="B155" s="212" t="s">
        <v>1637</v>
      </c>
    </row>
    <row r="156" spans="1:2" ht="15.75" customHeight="1">
      <c r="A156" s="211" t="s">
        <v>1638</v>
      </c>
      <c r="B156" s="212" t="s">
        <v>1639</v>
      </c>
    </row>
    <row r="157" spans="1:2" ht="15.75" customHeight="1">
      <c r="A157" s="211" t="s">
        <v>1640</v>
      </c>
      <c r="B157" s="212" t="s">
        <v>1641</v>
      </c>
    </row>
    <row r="158" spans="1:2" ht="15.75" customHeight="1">
      <c r="A158" s="211" t="s">
        <v>1642</v>
      </c>
      <c r="B158" s="212" t="s">
        <v>1643</v>
      </c>
    </row>
    <row r="159" spans="1:2" ht="15.75" customHeight="1">
      <c r="A159" s="211" t="s">
        <v>1644</v>
      </c>
      <c r="B159" s="212" t="s">
        <v>1645</v>
      </c>
    </row>
    <row r="160" spans="1:2" ht="15.75" customHeight="1">
      <c r="A160" s="211" t="s">
        <v>1646</v>
      </c>
      <c r="B160" s="212" t="s">
        <v>1647</v>
      </c>
    </row>
    <row r="161" spans="1:2" ht="15.75" customHeight="1">
      <c r="A161" s="211" t="s">
        <v>1648</v>
      </c>
      <c r="B161" s="212" t="s">
        <v>1649</v>
      </c>
    </row>
    <row r="162" spans="1:2" ht="15.75" customHeight="1">
      <c r="A162" s="211" t="s">
        <v>1650</v>
      </c>
      <c r="B162" s="212" t="s">
        <v>1651</v>
      </c>
    </row>
    <row r="163" spans="1:2" ht="15.75" customHeight="1">
      <c r="A163" s="211" t="s">
        <v>1652</v>
      </c>
      <c r="B163" s="212" t="s">
        <v>1653</v>
      </c>
    </row>
    <row r="164" spans="1:2" ht="15.75" customHeight="1">
      <c r="A164" s="211" t="s">
        <v>1654</v>
      </c>
      <c r="B164" s="212" t="s">
        <v>1655</v>
      </c>
    </row>
    <row r="165" spans="1:2" ht="15.75" customHeight="1">
      <c r="A165" s="211" t="s">
        <v>1656</v>
      </c>
      <c r="B165" s="212" t="s">
        <v>1657</v>
      </c>
    </row>
    <row r="166" spans="1:2" ht="15.75" customHeight="1">
      <c r="A166" s="211" t="s">
        <v>1658</v>
      </c>
      <c r="B166" s="212" t="s">
        <v>1659</v>
      </c>
    </row>
    <row r="167" spans="1:2" ht="15.75" customHeight="1">
      <c r="A167" s="211" t="s">
        <v>1660</v>
      </c>
      <c r="B167" s="212" t="s">
        <v>1661</v>
      </c>
    </row>
    <row r="168" spans="1:2" ht="15.75" customHeight="1">
      <c r="A168" s="211" t="s">
        <v>1662</v>
      </c>
      <c r="B168" s="212" t="s">
        <v>1663</v>
      </c>
    </row>
    <row r="169" spans="1:2" ht="15.75" customHeight="1">
      <c r="A169" s="211" t="s">
        <v>1664</v>
      </c>
      <c r="B169" s="212" t="s">
        <v>1665</v>
      </c>
    </row>
    <row r="170" spans="1:2" ht="15.75" customHeight="1">
      <c r="A170" s="211" t="s">
        <v>1666</v>
      </c>
      <c r="B170" s="212" t="s">
        <v>1667</v>
      </c>
    </row>
    <row r="171" spans="1:2" ht="15.75" customHeight="1">
      <c r="A171" s="211" t="s">
        <v>1668</v>
      </c>
      <c r="B171" s="212" t="s">
        <v>1669</v>
      </c>
    </row>
    <row r="172" spans="1:2" ht="15.75" customHeight="1">
      <c r="A172" s="211" t="s">
        <v>1670</v>
      </c>
      <c r="B172" s="212" t="s">
        <v>1671</v>
      </c>
    </row>
    <row r="173" spans="1:2" ht="15.75" customHeight="1">
      <c r="A173" s="211" t="s">
        <v>1672</v>
      </c>
      <c r="B173" s="212" t="s">
        <v>1673</v>
      </c>
    </row>
    <row r="174" spans="1:2" ht="15.75" customHeight="1">
      <c r="A174" s="211" t="s">
        <v>1674</v>
      </c>
      <c r="B174" s="212" t="s">
        <v>1675</v>
      </c>
    </row>
    <row r="175" spans="1:2" ht="15.75" customHeight="1">
      <c r="A175" s="211" t="s">
        <v>1676</v>
      </c>
      <c r="B175" s="212" t="s">
        <v>1677</v>
      </c>
    </row>
    <row r="176" spans="1:2" ht="15.75" customHeight="1">
      <c r="A176" s="211" t="s">
        <v>1678</v>
      </c>
      <c r="B176" s="212" t="s">
        <v>1679</v>
      </c>
    </row>
    <row r="177" spans="1:2" ht="15.75" customHeight="1">
      <c r="A177" s="211" t="s">
        <v>1680</v>
      </c>
      <c r="B177" s="212" t="s">
        <v>1681</v>
      </c>
    </row>
    <row r="178" spans="1:2" ht="15.75" customHeight="1">
      <c r="A178" s="211" t="s">
        <v>1682</v>
      </c>
      <c r="B178" s="212" t="s">
        <v>1683</v>
      </c>
    </row>
    <row r="179" spans="1:2" ht="15.75" customHeight="1">
      <c r="A179" s="211" t="s">
        <v>1684</v>
      </c>
      <c r="B179" s="212" t="s">
        <v>1685</v>
      </c>
    </row>
    <row r="180" spans="1:2" ht="15.75" customHeight="1">
      <c r="A180" s="211" t="s">
        <v>1686</v>
      </c>
      <c r="B180" s="212" t="s">
        <v>1687</v>
      </c>
    </row>
    <row r="181" spans="1:2" ht="15.75" customHeight="1">
      <c r="A181" s="211" t="s">
        <v>1688</v>
      </c>
      <c r="B181" s="212" t="s">
        <v>1689</v>
      </c>
    </row>
    <row r="182" spans="1:2" ht="15.75" customHeight="1">
      <c r="A182" s="211" t="s">
        <v>1690</v>
      </c>
      <c r="B182" s="212" t="s">
        <v>1691</v>
      </c>
    </row>
    <row r="183" spans="1:2" ht="15.75" customHeight="1">
      <c r="A183" s="211" t="s">
        <v>1692</v>
      </c>
      <c r="B183" s="212" t="s">
        <v>1693</v>
      </c>
    </row>
    <row r="184" spans="1:2" ht="15.75" customHeight="1">
      <c r="A184" s="211" t="s">
        <v>1694</v>
      </c>
      <c r="B184" s="212" t="s">
        <v>1695</v>
      </c>
    </row>
    <row r="185" spans="1:2" ht="15.75" customHeight="1">
      <c r="A185" s="211" t="s">
        <v>1696</v>
      </c>
      <c r="B185" s="212" t="s">
        <v>1697</v>
      </c>
    </row>
    <row r="186" spans="1:2" ht="15.75" customHeight="1">
      <c r="A186" s="211" t="s">
        <v>1698</v>
      </c>
      <c r="B186" s="212" t="s">
        <v>1699</v>
      </c>
    </row>
    <row r="187" spans="1:2" ht="15.75" customHeight="1">
      <c r="A187" s="211" t="s">
        <v>1700</v>
      </c>
      <c r="B187" s="212" t="s">
        <v>1701</v>
      </c>
    </row>
    <row r="188" spans="1:2" ht="15.75" customHeight="1">
      <c r="A188" s="211" t="s">
        <v>1702</v>
      </c>
      <c r="B188" s="212" t="s">
        <v>1703</v>
      </c>
    </row>
    <row r="189" spans="1:2" ht="15.75" customHeight="1">
      <c r="A189" s="211" t="s">
        <v>1704</v>
      </c>
      <c r="B189" s="212" t="s">
        <v>1705</v>
      </c>
    </row>
    <row r="190" spans="1:2" ht="15.75" customHeight="1">
      <c r="A190" s="211" t="s">
        <v>1706</v>
      </c>
      <c r="B190" s="212" t="s">
        <v>1707</v>
      </c>
    </row>
    <row r="191" spans="1:2" ht="15.75" customHeight="1">
      <c r="A191" s="211" t="s">
        <v>1708</v>
      </c>
      <c r="B191" s="212" t="s">
        <v>1709</v>
      </c>
    </row>
    <row r="192" spans="1:2" ht="15.75" customHeight="1">
      <c r="A192" s="211" t="s">
        <v>1710</v>
      </c>
      <c r="B192" s="212" t="s">
        <v>1711</v>
      </c>
    </row>
    <row r="193" spans="1:2" ht="15.75" customHeight="1">
      <c r="A193" s="211" t="s">
        <v>1712</v>
      </c>
      <c r="B193" s="212" t="s">
        <v>1713</v>
      </c>
    </row>
    <row r="194" spans="1:2" ht="15.75" customHeight="1">
      <c r="A194" s="211" t="s">
        <v>1714</v>
      </c>
      <c r="B194" s="212" t="s">
        <v>1715</v>
      </c>
    </row>
    <row r="195" spans="1:2" ht="15.75" customHeight="1">
      <c r="A195" s="211" t="s">
        <v>1716</v>
      </c>
      <c r="B195" s="212" t="s">
        <v>1717</v>
      </c>
    </row>
    <row r="196" spans="1:2" ht="15.75" customHeight="1">
      <c r="A196" s="211" t="s">
        <v>1718</v>
      </c>
      <c r="B196" s="212" t="s">
        <v>1719</v>
      </c>
    </row>
    <row r="197" spans="1:2" ht="15.75" customHeight="1">
      <c r="A197" s="211" t="s">
        <v>1720</v>
      </c>
      <c r="B197" s="212" t="s">
        <v>1721</v>
      </c>
    </row>
    <row r="198" spans="1:2" ht="15.75" customHeight="1">
      <c r="A198" s="211" t="s">
        <v>1722</v>
      </c>
      <c r="B198" s="212" t="s">
        <v>1723</v>
      </c>
    </row>
    <row r="199" spans="1:2" ht="15.75" customHeight="1">
      <c r="A199" s="211" t="s">
        <v>1724</v>
      </c>
      <c r="B199" s="212" t="s">
        <v>1725</v>
      </c>
    </row>
    <row r="200" spans="1:2" ht="15.75" customHeight="1">
      <c r="A200" s="211" t="s">
        <v>1726</v>
      </c>
      <c r="B200" s="212" t="s">
        <v>1727</v>
      </c>
    </row>
    <row r="201" spans="1:2" ht="15.75" customHeight="1">
      <c r="A201" s="211" t="s">
        <v>1728</v>
      </c>
      <c r="B201" s="212" t="s">
        <v>1729</v>
      </c>
    </row>
    <row r="202" spans="1:2" ht="15.75" customHeight="1">
      <c r="A202" s="211" t="s">
        <v>1730</v>
      </c>
      <c r="B202" s="212" t="s">
        <v>1731</v>
      </c>
    </row>
    <row r="203" spans="1:2" ht="15.75" customHeight="1">
      <c r="A203" s="211" t="s">
        <v>1732</v>
      </c>
      <c r="B203" s="212" t="s">
        <v>1733</v>
      </c>
    </row>
    <row r="204" spans="1:2" ht="15.75" customHeight="1">
      <c r="A204" s="211" t="s">
        <v>1734</v>
      </c>
      <c r="B204" s="212" t="s">
        <v>1735</v>
      </c>
    </row>
    <row r="205" spans="1:2" ht="15.75" customHeight="1">
      <c r="A205" s="211" t="s">
        <v>1736</v>
      </c>
      <c r="B205" s="212" t="s">
        <v>1737</v>
      </c>
    </row>
    <row r="206" spans="1:2" ht="15.75" customHeight="1">
      <c r="A206" s="211" t="s">
        <v>1738</v>
      </c>
      <c r="B206" s="212" t="s">
        <v>1739</v>
      </c>
    </row>
    <row r="207" spans="1:2" ht="15.75" customHeight="1">
      <c r="A207" s="209" t="s">
        <v>3513</v>
      </c>
      <c r="B207" s="210" t="s">
        <v>3514</v>
      </c>
    </row>
    <row r="208" spans="1:2" ht="15.75" customHeight="1">
      <c r="A208" s="211" t="s">
        <v>1740</v>
      </c>
      <c r="B208" s="212" t="s">
        <v>1741</v>
      </c>
    </row>
    <row r="209" spans="1:2" ht="15.75" customHeight="1">
      <c r="A209" s="211" t="s">
        <v>1742</v>
      </c>
      <c r="B209" s="212" t="s">
        <v>1743</v>
      </c>
    </row>
    <row r="210" spans="1:2" ht="15.75" customHeight="1">
      <c r="A210" s="211" t="s">
        <v>1744</v>
      </c>
      <c r="B210" s="212" t="s">
        <v>1745</v>
      </c>
    </row>
    <row r="211" spans="1:2" ht="15.75" customHeight="1">
      <c r="A211" s="211" t="s">
        <v>1746</v>
      </c>
      <c r="B211" s="212" t="s">
        <v>1747</v>
      </c>
    </row>
    <row r="212" spans="1:2" ht="15.75" customHeight="1">
      <c r="A212" s="211" t="s">
        <v>1748</v>
      </c>
      <c r="B212" s="212" t="s">
        <v>1749</v>
      </c>
    </row>
    <row r="213" spans="1:2" ht="15.75" customHeight="1">
      <c r="A213" s="211" t="s">
        <v>1750</v>
      </c>
      <c r="B213" s="212" t="s">
        <v>1751</v>
      </c>
    </row>
    <row r="214" spans="1:2" ht="15.75" customHeight="1">
      <c r="A214" s="211" t="s">
        <v>1752</v>
      </c>
      <c r="B214" s="212" t="s">
        <v>1753</v>
      </c>
    </row>
    <row r="215" spans="1:2" ht="15.75" customHeight="1">
      <c r="A215" s="211" t="s">
        <v>1754</v>
      </c>
      <c r="B215" s="212" t="s">
        <v>1755</v>
      </c>
    </row>
    <row r="216" spans="1:2" ht="15.75" customHeight="1">
      <c r="A216" s="211" t="s">
        <v>1756</v>
      </c>
      <c r="B216" s="212" t="s">
        <v>1757</v>
      </c>
    </row>
    <row r="217" spans="1:2" ht="15.75" customHeight="1">
      <c r="A217" s="211" t="s">
        <v>1758</v>
      </c>
      <c r="B217" s="212" t="s">
        <v>1759</v>
      </c>
    </row>
    <row r="218" spans="1:2" ht="15.75" customHeight="1">
      <c r="A218" s="211" t="s">
        <v>1760</v>
      </c>
      <c r="B218" s="212" t="s">
        <v>1761</v>
      </c>
    </row>
    <row r="219" spans="1:2" ht="15.75" customHeight="1">
      <c r="A219" s="211" t="s">
        <v>1762</v>
      </c>
      <c r="B219" s="212" t="s">
        <v>1763</v>
      </c>
    </row>
    <row r="220" spans="1:2" ht="15.75" customHeight="1">
      <c r="A220" s="211" t="s">
        <v>1764</v>
      </c>
      <c r="B220" s="212" t="s">
        <v>1765</v>
      </c>
    </row>
    <row r="221" spans="1:2" ht="15.75" customHeight="1">
      <c r="A221" s="211" t="s">
        <v>1766</v>
      </c>
      <c r="B221" s="212" t="s">
        <v>1767</v>
      </c>
    </row>
    <row r="222" spans="1:2" ht="15.75" customHeight="1">
      <c r="A222" s="211" t="s">
        <v>1768</v>
      </c>
      <c r="B222" s="212" t="s">
        <v>1769</v>
      </c>
    </row>
    <row r="223" spans="1:2" ht="15.75" customHeight="1">
      <c r="A223" s="211" t="s">
        <v>1770</v>
      </c>
      <c r="B223" s="212" t="s">
        <v>1771</v>
      </c>
    </row>
    <row r="224" spans="1:2" ht="15.75" customHeight="1">
      <c r="A224" s="211" t="s">
        <v>1772</v>
      </c>
      <c r="B224" s="212" t="s">
        <v>1773</v>
      </c>
    </row>
    <row r="225" spans="1:2" ht="15.75" customHeight="1">
      <c r="A225" s="211" t="s">
        <v>1774</v>
      </c>
      <c r="B225" s="212" t="s">
        <v>1775</v>
      </c>
    </row>
    <row r="226" spans="1:2" ht="15.75" customHeight="1">
      <c r="A226" s="209" t="s">
        <v>3515</v>
      </c>
      <c r="B226" s="210" t="s">
        <v>3516</v>
      </c>
    </row>
    <row r="227" spans="1:2" ht="15.75" customHeight="1">
      <c r="A227" s="211" t="s">
        <v>1776</v>
      </c>
      <c r="B227" s="212" t="s">
        <v>1777</v>
      </c>
    </row>
    <row r="228" spans="1:2" ht="15.75" customHeight="1">
      <c r="A228" s="211" t="s">
        <v>1778</v>
      </c>
      <c r="B228" s="212" t="s">
        <v>1779</v>
      </c>
    </row>
    <row r="229" spans="1:2" ht="15.75" customHeight="1">
      <c r="A229" s="211" t="s">
        <v>1780</v>
      </c>
      <c r="B229" s="212" t="s">
        <v>1781</v>
      </c>
    </row>
    <row r="230" spans="1:2" ht="15.75" customHeight="1">
      <c r="A230" s="211" t="s">
        <v>1782</v>
      </c>
      <c r="B230" s="212" t="s">
        <v>1783</v>
      </c>
    </row>
    <row r="231" spans="1:2" ht="15.75" customHeight="1">
      <c r="A231" s="211" t="s">
        <v>1784</v>
      </c>
      <c r="B231" s="212" t="s">
        <v>1785</v>
      </c>
    </row>
    <row r="232" spans="1:2" ht="15.75" customHeight="1">
      <c r="A232" s="211" t="s">
        <v>1786</v>
      </c>
      <c r="B232" s="212" t="s">
        <v>1787</v>
      </c>
    </row>
    <row r="233" spans="1:2" ht="15.75" customHeight="1">
      <c r="A233" s="211" t="s">
        <v>1788</v>
      </c>
      <c r="B233" s="212" t="s">
        <v>1789</v>
      </c>
    </row>
    <row r="234" spans="1:2" ht="15.75" customHeight="1">
      <c r="A234" s="211" t="s">
        <v>1790</v>
      </c>
      <c r="B234" s="212" t="s">
        <v>1791</v>
      </c>
    </row>
    <row r="235" spans="1:2" ht="15.75" customHeight="1">
      <c r="A235" s="211" t="s">
        <v>1792</v>
      </c>
      <c r="B235" s="212" t="s">
        <v>1793</v>
      </c>
    </row>
    <row r="236" spans="1:2" ht="15.75" customHeight="1">
      <c r="A236" s="211" t="s">
        <v>1794</v>
      </c>
      <c r="B236" s="212" t="s">
        <v>1795</v>
      </c>
    </row>
    <row r="237" spans="1:2" ht="15.75" customHeight="1">
      <c r="A237" s="211" t="s">
        <v>1796</v>
      </c>
      <c r="B237" s="212" t="s">
        <v>1797</v>
      </c>
    </row>
    <row r="238" spans="1:2" ht="15.75" customHeight="1">
      <c r="A238" s="211" t="s">
        <v>1798</v>
      </c>
      <c r="B238" s="212" t="s">
        <v>1799</v>
      </c>
    </row>
    <row r="239" spans="1:2" ht="15.75" customHeight="1">
      <c r="A239" s="211" t="s">
        <v>1800</v>
      </c>
      <c r="B239" s="212" t="s">
        <v>1801</v>
      </c>
    </row>
    <row r="240" spans="1:2" ht="15.75" customHeight="1">
      <c r="A240" s="211" t="s">
        <v>1802</v>
      </c>
      <c r="B240" s="212" t="s">
        <v>1803</v>
      </c>
    </row>
    <row r="241" spans="1:2" ht="15.75" customHeight="1">
      <c r="A241" s="211" t="s">
        <v>1804</v>
      </c>
      <c r="B241" s="212" t="s">
        <v>1805</v>
      </c>
    </row>
    <row r="242" spans="1:2" ht="15.75" customHeight="1">
      <c r="A242" s="211" t="s">
        <v>1806</v>
      </c>
      <c r="B242" s="212" t="s">
        <v>1807</v>
      </c>
    </row>
    <row r="243" spans="1:2" ht="15.75" customHeight="1">
      <c r="A243" s="211" t="s">
        <v>1808</v>
      </c>
      <c r="B243" s="212" t="s">
        <v>1809</v>
      </c>
    </row>
    <row r="244" spans="1:2" ht="15.75" customHeight="1">
      <c r="A244" s="211" t="s">
        <v>1810</v>
      </c>
      <c r="B244" s="212" t="s">
        <v>1811</v>
      </c>
    </row>
    <row r="245" spans="1:2" ht="15.75" customHeight="1">
      <c r="A245" s="211" t="s">
        <v>1812</v>
      </c>
      <c r="B245" s="212" t="s">
        <v>1813</v>
      </c>
    </row>
    <row r="246" spans="1:2" ht="15.75" customHeight="1">
      <c r="A246" s="211" t="s">
        <v>1814</v>
      </c>
      <c r="B246" s="212" t="s">
        <v>1815</v>
      </c>
    </row>
    <row r="247" spans="1:2" ht="15.75" customHeight="1">
      <c r="A247" s="209" t="s">
        <v>3517</v>
      </c>
      <c r="B247" s="210" t="s">
        <v>3518</v>
      </c>
    </row>
    <row r="248" spans="1:2" ht="15.75" customHeight="1">
      <c r="A248" s="211" t="s">
        <v>1816</v>
      </c>
      <c r="B248" s="212" t="s">
        <v>1817</v>
      </c>
    </row>
    <row r="249" spans="1:2" ht="15.75" customHeight="1">
      <c r="A249" s="211" t="s">
        <v>1818</v>
      </c>
      <c r="B249" s="212" t="s">
        <v>1819</v>
      </c>
    </row>
    <row r="250" spans="1:2" ht="15.75" customHeight="1">
      <c r="A250" s="211" t="s">
        <v>1820</v>
      </c>
      <c r="B250" s="212" t="s">
        <v>1821</v>
      </c>
    </row>
    <row r="251" spans="1:2" ht="15.75" customHeight="1">
      <c r="A251" s="211" t="s">
        <v>1822</v>
      </c>
      <c r="B251" s="212" t="s">
        <v>1823</v>
      </c>
    </row>
    <row r="252" spans="1:2" ht="15.75" customHeight="1">
      <c r="A252" s="211" t="s">
        <v>1824</v>
      </c>
      <c r="B252" s="212" t="s">
        <v>1825</v>
      </c>
    </row>
    <row r="253" spans="1:2" ht="15.75" customHeight="1">
      <c r="A253" s="211" t="s">
        <v>1826</v>
      </c>
      <c r="B253" s="212" t="s">
        <v>1827</v>
      </c>
    </row>
    <row r="254" spans="1:2" ht="15.75" customHeight="1">
      <c r="A254" s="211" t="s">
        <v>1828</v>
      </c>
      <c r="B254" s="212" t="s">
        <v>1829</v>
      </c>
    </row>
    <row r="255" spans="1:2" ht="15.75" customHeight="1">
      <c r="A255" s="211" t="s">
        <v>1830</v>
      </c>
      <c r="B255" s="212" t="s">
        <v>1831</v>
      </c>
    </row>
    <row r="256" spans="1:2" ht="15.75" customHeight="1">
      <c r="A256" s="211" t="s">
        <v>1832</v>
      </c>
      <c r="B256" s="212" t="s">
        <v>1833</v>
      </c>
    </row>
    <row r="257" spans="1:2" ht="15.75" customHeight="1">
      <c r="A257" s="209" t="s">
        <v>3519</v>
      </c>
      <c r="B257" s="210" t="s">
        <v>3520</v>
      </c>
    </row>
    <row r="258" spans="1:2" ht="15.75" customHeight="1">
      <c r="A258" s="211" t="s">
        <v>1834</v>
      </c>
      <c r="B258" s="212" t="s">
        <v>1835</v>
      </c>
    </row>
    <row r="259" spans="1:2" ht="15.75" customHeight="1">
      <c r="A259" s="211" t="s">
        <v>1836</v>
      </c>
      <c r="B259" s="212" t="s">
        <v>1837</v>
      </c>
    </row>
    <row r="260" spans="1:2" ht="15.75" customHeight="1">
      <c r="A260" s="211" t="s">
        <v>1838</v>
      </c>
      <c r="B260" s="212" t="s">
        <v>1839</v>
      </c>
    </row>
    <row r="261" spans="1:2" ht="15.75" customHeight="1">
      <c r="A261" s="211" t="s">
        <v>1840</v>
      </c>
      <c r="B261" s="212" t="s">
        <v>1841</v>
      </c>
    </row>
    <row r="262" spans="1:2" ht="15.75" customHeight="1">
      <c r="A262" s="211" t="s">
        <v>1842</v>
      </c>
      <c r="B262" s="212" t="s">
        <v>1843</v>
      </c>
    </row>
    <row r="263" spans="1:2" ht="15.75" customHeight="1">
      <c r="A263" s="211" t="s">
        <v>1844</v>
      </c>
      <c r="B263" s="212" t="s">
        <v>1845</v>
      </c>
    </row>
    <row r="264" spans="1:2" ht="15.75" customHeight="1">
      <c r="A264" s="211" t="s">
        <v>1846</v>
      </c>
      <c r="B264" s="212" t="s">
        <v>1847</v>
      </c>
    </row>
    <row r="265" spans="1:2" ht="15.75" customHeight="1">
      <c r="A265" s="211" t="s">
        <v>1848</v>
      </c>
      <c r="B265" s="212" t="s">
        <v>1849</v>
      </c>
    </row>
    <row r="266" spans="1:2" ht="15.75" customHeight="1">
      <c r="A266" s="211" t="s">
        <v>1850</v>
      </c>
      <c r="B266" s="212" t="s">
        <v>1851</v>
      </c>
    </row>
    <row r="267" spans="1:2" ht="15.75" customHeight="1">
      <c r="A267" s="211" t="s">
        <v>1852</v>
      </c>
      <c r="B267" s="212" t="s">
        <v>1853</v>
      </c>
    </row>
    <row r="268" spans="1:2" ht="15.75" customHeight="1">
      <c r="A268" s="211" t="s">
        <v>1854</v>
      </c>
      <c r="B268" s="212" t="s">
        <v>1855</v>
      </c>
    </row>
    <row r="269" spans="1:2" ht="15.75" customHeight="1">
      <c r="A269" s="211" t="s">
        <v>1856</v>
      </c>
      <c r="B269" s="212" t="s">
        <v>1857</v>
      </c>
    </row>
    <row r="270" spans="1:2" ht="15.75" customHeight="1">
      <c r="A270" s="211" t="s">
        <v>1858</v>
      </c>
      <c r="B270" s="212" t="s">
        <v>1859</v>
      </c>
    </row>
    <row r="271" spans="1:2" ht="15.75" customHeight="1">
      <c r="A271" s="211" t="s">
        <v>1860</v>
      </c>
      <c r="B271" s="212" t="s">
        <v>1861</v>
      </c>
    </row>
    <row r="272" spans="1:2" ht="15.75" customHeight="1">
      <c r="A272" s="211" t="s">
        <v>1862</v>
      </c>
      <c r="B272" s="212" t="s">
        <v>1863</v>
      </c>
    </row>
    <row r="273" spans="1:2" ht="15.75" customHeight="1">
      <c r="A273" s="209" t="s">
        <v>3521</v>
      </c>
      <c r="B273" s="210" t="s">
        <v>3522</v>
      </c>
    </row>
    <row r="274" spans="1:2" ht="15.75" customHeight="1">
      <c r="A274" s="211" t="s">
        <v>1864</v>
      </c>
      <c r="B274" s="212" t="s">
        <v>1865</v>
      </c>
    </row>
    <row r="275" spans="1:2" ht="15.75" customHeight="1">
      <c r="A275" s="211" t="s">
        <v>1866</v>
      </c>
      <c r="B275" s="212" t="s">
        <v>1867</v>
      </c>
    </row>
    <row r="276" spans="1:2" ht="15.75" customHeight="1">
      <c r="A276" s="211" t="s">
        <v>1868</v>
      </c>
      <c r="B276" s="212" t="s">
        <v>1869</v>
      </c>
    </row>
    <row r="277" spans="1:2" ht="15.75" customHeight="1">
      <c r="A277" s="211" t="s">
        <v>1870</v>
      </c>
      <c r="B277" s="212" t="s">
        <v>1871</v>
      </c>
    </row>
    <row r="278" spans="1:2" ht="15.75" customHeight="1">
      <c r="A278" s="211" t="s">
        <v>1872</v>
      </c>
      <c r="B278" s="212" t="s">
        <v>1873</v>
      </c>
    </row>
    <row r="279" spans="1:2" ht="15.75" customHeight="1">
      <c r="A279" s="211" t="s">
        <v>1874</v>
      </c>
      <c r="B279" s="212" t="s">
        <v>1875</v>
      </c>
    </row>
    <row r="280" spans="1:2" ht="15.75" customHeight="1">
      <c r="A280" s="211" t="s">
        <v>1876</v>
      </c>
      <c r="B280" s="212" t="s">
        <v>1877</v>
      </c>
    </row>
    <row r="281" spans="1:2" ht="15.75" customHeight="1">
      <c r="A281" s="211" t="s">
        <v>1878</v>
      </c>
      <c r="B281" s="212" t="s">
        <v>1879</v>
      </c>
    </row>
    <row r="282" spans="1:2" ht="15.75" customHeight="1">
      <c r="A282" s="211" t="s">
        <v>1880</v>
      </c>
      <c r="B282" s="212" t="s">
        <v>1881</v>
      </c>
    </row>
    <row r="283" spans="1:2" ht="15.75" customHeight="1">
      <c r="A283" s="211" t="s">
        <v>1882</v>
      </c>
      <c r="B283" s="212" t="s">
        <v>1883</v>
      </c>
    </row>
    <row r="284" spans="1:2" ht="15.75" customHeight="1">
      <c r="A284" s="211" t="s">
        <v>1884</v>
      </c>
      <c r="B284" s="212" t="s">
        <v>1885</v>
      </c>
    </row>
    <row r="285" spans="1:2" ht="15.75" customHeight="1">
      <c r="A285" s="211" t="s">
        <v>1886</v>
      </c>
      <c r="B285" s="212" t="s">
        <v>1887</v>
      </c>
    </row>
    <row r="286" spans="1:2" ht="15.75" customHeight="1">
      <c r="A286" s="211" t="s">
        <v>1888</v>
      </c>
      <c r="B286" s="212" t="s">
        <v>1889</v>
      </c>
    </row>
    <row r="287" spans="1:2" ht="15.75" customHeight="1">
      <c r="A287" s="211" t="s">
        <v>1890</v>
      </c>
      <c r="B287" s="212" t="s">
        <v>1891</v>
      </c>
    </row>
    <row r="288" spans="1:2" ht="15.75" customHeight="1">
      <c r="A288" s="211" t="s">
        <v>1892</v>
      </c>
      <c r="B288" s="212" t="s">
        <v>1893</v>
      </c>
    </row>
    <row r="289" spans="1:2" ht="15.75" customHeight="1">
      <c r="A289" s="211" t="s">
        <v>1894</v>
      </c>
      <c r="B289" s="212" t="s">
        <v>1895</v>
      </c>
    </row>
    <row r="290" spans="1:2" ht="15.75" customHeight="1">
      <c r="A290" s="211" t="s">
        <v>1896</v>
      </c>
      <c r="B290" s="212" t="s">
        <v>1897</v>
      </c>
    </row>
    <row r="291" spans="1:2" ht="15.75" customHeight="1">
      <c r="A291" s="211" t="s">
        <v>1898</v>
      </c>
      <c r="B291" s="212" t="s">
        <v>1899</v>
      </c>
    </row>
    <row r="292" spans="1:2" ht="15.75" customHeight="1">
      <c r="A292" s="211" t="s">
        <v>1900</v>
      </c>
      <c r="B292" s="212" t="s">
        <v>1901</v>
      </c>
    </row>
    <row r="293" spans="1:2" ht="15.75" customHeight="1">
      <c r="A293" s="211" t="s">
        <v>1902</v>
      </c>
      <c r="B293" s="212" t="s">
        <v>1903</v>
      </c>
    </row>
    <row r="294" spans="1:2" ht="15.75" customHeight="1">
      <c r="A294" s="211" t="s">
        <v>1904</v>
      </c>
      <c r="B294" s="212" t="s">
        <v>1905</v>
      </c>
    </row>
    <row r="295" spans="1:2" ht="15.75" customHeight="1">
      <c r="A295" s="211" t="s">
        <v>1906</v>
      </c>
      <c r="B295" s="212" t="s">
        <v>1907</v>
      </c>
    </row>
    <row r="296" spans="1:2" ht="15.75" customHeight="1">
      <c r="A296" s="211" t="s">
        <v>1908</v>
      </c>
      <c r="B296" s="212" t="s">
        <v>1907</v>
      </c>
    </row>
    <row r="297" spans="1:2" ht="15.75" customHeight="1">
      <c r="A297" s="211" t="s">
        <v>1909</v>
      </c>
      <c r="B297" s="212" t="s">
        <v>1910</v>
      </c>
    </row>
    <row r="298" spans="1:2" ht="15.75" customHeight="1">
      <c r="A298" s="211" t="s">
        <v>1911</v>
      </c>
      <c r="B298" s="212" t="s">
        <v>1910</v>
      </c>
    </row>
    <row r="299" spans="1:2" ht="15.75" customHeight="1">
      <c r="A299" s="211" t="s">
        <v>1912</v>
      </c>
      <c r="B299" s="212" t="s">
        <v>1913</v>
      </c>
    </row>
    <row r="300" spans="1:2" ht="15.75" customHeight="1">
      <c r="A300" s="211" t="s">
        <v>1914</v>
      </c>
      <c r="B300" s="212" t="s">
        <v>1915</v>
      </c>
    </row>
    <row r="301" spans="1:2" ht="15.75" customHeight="1">
      <c r="A301" s="211" t="s">
        <v>1916</v>
      </c>
      <c r="B301" s="212" t="s">
        <v>1917</v>
      </c>
    </row>
    <row r="302" spans="1:2" ht="15.75" customHeight="1">
      <c r="A302" s="211" t="s">
        <v>1918</v>
      </c>
      <c r="B302" s="212" t="s">
        <v>1919</v>
      </c>
    </row>
    <row r="303" spans="1:2" ht="15.75" customHeight="1">
      <c r="A303" s="211" t="s">
        <v>1920</v>
      </c>
      <c r="B303" s="212" t="s">
        <v>1921</v>
      </c>
    </row>
    <row r="304" spans="1:2" ht="15.75" customHeight="1">
      <c r="A304" s="211" t="s">
        <v>1922</v>
      </c>
      <c r="B304" s="212" t="s">
        <v>1923</v>
      </c>
    </row>
    <row r="305" spans="1:2" ht="15.75" customHeight="1">
      <c r="A305" s="211" t="s">
        <v>1924</v>
      </c>
      <c r="B305" s="212" t="s">
        <v>1925</v>
      </c>
    </row>
    <row r="306" spans="1:2" ht="15.75" customHeight="1">
      <c r="A306" s="211" t="s">
        <v>1926</v>
      </c>
      <c r="B306" s="212" t="s">
        <v>1927</v>
      </c>
    </row>
    <row r="307" spans="1:2" ht="15.75" customHeight="1">
      <c r="A307" s="211" t="s">
        <v>1928</v>
      </c>
      <c r="B307" s="212" t="s">
        <v>1929</v>
      </c>
    </row>
    <row r="308" spans="1:2" ht="15.75" customHeight="1">
      <c r="A308" s="211" t="s">
        <v>1930</v>
      </c>
      <c r="B308" s="212" t="s">
        <v>1931</v>
      </c>
    </row>
    <row r="309" spans="1:2" ht="15.75" customHeight="1">
      <c r="A309" s="211" t="s">
        <v>1932</v>
      </c>
      <c r="B309" s="212" t="s">
        <v>1933</v>
      </c>
    </row>
    <row r="310" spans="1:2" ht="15.75" customHeight="1">
      <c r="A310" s="211" t="s">
        <v>1934</v>
      </c>
      <c r="B310" s="212" t="s">
        <v>1935</v>
      </c>
    </row>
    <row r="311" spans="1:2" ht="15.75" customHeight="1">
      <c r="A311" s="211" t="s">
        <v>1936</v>
      </c>
      <c r="B311" s="212" t="s">
        <v>1937</v>
      </c>
    </row>
    <row r="312" spans="1:2" ht="15.75" customHeight="1">
      <c r="A312" s="211" t="s">
        <v>1938</v>
      </c>
      <c r="B312" s="212" t="s">
        <v>1939</v>
      </c>
    </row>
    <row r="313" spans="1:2" ht="15.75" customHeight="1">
      <c r="A313" s="211" t="s">
        <v>1940</v>
      </c>
      <c r="B313" s="212" t="s">
        <v>1941</v>
      </c>
    </row>
    <row r="314" spans="1:2" ht="15.75" customHeight="1">
      <c r="A314" s="211" t="s">
        <v>1942</v>
      </c>
      <c r="B314" s="212" t="s">
        <v>1943</v>
      </c>
    </row>
    <row r="315" spans="1:2" ht="15.75" customHeight="1">
      <c r="A315" s="211" t="s">
        <v>1944</v>
      </c>
      <c r="B315" s="212" t="s">
        <v>1945</v>
      </c>
    </row>
    <row r="316" spans="1:2" ht="15.75" customHeight="1">
      <c r="A316" s="211" t="s">
        <v>1946</v>
      </c>
      <c r="B316" s="212" t="s">
        <v>1947</v>
      </c>
    </row>
    <row r="317" spans="1:2" ht="15.75" customHeight="1">
      <c r="A317" s="211" t="s">
        <v>1948</v>
      </c>
      <c r="B317" s="212" t="s">
        <v>1949</v>
      </c>
    </row>
    <row r="318" spans="1:2" ht="15.75" customHeight="1">
      <c r="A318" s="211" t="s">
        <v>1950</v>
      </c>
      <c r="B318" s="212" t="s">
        <v>1951</v>
      </c>
    </row>
    <row r="319" spans="1:2" ht="15.75" customHeight="1">
      <c r="A319" s="211" t="s">
        <v>1952</v>
      </c>
      <c r="B319" s="212" t="s">
        <v>1953</v>
      </c>
    </row>
    <row r="320" spans="1:2" ht="15.75" customHeight="1">
      <c r="A320" s="211" t="s">
        <v>1954</v>
      </c>
      <c r="B320" s="212" t="s">
        <v>1955</v>
      </c>
    </row>
    <row r="321" spans="1:2" ht="15.75" customHeight="1">
      <c r="A321" s="211" t="s">
        <v>1956</v>
      </c>
      <c r="B321" s="212" t="s">
        <v>1957</v>
      </c>
    </row>
    <row r="322" spans="1:2" ht="15.75" customHeight="1">
      <c r="A322" s="211" t="s">
        <v>1958</v>
      </c>
      <c r="B322" s="212" t="s">
        <v>1959</v>
      </c>
    </row>
    <row r="323" spans="1:2" ht="15.75" customHeight="1">
      <c r="A323" s="211" t="s">
        <v>1960</v>
      </c>
      <c r="B323" s="212" t="s">
        <v>1961</v>
      </c>
    </row>
    <row r="324" spans="1:2" ht="15.75" customHeight="1">
      <c r="A324" s="211" t="s">
        <v>1962</v>
      </c>
      <c r="B324" s="212" t="s">
        <v>1963</v>
      </c>
    </row>
    <row r="325" spans="1:2" ht="15.75" customHeight="1">
      <c r="A325" s="211" t="s">
        <v>1964</v>
      </c>
      <c r="B325" s="212" t="s">
        <v>1965</v>
      </c>
    </row>
    <row r="326" spans="1:2" ht="15.75" customHeight="1">
      <c r="A326" s="211" t="s">
        <v>1966</v>
      </c>
      <c r="B326" s="212" t="s">
        <v>1967</v>
      </c>
    </row>
    <row r="327" spans="1:2" ht="15.75" customHeight="1">
      <c r="A327" s="211" t="s">
        <v>1968</v>
      </c>
      <c r="B327" s="212" t="s">
        <v>1969</v>
      </c>
    </row>
    <row r="328" spans="1:2" ht="15.75" customHeight="1">
      <c r="A328" s="211" t="s">
        <v>1970</v>
      </c>
      <c r="B328" s="212" t="s">
        <v>1971</v>
      </c>
    </row>
    <row r="329" spans="1:2" ht="15.75" customHeight="1">
      <c r="A329" s="211" t="s">
        <v>1972</v>
      </c>
      <c r="B329" s="212" t="s">
        <v>1973</v>
      </c>
    </row>
    <row r="330" spans="1:2" ht="15.75" customHeight="1">
      <c r="A330" s="211" t="s">
        <v>1974</v>
      </c>
      <c r="B330" s="212" t="s">
        <v>1975</v>
      </c>
    </row>
    <row r="331" spans="1:2" ht="15.75" customHeight="1">
      <c r="A331" s="211" t="s">
        <v>1976</v>
      </c>
      <c r="B331" s="212" t="s">
        <v>1977</v>
      </c>
    </row>
    <row r="332" spans="1:2" ht="15.75" customHeight="1">
      <c r="A332" s="211" t="s">
        <v>1978</v>
      </c>
      <c r="B332" s="212" t="s">
        <v>1979</v>
      </c>
    </row>
    <row r="333" spans="1:2" ht="15.75" customHeight="1">
      <c r="A333" s="211" t="s">
        <v>1980</v>
      </c>
      <c r="B333" s="212" t="s">
        <v>1981</v>
      </c>
    </row>
    <row r="334" spans="1:2" ht="15.75" customHeight="1">
      <c r="A334" s="211" t="s">
        <v>1982</v>
      </c>
      <c r="B334" s="212" t="s">
        <v>1983</v>
      </c>
    </row>
    <row r="335" spans="1:2" ht="15.75" customHeight="1">
      <c r="A335" s="211" t="s">
        <v>1984</v>
      </c>
      <c r="B335" s="212" t="s">
        <v>1985</v>
      </c>
    </row>
    <row r="336" spans="1:2" ht="15.75" customHeight="1">
      <c r="A336" s="211" t="s">
        <v>1986</v>
      </c>
      <c r="B336" s="212" t="s">
        <v>1987</v>
      </c>
    </row>
    <row r="337" spans="1:2" ht="15.75" customHeight="1">
      <c r="A337" s="211" t="s">
        <v>1988</v>
      </c>
      <c r="B337" s="212" t="s">
        <v>1989</v>
      </c>
    </row>
    <row r="338" spans="1:2" ht="15.75" customHeight="1">
      <c r="A338" s="211" t="s">
        <v>1990</v>
      </c>
      <c r="B338" s="212" t="s">
        <v>1991</v>
      </c>
    </row>
    <row r="339" spans="1:2" ht="15.75" customHeight="1">
      <c r="A339" s="211" t="s">
        <v>1992</v>
      </c>
      <c r="B339" s="212" t="s">
        <v>1993</v>
      </c>
    </row>
    <row r="340" spans="1:2" ht="15.75" customHeight="1">
      <c r="A340" s="211" t="s">
        <v>1994</v>
      </c>
      <c r="B340" s="212" t="s">
        <v>1995</v>
      </c>
    </row>
    <row r="341" spans="1:2" ht="15.75" customHeight="1">
      <c r="A341" s="211" t="s">
        <v>1996</v>
      </c>
      <c r="B341" s="212" t="s">
        <v>1997</v>
      </c>
    </row>
    <row r="342" spans="1:2" ht="15.75" customHeight="1">
      <c r="A342" s="211" t="s">
        <v>1998</v>
      </c>
      <c r="B342" s="212" t="s">
        <v>1999</v>
      </c>
    </row>
    <row r="343" spans="1:2" ht="15.75" customHeight="1">
      <c r="A343" s="211" t="s">
        <v>2000</v>
      </c>
      <c r="B343" s="212" t="s">
        <v>2001</v>
      </c>
    </row>
    <row r="344" spans="1:2" ht="15.75" customHeight="1">
      <c r="A344" s="211" t="s">
        <v>2002</v>
      </c>
      <c r="B344" s="212" t="s">
        <v>2003</v>
      </c>
    </row>
    <row r="345" spans="1:2" ht="15.75" customHeight="1">
      <c r="A345" s="211" t="s">
        <v>2004</v>
      </c>
      <c r="B345" s="212" t="s">
        <v>2005</v>
      </c>
    </row>
    <row r="346" spans="1:2" ht="15.75" customHeight="1">
      <c r="A346" s="211" t="s">
        <v>2006</v>
      </c>
      <c r="B346" s="212" t="s">
        <v>2007</v>
      </c>
    </row>
    <row r="347" spans="1:2" ht="15.75" customHeight="1">
      <c r="A347" s="211" t="s">
        <v>2008</v>
      </c>
      <c r="B347" s="212" t="s">
        <v>2009</v>
      </c>
    </row>
    <row r="348" spans="1:2" ht="15.75" customHeight="1">
      <c r="A348" s="211" t="s">
        <v>2010</v>
      </c>
      <c r="B348" s="212" t="s">
        <v>2011</v>
      </c>
    </row>
    <row r="349" spans="1:2" ht="15.75" customHeight="1">
      <c r="A349" s="211" t="s">
        <v>2012</v>
      </c>
      <c r="B349" s="212" t="s">
        <v>2013</v>
      </c>
    </row>
    <row r="350" spans="1:2" ht="15.75" customHeight="1">
      <c r="A350" s="211" t="s">
        <v>2014</v>
      </c>
      <c r="B350" s="212" t="s">
        <v>2015</v>
      </c>
    </row>
    <row r="351" spans="1:2" ht="15.75" customHeight="1">
      <c r="A351" s="211" t="s">
        <v>2016</v>
      </c>
      <c r="B351" s="212" t="s">
        <v>2017</v>
      </c>
    </row>
    <row r="352" spans="1:2" ht="15.75" customHeight="1">
      <c r="A352" s="211" t="s">
        <v>2018</v>
      </c>
      <c r="B352" s="212" t="s">
        <v>2019</v>
      </c>
    </row>
    <row r="353" spans="1:2" ht="15.75" customHeight="1">
      <c r="A353" s="211" t="s">
        <v>2020</v>
      </c>
      <c r="B353" s="212" t="s">
        <v>2021</v>
      </c>
    </row>
    <row r="354" spans="1:2" ht="15.75" customHeight="1">
      <c r="A354" s="211" t="s">
        <v>2022</v>
      </c>
      <c r="B354" s="212" t="s">
        <v>2023</v>
      </c>
    </row>
    <row r="355" spans="1:2" ht="15.75" customHeight="1">
      <c r="A355" s="211" t="s">
        <v>2024</v>
      </c>
      <c r="B355" s="212" t="s">
        <v>2025</v>
      </c>
    </row>
    <row r="356" spans="1:2" ht="15.75" customHeight="1">
      <c r="A356" s="211" t="s">
        <v>2026</v>
      </c>
      <c r="B356" s="212" t="s">
        <v>2027</v>
      </c>
    </row>
    <row r="357" spans="1:2" ht="15.75" customHeight="1">
      <c r="A357" s="211" t="s">
        <v>2028</v>
      </c>
      <c r="B357" s="212" t="s">
        <v>2029</v>
      </c>
    </row>
    <row r="358" spans="1:2" ht="15.75" customHeight="1">
      <c r="A358" s="211" t="s">
        <v>2030</v>
      </c>
      <c r="B358" s="212" t="s">
        <v>2031</v>
      </c>
    </row>
    <row r="359" spans="1:2" ht="15.75" customHeight="1">
      <c r="A359" s="211" t="s">
        <v>2032</v>
      </c>
      <c r="B359" s="212" t="s">
        <v>2033</v>
      </c>
    </row>
    <row r="360" spans="1:2" ht="15.75" customHeight="1">
      <c r="A360" s="211" t="s">
        <v>2034</v>
      </c>
      <c r="B360" s="212" t="s">
        <v>1337</v>
      </c>
    </row>
    <row r="361" spans="1:2" ht="15.75" customHeight="1">
      <c r="A361" s="211" t="s">
        <v>2035</v>
      </c>
      <c r="B361" s="212" t="s">
        <v>1349</v>
      </c>
    </row>
    <row r="362" spans="1:2" ht="15.75" customHeight="1">
      <c r="A362" s="211" t="s">
        <v>2036</v>
      </c>
      <c r="B362" s="212" t="s">
        <v>2037</v>
      </c>
    </row>
    <row r="363" spans="1:2" ht="15.75" customHeight="1">
      <c r="A363" s="211" t="s">
        <v>2038</v>
      </c>
      <c r="B363" s="212" t="s">
        <v>2039</v>
      </c>
    </row>
    <row r="364" spans="1:2" ht="15.75" customHeight="1">
      <c r="A364" s="211" t="s">
        <v>2040</v>
      </c>
      <c r="B364" s="212" t="s">
        <v>2041</v>
      </c>
    </row>
    <row r="365" spans="1:2" ht="15.75" customHeight="1">
      <c r="A365" s="211" t="s">
        <v>2042</v>
      </c>
      <c r="B365" s="212" t="s">
        <v>2043</v>
      </c>
    </row>
    <row r="366" spans="1:2" ht="15.75" customHeight="1">
      <c r="A366" s="211" t="s">
        <v>2044</v>
      </c>
      <c r="B366" s="212" t="s">
        <v>2045</v>
      </c>
    </row>
    <row r="367" spans="1:2" ht="15.75" customHeight="1">
      <c r="A367" s="211" t="s">
        <v>2046</v>
      </c>
      <c r="B367" s="212" t="s">
        <v>2047</v>
      </c>
    </row>
    <row r="368" spans="1:2" ht="15.75" customHeight="1">
      <c r="A368" s="211" t="s">
        <v>2048</v>
      </c>
      <c r="B368" s="212" t="s">
        <v>2049</v>
      </c>
    </row>
    <row r="369" spans="1:2" ht="15.75" customHeight="1">
      <c r="A369" s="211" t="s">
        <v>2050</v>
      </c>
      <c r="B369" s="212" t="s">
        <v>2051</v>
      </c>
    </row>
    <row r="370" spans="1:2" ht="15.75" customHeight="1">
      <c r="A370" s="211" t="s">
        <v>2052</v>
      </c>
      <c r="B370" s="212" t="s">
        <v>2053</v>
      </c>
    </row>
    <row r="371" spans="1:2" ht="15.75" customHeight="1">
      <c r="A371" s="211" t="s">
        <v>2054</v>
      </c>
      <c r="B371" s="212" t="s">
        <v>2055</v>
      </c>
    </row>
    <row r="372" spans="1:2" ht="15.75" customHeight="1">
      <c r="A372" s="211" t="s">
        <v>2056</v>
      </c>
      <c r="B372" s="212" t="s">
        <v>2057</v>
      </c>
    </row>
    <row r="373" spans="1:2" ht="15.75" customHeight="1">
      <c r="A373" s="211" t="s">
        <v>2058</v>
      </c>
      <c r="B373" s="212" t="s">
        <v>2059</v>
      </c>
    </row>
    <row r="374" spans="1:2" ht="15.75" customHeight="1">
      <c r="A374" s="209" t="s">
        <v>3523</v>
      </c>
      <c r="B374" s="210" t="s">
        <v>3524</v>
      </c>
    </row>
    <row r="375" spans="1:2" ht="15.75" customHeight="1">
      <c r="A375" s="211" t="s">
        <v>2060</v>
      </c>
      <c r="B375" s="212" t="s">
        <v>2061</v>
      </c>
    </row>
    <row r="376" spans="1:2" ht="15.75" customHeight="1">
      <c r="A376" s="211" t="s">
        <v>2062</v>
      </c>
      <c r="B376" s="212" t="s">
        <v>2063</v>
      </c>
    </row>
    <row r="377" spans="1:2" ht="15.75" customHeight="1">
      <c r="A377" s="211" t="s">
        <v>2064</v>
      </c>
      <c r="B377" s="212" t="s">
        <v>2065</v>
      </c>
    </row>
    <row r="378" spans="1:2" ht="15.75" customHeight="1">
      <c r="A378" s="211" t="s">
        <v>2066</v>
      </c>
      <c r="B378" s="212" t="s">
        <v>2067</v>
      </c>
    </row>
    <row r="379" spans="1:2" ht="15.75" customHeight="1">
      <c r="A379" s="211" t="s">
        <v>2068</v>
      </c>
      <c r="B379" s="212" t="s">
        <v>2069</v>
      </c>
    </row>
    <row r="380" spans="1:2" ht="15.75" customHeight="1">
      <c r="A380" s="211" t="s">
        <v>2070</v>
      </c>
      <c r="B380" s="212" t="s">
        <v>2071</v>
      </c>
    </row>
    <row r="381" spans="1:2" ht="15.75" customHeight="1">
      <c r="A381" s="211" t="s">
        <v>2072</v>
      </c>
      <c r="B381" s="212" t="s">
        <v>2073</v>
      </c>
    </row>
    <row r="382" spans="1:2" ht="15.75" customHeight="1">
      <c r="A382" s="211" t="s">
        <v>2074</v>
      </c>
      <c r="B382" s="212" t="s">
        <v>2075</v>
      </c>
    </row>
    <row r="383" spans="1:2" ht="15.75" customHeight="1">
      <c r="A383" s="211" t="s">
        <v>2076</v>
      </c>
      <c r="B383" s="212" t="s">
        <v>2077</v>
      </c>
    </row>
    <row r="384" spans="1:2" ht="15.75" customHeight="1">
      <c r="A384" s="211" t="s">
        <v>2078</v>
      </c>
      <c r="B384" s="212" t="s">
        <v>2079</v>
      </c>
    </row>
    <row r="385" spans="1:2" ht="15.75" customHeight="1">
      <c r="A385" s="211" t="s">
        <v>2080</v>
      </c>
      <c r="B385" s="212" t="s">
        <v>2081</v>
      </c>
    </row>
    <row r="386" spans="1:2" ht="15.75" customHeight="1">
      <c r="A386" s="211" t="s">
        <v>2082</v>
      </c>
      <c r="B386" s="212" t="s">
        <v>2083</v>
      </c>
    </row>
    <row r="387" spans="1:2" ht="15.75" customHeight="1">
      <c r="A387" s="211" t="s">
        <v>2084</v>
      </c>
      <c r="B387" s="212" t="s">
        <v>2085</v>
      </c>
    </row>
    <row r="388" spans="1:2" ht="15.75" customHeight="1">
      <c r="A388" s="211" t="s">
        <v>2086</v>
      </c>
      <c r="B388" s="212" t="s">
        <v>2087</v>
      </c>
    </row>
    <row r="389" spans="1:2" ht="15.75" customHeight="1">
      <c r="A389" s="211" t="s">
        <v>2088</v>
      </c>
      <c r="B389" s="212" t="s">
        <v>2089</v>
      </c>
    </row>
    <row r="390" spans="1:2" ht="15.75" customHeight="1">
      <c r="A390" s="211" t="s">
        <v>2090</v>
      </c>
      <c r="B390" s="212" t="s">
        <v>2091</v>
      </c>
    </row>
    <row r="391" spans="1:2" ht="15.75" customHeight="1">
      <c r="A391" s="211" t="s">
        <v>2092</v>
      </c>
      <c r="B391" s="212" t="s">
        <v>2093</v>
      </c>
    </row>
    <row r="392" spans="1:2" ht="15.75" customHeight="1">
      <c r="A392" s="211" t="s">
        <v>2094</v>
      </c>
      <c r="B392" s="212" t="s">
        <v>2095</v>
      </c>
    </row>
    <row r="393" spans="1:2" ht="15.75" customHeight="1">
      <c r="A393" s="211" t="s">
        <v>2096</v>
      </c>
      <c r="B393" s="212" t="s">
        <v>2097</v>
      </c>
    </row>
    <row r="394" spans="1:2" ht="15.75" customHeight="1">
      <c r="A394" s="211" t="s">
        <v>2098</v>
      </c>
      <c r="B394" s="212" t="s">
        <v>2099</v>
      </c>
    </row>
    <row r="395" spans="1:2" ht="15.75" customHeight="1">
      <c r="A395" s="211" t="s">
        <v>2100</v>
      </c>
      <c r="B395" s="212" t="s">
        <v>2101</v>
      </c>
    </row>
    <row r="396" spans="1:2" ht="15.75" customHeight="1">
      <c r="A396" s="211" t="s">
        <v>2102</v>
      </c>
      <c r="B396" s="212" t="s">
        <v>2103</v>
      </c>
    </row>
    <row r="397" spans="1:2" ht="15.75" customHeight="1">
      <c r="A397" s="211" t="s">
        <v>2104</v>
      </c>
      <c r="B397" s="212" t="s">
        <v>2105</v>
      </c>
    </row>
    <row r="398" spans="1:2" ht="15.75" customHeight="1">
      <c r="A398" s="211" t="s">
        <v>2106</v>
      </c>
      <c r="B398" s="212" t="s">
        <v>2107</v>
      </c>
    </row>
    <row r="399" spans="1:2" ht="15.75" customHeight="1">
      <c r="A399" s="211" t="s">
        <v>2108</v>
      </c>
      <c r="B399" s="212" t="s">
        <v>2109</v>
      </c>
    </row>
    <row r="400" spans="1:2" ht="15.75" customHeight="1">
      <c r="A400" s="211" t="s">
        <v>2110</v>
      </c>
      <c r="B400" s="212" t="s">
        <v>2111</v>
      </c>
    </row>
    <row r="401" spans="1:2" ht="15.75" customHeight="1">
      <c r="A401" s="211" t="s">
        <v>2112</v>
      </c>
      <c r="B401" s="212" t="s">
        <v>2113</v>
      </c>
    </row>
    <row r="402" spans="1:2" ht="15.75" customHeight="1">
      <c r="A402" s="211" t="s">
        <v>2114</v>
      </c>
      <c r="B402" s="212" t="s">
        <v>2115</v>
      </c>
    </row>
    <row r="403" spans="1:2" ht="15.75" customHeight="1">
      <c r="A403" s="211" t="s">
        <v>2116</v>
      </c>
      <c r="B403" s="212" t="s">
        <v>2117</v>
      </c>
    </row>
    <row r="404" spans="1:2" ht="15.75" customHeight="1">
      <c r="A404" s="211" t="s">
        <v>2118</v>
      </c>
      <c r="B404" s="212" t="s">
        <v>2119</v>
      </c>
    </row>
    <row r="405" spans="1:2" ht="15.75" customHeight="1">
      <c r="A405" s="211" t="s">
        <v>2120</v>
      </c>
      <c r="B405" s="212" t="s">
        <v>2121</v>
      </c>
    </row>
    <row r="406" spans="1:2" ht="15.75" customHeight="1">
      <c r="A406" s="211" t="s">
        <v>2122</v>
      </c>
      <c r="B406" s="212" t="s">
        <v>2123</v>
      </c>
    </row>
    <row r="407" spans="1:2" ht="15.75" customHeight="1">
      <c r="A407" s="211" t="s">
        <v>2124</v>
      </c>
      <c r="B407" s="212" t="s">
        <v>2125</v>
      </c>
    </row>
    <row r="408" spans="1:2" ht="15.75" customHeight="1">
      <c r="A408" s="211" t="s">
        <v>2126</v>
      </c>
      <c r="B408" s="212" t="s">
        <v>2127</v>
      </c>
    </row>
    <row r="409" spans="1:2" ht="15.75" customHeight="1">
      <c r="A409" s="211" t="s">
        <v>2128</v>
      </c>
      <c r="B409" s="212" t="s">
        <v>2129</v>
      </c>
    </row>
    <row r="410" spans="1:2" ht="15.75" customHeight="1">
      <c r="A410" s="211" t="s">
        <v>2130</v>
      </c>
      <c r="B410" s="212" t="s">
        <v>2131</v>
      </c>
    </row>
    <row r="411" spans="1:2" ht="15.75" customHeight="1">
      <c r="A411" s="211" t="s">
        <v>2132</v>
      </c>
      <c r="B411" s="212" t="s">
        <v>2133</v>
      </c>
    </row>
    <row r="412" spans="1:2" ht="15.75" customHeight="1">
      <c r="A412" s="211" t="s">
        <v>2134</v>
      </c>
      <c r="B412" s="212" t="s">
        <v>2135</v>
      </c>
    </row>
    <row r="413" spans="1:2" ht="15.75" customHeight="1">
      <c r="A413" s="211" t="s">
        <v>2136</v>
      </c>
      <c r="B413" s="212" t="s">
        <v>2137</v>
      </c>
    </row>
    <row r="414" spans="1:2" ht="15.75" customHeight="1">
      <c r="A414" s="211" t="s">
        <v>2138</v>
      </c>
      <c r="B414" s="212" t="s">
        <v>2139</v>
      </c>
    </row>
    <row r="415" spans="1:2" ht="15.75" customHeight="1">
      <c r="A415" s="211" t="s">
        <v>2140</v>
      </c>
      <c r="B415" s="212" t="s">
        <v>2141</v>
      </c>
    </row>
    <row r="416" spans="1:2" ht="15.75" customHeight="1">
      <c r="A416" s="211" t="s">
        <v>2142</v>
      </c>
      <c r="B416" s="212" t="s">
        <v>2143</v>
      </c>
    </row>
    <row r="417" spans="1:2" ht="15.75" customHeight="1">
      <c r="A417" s="211" t="s">
        <v>2144</v>
      </c>
      <c r="B417" s="212" t="s">
        <v>2145</v>
      </c>
    </row>
    <row r="418" spans="1:2" ht="15.75" customHeight="1">
      <c r="A418" s="211" t="s">
        <v>2146</v>
      </c>
      <c r="B418" s="212" t="s">
        <v>2147</v>
      </c>
    </row>
    <row r="419" spans="1:2" ht="15.75" customHeight="1">
      <c r="A419" s="211" t="s">
        <v>2148</v>
      </c>
      <c r="B419" s="212" t="s">
        <v>2149</v>
      </c>
    </row>
    <row r="420" spans="1:2" ht="15.75" customHeight="1">
      <c r="A420" s="211" t="s">
        <v>2150</v>
      </c>
      <c r="B420" s="212" t="s">
        <v>2151</v>
      </c>
    </row>
    <row r="421" spans="1:2" ht="15.75" customHeight="1">
      <c r="A421" s="211" t="s">
        <v>2152</v>
      </c>
      <c r="B421" s="212" t="s">
        <v>2153</v>
      </c>
    </row>
    <row r="422" spans="1:2" ht="15.75" customHeight="1">
      <c r="A422" s="211" t="s">
        <v>2154</v>
      </c>
      <c r="B422" s="212" t="s">
        <v>2155</v>
      </c>
    </row>
    <row r="423" spans="1:2" ht="15.75" customHeight="1">
      <c r="A423" s="211" t="s">
        <v>2156</v>
      </c>
      <c r="B423" s="212" t="s">
        <v>2157</v>
      </c>
    </row>
    <row r="424" spans="1:2" ht="15.75" customHeight="1">
      <c r="A424" s="211" t="s">
        <v>2158</v>
      </c>
      <c r="B424" s="212" t="s">
        <v>2159</v>
      </c>
    </row>
    <row r="425" spans="1:2" ht="15.75" customHeight="1">
      <c r="A425" s="211" t="s">
        <v>2160</v>
      </c>
      <c r="B425" s="212" t="s">
        <v>2161</v>
      </c>
    </row>
    <row r="426" spans="1:2" ht="15.75" customHeight="1">
      <c r="A426" s="211" t="s">
        <v>2162</v>
      </c>
      <c r="B426" s="212" t="s">
        <v>2163</v>
      </c>
    </row>
    <row r="427" spans="1:2" ht="15.75" customHeight="1">
      <c r="A427" s="211" t="s">
        <v>2164</v>
      </c>
      <c r="B427" s="212" t="s">
        <v>2165</v>
      </c>
    </row>
    <row r="428" spans="1:2" ht="15.75" customHeight="1">
      <c r="A428" s="211" t="s">
        <v>2166</v>
      </c>
      <c r="B428" s="212" t="s">
        <v>2167</v>
      </c>
    </row>
    <row r="429" spans="1:2" ht="15.75" customHeight="1">
      <c r="A429" s="211" t="s">
        <v>2168</v>
      </c>
      <c r="B429" s="212" t="s">
        <v>2169</v>
      </c>
    </row>
    <row r="430" spans="1:2" ht="15.75" customHeight="1">
      <c r="A430" s="211" t="s">
        <v>2170</v>
      </c>
      <c r="B430" s="212" t="s">
        <v>2171</v>
      </c>
    </row>
    <row r="431" spans="1:2" ht="15.75" customHeight="1">
      <c r="A431" s="211" t="s">
        <v>2172</v>
      </c>
      <c r="B431" s="212" t="s">
        <v>2173</v>
      </c>
    </row>
    <row r="432" spans="1:2" ht="15.75" customHeight="1">
      <c r="A432" s="211" t="s">
        <v>2174</v>
      </c>
      <c r="B432" s="212" t="s">
        <v>2175</v>
      </c>
    </row>
    <row r="433" spans="1:2" ht="15.75" customHeight="1">
      <c r="A433" s="211" t="s">
        <v>2176</v>
      </c>
      <c r="B433" s="212" t="s">
        <v>2177</v>
      </c>
    </row>
    <row r="434" spans="1:2" ht="15.75" customHeight="1">
      <c r="A434" s="211" t="s">
        <v>2178</v>
      </c>
      <c r="B434" s="212" t="s">
        <v>2179</v>
      </c>
    </row>
    <row r="435" spans="1:2" ht="15.75" customHeight="1">
      <c r="A435" s="211" t="s">
        <v>1297</v>
      </c>
      <c r="B435" s="212" t="s">
        <v>2180</v>
      </c>
    </row>
    <row r="436" spans="1:2" ht="15.75" customHeight="1">
      <c r="A436" s="211" t="s">
        <v>1276</v>
      </c>
      <c r="B436" s="212" t="s">
        <v>2181</v>
      </c>
    </row>
    <row r="437" spans="1:2" ht="15.75" customHeight="1">
      <c r="A437" s="211" t="s">
        <v>2182</v>
      </c>
      <c r="B437" s="212" t="s">
        <v>2183</v>
      </c>
    </row>
    <row r="438" spans="1:2" ht="15.75" customHeight="1">
      <c r="A438" s="211" t="s">
        <v>2184</v>
      </c>
      <c r="B438" s="212" t="s">
        <v>2185</v>
      </c>
    </row>
    <row r="439" spans="1:2" ht="15.75" customHeight="1">
      <c r="A439" s="211" t="s">
        <v>2186</v>
      </c>
      <c r="B439" s="212" t="s">
        <v>2187</v>
      </c>
    </row>
    <row r="440" spans="1:2" ht="15.75" customHeight="1">
      <c r="A440" s="211" t="s">
        <v>2188</v>
      </c>
      <c r="B440" s="212" t="s">
        <v>2189</v>
      </c>
    </row>
    <row r="441" spans="1:2" ht="15.75" customHeight="1">
      <c r="A441" s="211" t="s">
        <v>2190</v>
      </c>
      <c r="B441" s="212" t="s">
        <v>2191</v>
      </c>
    </row>
    <row r="442" spans="1:2" ht="15.75" customHeight="1">
      <c r="A442" s="211" t="s">
        <v>2192</v>
      </c>
      <c r="B442" s="212" t="s">
        <v>2193</v>
      </c>
    </row>
    <row r="443" spans="1:2" ht="15.75" customHeight="1">
      <c r="A443" s="211" t="s">
        <v>2194</v>
      </c>
      <c r="B443" s="212" t="s">
        <v>2195</v>
      </c>
    </row>
    <row r="444" spans="1:2" ht="15.75" customHeight="1">
      <c r="A444" s="211" t="s">
        <v>2196</v>
      </c>
      <c r="B444" s="212" t="s">
        <v>2197</v>
      </c>
    </row>
    <row r="445" spans="1:2" ht="15.75" customHeight="1">
      <c r="A445" s="211" t="s">
        <v>2198</v>
      </c>
      <c r="B445" s="212" t="s">
        <v>2199</v>
      </c>
    </row>
    <row r="446" spans="1:2" ht="15.75" customHeight="1">
      <c r="A446" s="211" t="s">
        <v>2200</v>
      </c>
      <c r="B446" s="212" t="s">
        <v>2201</v>
      </c>
    </row>
    <row r="447" spans="1:2" ht="15.75" customHeight="1">
      <c r="A447" s="211" t="s">
        <v>2202</v>
      </c>
      <c r="B447" s="212" t="s">
        <v>2203</v>
      </c>
    </row>
    <row r="448" spans="1:2" ht="15.75" customHeight="1">
      <c r="A448" s="211" t="s">
        <v>2204</v>
      </c>
      <c r="B448" s="212" t="s">
        <v>2205</v>
      </c>
    </row>
    <row r="449" spans="1:2" ht="15.75" customHeight="1">
      <c r="A449" s="211" t="s">
        <v>2206</v>
      </c>
      <c r="B449" s="212" t="s">
        <v>2207</v>
      </c>
    </row>
    <row r="450" spans="1:2" ht="15.75" customHeight="1">
      <c r="A450" s="211" t="s">
        <v>2208</v>
      </c>
      <c r="B450" s="212" t="s">
        <v>2209</v>
      </c>
    </row>
    <row r="451" spans="1:2" ht="15.75" customHeight="1">
      <c r="A451" s="211" t="s">
        <v>2210</v>
      </c>
      <c r="B451" s="212" t="s">
        <v>2211</v>
      </c>
    </row>
    <row r="452" spans="1:2" ht="15.75" customHeight="1">
      <c r="A452" s="211" t="s">
        <v>2212</v>
      </c>
      <c r="B452" s="212" t="s">
        <v>2213</v>
      </c>
    </row>
    <row r="453" spans="1:2" ht="15.75" customHeight="1">
      <c r="A453" s="211" t="s">
        <v>2214</v>
      </c>
      <c r="B453" s="212" t="s">
        <v>2215</v>
      </c>
    </row>
    <row r="454" spans="1:2" ht="15.75" customHeight="1">
      <c r="A454" s="211" t="s">
        <v>2216</v>
      </c>
      <c r="B454" s="212" t="s">
        <v>2217</v>
      </c>
    </row>
    <row r="455" spans="1:2" ht="15.75" customHeight="1">
      <c r="A455" s="211" t="s">
        <v>2218</v>
      </c>
      <c r="B455" s="212" t="s">
        <v>2219</v>
      </c>
    </row>
    <row r="456" spans="1:2" ht="15.75" customHeight="1">
      <c r="A456" s="211" t="s">
        <v>2220</v>
      </c>
      <c r="B456" s="212" t="s">
        <v>2221</v>
      </c>
    </row>
    <row r="457" spans="1:2" ht="15.75" customHeight="1">
      <c r="A457" s="211" t="s">
        <v>2222</v>
      </c>
      <c r="B457" s="212" t="s">
        <v>2223</v>
      </c>
    </row>
    <row r="458" spans="1:2" ht="15.75" customHeight="1">
      <c r="A458" s="211" t="s">
        <v>2224</v>
      </c>
      <c r="B458" s="212" t="s">
        <v>2225</v>
      </c>
    </row>
    <row r="459" spans="1:2" ht="15.75" customHeight="1">
      <c r="A459" s="211" t="s">
        <v>2226</v>
      </c>
      <c r="B459" s="212" t="s">
        <v>2227</v>
      </c>
    </row>
    <row r="460" spans="1:2" ht="15.75" customHeight="1">
      <c r="A460" s="211" t="s">
        <v>2228</v>
      </c>
      <c r="B460" s="212" t="s">
        <v>2229</v>
      </c>
    </row>
    <row r="461" spans="1:2" ht="15.75" customHeight="1">
      <c r="A461" s="211" t="s">
        <v>2230</v>
      </c>
      <c r="B461" s="212" t="s">
        <v>2231</v>
      </c>
    </row>
    <row r="462" spans="1:2" ht="15.75" customHeight="1">
      <c r="A462" s="211" t="s">
        <v>2232</v>
      </c>
      <c r="B462" s="212" t="s">
        <v>2233</v>
      </c>
    </row>
    <row r="463" spans="1:2" ht="15.75" customHeight="1">
      <c r="A463" s="211" t="s">
        <v>2234</v>
      </c>
      <c r="B463" s="212" t="s">
        <v>2235</v>
      </c>
    </row>
    <row r="464" spans="1:2" ht="15.75" customHeight="1">
      <c r="A464" s="211" t="s">
        <v>2236</v>
      </c>
      <c r="B464" s="212" t="s">
        <v>2237</v>
      </c>
    </row>
    <row r="465" spans="1:2" ht="15.75" customHeight="1">
      <c r="A465" s="211" t="s">
        <v>2238</v>
      </c>
      <c r="B465" s="212" t="s">
        <v>2239</v>
      </c>
    </row>
    <row r="466" spans="1:2" ht="15.75" customHeight="1">
      <c r="A466" s="211" t="s">
        <v>2240</v>
      </c>
      <c r="B466" s="212" t="s">
        <v>2241</v>
      </c>
    </row>
    <row r="467" spans="1:2" ht="15.75" customHeight="1">
      <c r="A467" s="211" t="s">
        <v>2242</v>
      </c>
      <c r="B467" s="212" t="s">
        <v>2243</v>
      </c>
    </row>
    <row r="468" spans="1:2" ht="15.75" customHeight="1">
      <c r="A468" s="211" t="s">
        <v>2244</v>
      </c>
      <c r="B468" s="212" t="s">
        <v>2245</v>
      </c>
    </row>
    <row r="469" spans="1:2" ht="15.75" customHeight="1">
      <c r="A469" s="211" t="s">
        <v>2246</v>
      </c>
      <c r="B469" s="212" t="s">
        <v>2247</v>
      </c>
    </row>
    <row r="470" spans="1:2" ht="15.75" customHeight="1">
      <c r="A470" s="211" t="s">
        <v>2248</v>
      </c>
      <c r="B470" s="212" t="s">
        <v>2249</v>
      </c>
    </row>
    <row r="471" spans="1:2" ht="15.75" customHeight="1">
      <c r="A471" s="211" t="s">
        <v>2250</v>
      </c>
      <c r="B471" s="212" t="s">
        <v>2251</v>
      </c>
    </row>
    <row r="472" spans="1:2" ht="15.75" customHeight="1">
      <c r="A472" s="211" t="s">
        <v>2252</v>
      </c>
      <c r="B472" s="212" t="s">
        <v>2253</v>
      </c>
    </row>
    <row r="473" spans="1:2" ht="15.75" customHeight="1">
      <c r="A473" s="211" t="s">
        <v>2254</v>
      </c>
      <c r="B473" s="212" t="s">
        <v>2255</v>
      </c>
    </row>
    <row r="474" spans="1:2" ht="15.75" customHeight="1">
      <c r="A474" s="211" t="s">
        <v>2256</v>
      </c>
      <c r="B474" s="212" t="s">
        <v>2257</v>
      </c>
    </row>
    <row r="475" spans="1:2" ht="15.75" customHeight="1">
      <c r="A475" s="211" t="s">
        <v>2258</v>
      </c>
      <c r="B475" s="212" t="s">
        <v>2259</v>
      </c>
    </row>
    <row r="476" spans="1:2" ht="15.75" customHeight="1">
      <c r="A476" s="211" t="s">
        <v>2260</v>
      </c>
      <c r="B476" s="212" t="s">
        <v>2261</v>
      </c>
    </row>
    <row r="477" spans="1:2" ht="15.75" customHeight="1">
      <c r="A477" s="211" t="s">
        <v>2262</v>
      </c>
      <c r="B477" s="212" t="s">
        <v>2263</v>
      </c>
    </row>
    <row r="478" spans="1:2" ht="15.75" customHeight="1">
      <c r="A478" s="211" t="s">
        <v>2264</v>
      </c>
      <c r="B478" s="212" t="s">
        <v>2265</v>
      </c>
    </row>
    <row r="479" spans="1:2" ht="15.75" customHeight="1">
      <c r="A479" s="211" t="s">
        <v>2266</v>
      </c>
      <c r="B479" s="212" t="s">
        <v>2267</v>
      </c>
    </row>
    <row r="480" spans="1:2" ht="15.75" customHeight="1">
      <c r="A480" s="211" t="s">
        <v>2268</v>
      </c>
      <c r="B480" s="212" t="s">
        <v>2269</v>
      </c>
    </row>
    <row r="481" spans="1:2" ht="15.75" customHeight="1">
      <c r="A481" s="211" t="s">
        <v>2270</v>
      </c>
      <c r="B481" s="212" t="s">
        <v>2271</v>
      </c>
    </row>
    <row r="482" spans="1:2" ht="15.75" customHeight="1">
      <c r="A482" s="211" t="s">
        <v>2272</v>
      </c>
      <c r="B482" s="212" t="s">
        <v>2273</v>
      </c>
    </row>
    <row r="483" spans="1:2" ht="15.75" customHeight="1">
      <c r="A483" s="211" t="s">
        <v>2274</v>
      </c>
      <c r="B483" s="212" t="s">
        <v>2275</v>
      </c>
    </row>
    <row r="484" spans="1:2" ht="15.75" customHeight="1">
      <c r="A484" s="211" t="s">
        <v>2276</v>
      </c>
      <c r="B484" s="212" t="s">
        <v>2277</v>
      </c>
    </row>
    <row r="485" spans="1:2" ht="15.75" customHeight="1">
      <c r="A485" s="211" t="s">
        <v>2278</v>
      </c>
      <c r="B485" s="212" t="s">
        <v>2279</v>
      </c>
    </row>
    <row r="486" spans="1:2" ht="15.75" customHeight="1">
      <c r="A486" s="211" t="s">
        <v>2280</v>
      </c>
      <c r="B486" s="212" t="s">
        <v>2281</v>
      </c>
    </row>
    <row r="487" spans="1:2" ht="15.75" customHeight="1">
      <c r="A487" s="211" t="s">
        <v>2282</v>
      </c>
      <c r="B487" s="212" t="s">
        <v>2283</v>
      </c>
    </row>
    <row r="488" spans="1:2" ht="15.75" customHeight="1">
      <c r="A488" s="211" t="s">
        <v>2284</v>
      </c>
      <c r="B488" s="212" t="s">
        <v>2285</v>
      </c>
    </row>
    <row r="489" spans="1:2" ht="15.75" customHeight="1">
      <c r="A489" s="211" t="s">
        <v>2286</v>
      </c>
      <c r="B489" s="212" t="s">
        <v>2287</v>
      </c>
    </row>
    <row r="490" spans="1:2" ht="15.75" customHeight="1">
      <c r="A490" s="211" t="s">
        <v>2288</v>
      </c>
      <c r="B490" s="212" t="s">
        <v>2289</v>
      </c>
    </row>
    <row r="491" spans="1:2" ht="15.75" customHeight="1">
      <c r="A491" s="211" t="s">
        <v>2290</v>
      </c>
      <c r="B491" s="212" t="s">
        <v>2291</v>
      </c>
    </row>
    <row r="492" spans="1:2" ht="15.75" customHeight="1">
      <c r="A492" s="211" t="s">
        <v>2292</v>
      </c>
      <c r="B492" s="212" t="s">
        <v>2293</v>
      </c>
    </row>
    <row r="493" spans="1:2" ht="15.75" customHeight="1">
      <c r="A493" s="211" t="s">
        <v>2294</v>
      </c>
      <c r="B493" s="212" t="s">
        <v>2295</v>
      </c>
    </row>
    <row r="494" spans="1:2" ht="15.75" customHeight="1">
      <c r="A494" s="211" t="s">
        <v>2296</v>
      </c>
      <c r="B494" s="212" t="s">
        <v>2297</v>
      </c>
    </row>
    <row r="495" spans="1:2" ht="15.75" customHeight="1">
      <c r="A495" s="211" t="s">
        <v>2298</v>
      </c>
      <c r="B495" s="212" t="s">
        <v>2299</v>
      </c>
    </row>
    <row r="496" spans="1:2" ht="15.75" customHeight="1">
      <c r="A496" s="211" t="s">
        <v>2300</v>
      </c>
      <c r="B496" s="212" t="s">
        <v>2301</v>
      </c>
    </row>
    <row r="497" spans="1:2" ht="15.75" customHeight="1">
      <c r="A497" s="211" t="s">
        <v>2302</v>
      </c>
      <c r="B497" s="212" t="s">
        <v>2303</v>
      </c>
    </row>
    <row r="498" spans="1:2" ht="15.75" customHeight="1">
      <c r="A498" s="211" t="s">
        <v>2304</v>
      </c>
      <c r="B498" s="212" t="s">
        <v>2305</v>
      </c>
    </row>
    <row r="499" spans="1:2" ht="15.75" customHeight="1">
      <c r="A499" s="211" t="s">
        <v>2306</v>
      </c>
      <c r="B499" s="212" t="s">
        <v>2307</v>
      </c>
    </row>
    <row r="500" spans="1:2" ht="15.75" customHeight="1">
      <c r="A500" s="211" t="s">
        <v>2308</v>
      </c>
      <c r="B500" s="212" t="s">
        <v>2309</v>
      </c>
    </row>
    <row r="501" spans="1:2" ht="15.75" customHeight="1">
      <c r="A501" s="211" t="s">
        <v>2310</v>
      </c>
      <c r="B501" s="212" t="s">
        <v>2311</v>
      </c>
    </row>
    <row r="502" spans="1:2" ht="15.75" customHeight="1">
      <c r="A502" s="211" t="s">
        <v>2312</v>
      </c>
      <c r="B502" s="212" t="s">
        <v>2313</v>
      </c>
    </row>
    <row r="503" spans="1:2" ht="15.75" customHeight="1">
      <c r="A503" s="211" t="s">
        <v>2314</v>
      </c>
      <c r="B503" s="212" t="s">
        <v>2315</v>
      </c>
    </row>
    <row r="504" spans="1:2" ht="15.75" customHeight="1">
      <c r="A504" s="211" t="s">
        <v>2316</v>
      </c>
      <c r="B504" s="212" t="s">
        <v>2317</v>
      </c>
    </row>
    <row r="505" spans="1:2" ht="15.75" customHeight="1">
      <c r="A505" s="211" t="s">
        <v>2318</v>
      </c>
      <c r="B505" s="212" t="s">
        <v>2319</v>
      </c>
    </row>
    <row r="506" spans="1:2" ht="15.75" customHeight="1">
      <c r="A506" s="211" t="s">
        <v>2320</v>
      </c>
      <c r="B506" s="212" t="s">
        <v>2321</v>
      </c>
    </row>
    <row r="507" spans="1:2" ht="15.75" customHeight="1">
      <c r="A507" s="211" t="s">
        <v>2322</v>
      </c>
      <c r="B507" s="212" t="s">
        <v>2323</v>
      </c>
    </row>
    <row r="508" spans="1:2" ht="15.75" customHeight="1">
      <c r="A508" s="211" t="s">
        <v>2324</v>
      </c>
      <c r="B508" s="212" t="s">
        <v>2325</v>
      </c>
    </row>
    <row r="509" spans="1:2" ht="15.75" customHeight="1">
      <c r="A509" s="211" t="s">
        <v>2326</v>
      </c>
      <c r="B509" s="212" t="s">
        <v>2327</v>
      </c>
    </row>
    <row r="510" spans="1:2" ht="15.75" customHeight="1">
      <c r="A510" s="211" t="s">
        <v>2328</v>
      </c>
      <c r="B510" s="212" t="s">
        <v>2329</v>
      </c>
    </row>
    <row r="511" spans="1:2" ht="15.75" customHeight="1">
      <c r="A511" s="211" t="s">
        <v>2330</v>
      </c>
      <c r="B511" s="212" t="s">
        <v>2331</v>
      </c>
    </row>
    <row r="512" spans="1:2" ht="15.75" customHeight="1">
      <c r="A512" s="211" t="s">
        <v>2332</v>
      </c>
      <c r="B512" s="212" t="s">
        <v>2333</v>
      </c>
    </row>
    <row r="513" spans="1:2" ht="15.75" customHeight="1">
      <c r="A513" s="211" t="s">
        <v>2334</v>
      </c>
      <c r="B513" s="212" t="s">
        <v>2335</v>
      </c>
    </row>
    <row r="514" spans="1:2" ht="15.75" customHeight="1">
      <c r="A514" s="211" t="s">
        <v>2336</v>
      </c>
      <c r="B514" s="212" t="s">
        <v>2337</v>
      </c>
    </row>
    <row r="515" spans="1:2" ht="15.75" customHeight="1">
      <c r="A515" s="211" t="s">
        <v>2338</v>
      </c>
      <c r="B515" s="212" t="s">
        <v>2339</v>
      </c>
    </row>
    <row r="516" spans="1:2" ht="15.75" customHeight="1">
      <c r="A516" s="211" t="s">
        <v>2340</v>
      </c>
      <c r="B516" s="212" t="s">
        <v>2341</v>
      </c>
    </row>
    <row r="517" spans="1:2" ht="15.75" customHeight="1">
      <c r="A517" s="211" t="s">
        <v>2342</v>
      </c>
      <c r="B517" s="212" t="s">
        <v>2343</v>
      </c>
    </row>
    <row r="518" spans="1:2" ht="15.75" customHeight="1">
      <c r="A518" s="211" t="s">
        <v>2344</v>
      </c>
      <c r="B518" s="212" t="s">
        <v>2345</v>
      </c>
    </row>
    <row r="519" spans="1:2" ht="15.75" customHeight="1">
      <c r="A519" s="211" t="s">
        <v>2346</v>
      </c>
      <c r="B519" s="212" t="s">
        <v>2347</v>
      </c>
    </row>
    <row r="520" spans="1:2" ht="15.75" customHeight="1">
      <c r="A520" s="211" t="s">
        <v>2348</v>
      </c>
      <c r="B520" s="212" t="s">
        <v>2349</v>
      </c>
    </row>
    <row r="521" spans="1:2" ht="15.75" customHeight="1">
      <c r="A521" s="211" t="s">
        <v>2350</v>
      </c>
      <c r="B521" s="212" t="s">
        <v>2351</v>
      </c>
    </row>
    <row r="522" spans="1:2" ht="15.75" customHeight="1">
      <c r="A522" s="211" t="s">
        <v>2352</v>
      </c>
      <c r="B522" s="212" t="s">
        <v>2353</v>
      </c>
    </row>
    <row r="523" spans="1:2" ht="15.75" customHeight="1">
      <c r="A523" s="211" t="s">
        <v>2354</v>
      </c>
      <c r="B523" s="212" t="s">
        <v>2355</v>
      </c>
    </row>
    <row r="524" spans="1:2" ht="15.75" customHeight="1">
      <c r="A524" s="211" t="s">
        <v>2356</v>
      </c>
      <c r="B524" s="212" t="s">
        <v>2357</v>
      </c>
    </row>
    <row r="525" spans="1:2" ht="15.75" customHeight="1">
      <c r="A525" s="211" t="s">
        <v>2358</v>
      </c>
      <c r="B525" s="212" t="s">
        <v>2359</v>
      </c>
    </row>
    <row r="526" spans="1:2" ht="15.75" customHeight="1">
      <c r="A526" s="211" t="s">
        <v>2360</v>
      </c>
      <c r="B526" s="212" t="s">
        <v>2361</v>
      </c>
    </row>
    <row r="527" spans="1:2" ht="15.75" customHeight="1">
      <c r="A527" s="211" t="s">
        <v>2362</v>
      </c>
      <c r="B527" s="212" t="s">
        <v>2363</v>
      </c>
    </row>
    <row r="528" spans="1:2" ht="15.75" customHeight="1">
      <c r="A528" s="211" t="s">
        <v>2364</v>
      </c>
      <c r="B528" s="212" t="s">
        <v>2365</v>
      </c>
    </row>
    <row r="529" spans="1:2" ht="15.75" customHeight="1">
      <c r="A529" s="211" t="s">
        <v>2366</v>
      </c>
      <c r="B529" s="212" t="s">
        <v>2367</v>
      </c>
    </row>
    <row r="530" spans="1:2" ht="15.75" customHeight="1">
      <c r="A530" s="211" t="s">
        <v>2368</v>
      </c>
      <c r="B530" s="212" t="s">
        <v>2369</v>
      </c>
    </row>
    <row r="531" spans="1:2" ht="15.75" customHeight="1">
      <c r="A531" s="211" t="s">
        <v>2370</v>
      </c>
      <c r="B531" s="212" t="s">
        <v>2371</v>
      </c>
    </row>
    <row r="532" spans="1:2" ht="15.75" customHeight="1">
      <c r="A532" s="211" t="s">
        <v>2372</v>
      </c>
      <c r="B532" s="212" t="s">
        <v>2373</v>
      </c>
    </row>
    <row r="533" spans="1:2" ht="15.75" customHeight="1">
      <c r="A533" s="211" t="s">
        <v>2374</v>
      </c>
      <c r="B533" s="212" t="s">
        <v>2375</v>
      </c>
    </row>
    <row r="534" spans="1:2" ht="15.75" customHeight="1">
      <c r="A534" s="211" t="s">
        <v>2376</v>
      </c>
      <c r="B534" s="212" t="s">
        <v>2377</v>
      </c>
    </row>
    <row r="535" spans="1:2" ht="15.75" customHeight="1">
      <c r="A535" s="211" t="s">
        <v>2378</v>
      </c>
      <c r="B535" s="212" t="s">
        <v>2379</v>
      </c>
    </row>
    <row r="536" spans="1:2" ht="15.75" customHeight="1">
      <c r="A536" s="211" t="s">
        <v>2380</v>
      </c>
      <c r="B536" s="212" t="s">
        <v>2381</v>
      </c>
    </row>
    <row r="537" spans="1:2" ht="15.75" customHeight="1">
      <c r="A537" s="211" t="s">
        <v>2382</v>
      </c>
      <c r="B537" s="212" t="s">
        <v>2383</v>
      </c>
    </row>
    <row r="538" spans="1:2" ht="15.75" customHeight="1">
      <c r="A538" s="211" t="s">
        <v>2384</v>
      </c>
      <c r="B538" s="212" t="s">
        <v>2133</v>
      </c>
    </row>
    <row r="539" spans="1:2" ht="15.75" customHeight="1">
      <c r="A539" s="211" t="s">
        <v>2385</v>
      </c>
      <c r="B539" s="212" t="s">
        <v>2386</v>
      </c>
    </row>
    <row r="540" spans="1:2" ht="15.75" customHeight="1">
      <c r="A540" s="211" t="s">
        <v>2387</v>
      </c>
      <c r="B540" s="212" t="s">
        <v>2388</v>
      </c>
    </row>
    <row r="541" spans="1:2" ht="15.75" customHeight="1">
      <c r="A541" s="211" t="s">
        <v>2389</v>
      </c>
      <c r="B541" s="212" t="s">
        <v>2390</v>
      </c>
    </row>
    <row r="542" spans="1:2" ht="15.75" customHeight="1">
      <c r="A542" s="211" t="s">
        <v>2391</v>
      </c>
      <c r="B542" s="212" t="s">
        <v>2392</v>
      </c>
    </row>
    <row r="543" spans="1:2" ht="15.75" customHeight="1">
      <c r="A543" s="211" t="s">
        <v>2393</v>
      </c>
      <c r="B543" s="212" t="s">
        <v>2394</v>
      </c>
    </row>
    <row r="544" spans="1:2" ht="15.75" customHeight="1">
      <c r="A544" s="211" t="s">
        <v>2395</v>
      </c>
      <c r="B544" s="212" t="s">
        <v>2396</v>
      </c>
    </row>
    <row r="545" spans="1:2" ht="15.75" customHeight="1">
      <c r="A545" s="211" t="s">
        <v>2397</v>
      </c>
      <c r="B545" s="212" t="s">
        <v>2398</v>
      </c>
    </row>
    <row r="546" spans="1:2" ht="15.75" customHeight="1">
      <c r="A546" s="211" t="s">
        <v>2399</v>
      </c>
      <c r="B546" s="212" t="s">
        <v>2400</v>
      </c>
    </row>
    <row r="547" spans="1:2" ht="15.75" customHeight="1">
      <c r="A547" s="211" t="s">
        <v>2401</v>
      </c>
      <c r="B547" s="212" t="s">
        <v>2402</v>
      </c>
    </row>
    <row r="548" spans="1:2" ht="15.75" customHeight="1">
      <c r="A548" s="211" t="s">
        <v>2403</v>
      </c>
      <c r="B548" s="212" t="s">
        <v>2404</v>
      </c>
    </row>
    <row r="549" spans="1:2" ht="15.75" customHeight="1">
      <c r="A549" s="211" t="s">
        <v>2405</v>
      </c>
      <c r="B549" s="212" t="s">
        <v>2406</v>
      </c>
    </row>
    <row r="550" spans="1:2" ht="15.75" customHeight="1">
      <c r="A550" s="211" t="s">
        <v>2407</v>
      </c>
      <c r="B550" s="212" t="s">
        <v>2408</v>
      </c>
    </row>
    <row r="551" spans="1:2" ht="15.75" customHeight="1">
      <c r="A551" s="211" t="s">
        <v>2409</v>
      </c>
      <c r="B551" s="212" t="s">
        <v>2410</v>
      </c>
    </row>
    <row r="552" spans="1:2" ht="15.75" customHeight="1">
      <c r="A552" s="211" t="s">
        <v>2411</v>
      </c>
      <c r="B552" s="212" t="s">
        <v>2412</v>
      </c>
    </row>
    <row r="553" spans="1:2" ht="15.75" customHeight="1">
      <c r="A553" s="211" t="s">
        <v>2413</v>
      </c>
      <c r="B553" s="212" t="s">
        <v>2414</v>
      </c>
    </row>
    <row r="554" spans="1:2" ht="15.75" customHeight="1">
      <c r="A554" s="211" t="s">
        <v>2415</v>
      </c>
      <c r="B554" s="212" t="s">
        <v>2416</v>
      </c>
    </row>
    <row r="555" spans="1:2" ht="15.75" customHeight="1">
      <c r="A555" s="211" t="s">
        <v>2417</v>
      </c>
      <c r="B555" s="212" t="s">
        <v>2418</v>
      </c>
    </row>
    <row r="556" spans="1:2" ht="15.75" customHeight="1">
      <c r="A556" s="211" t="s">
        <v>2419</v>
      </c>
      <c r="B556" s="212" t="s">
        <v>2420</v>
      </c>
    </row>
    <row r="557" spans="1:2" ht="15.75" customHeight="1">
      <c r="A557" s="211" t="s">
        <v>2421</v>
      </c>
      <c r="B557" s="212" t="s">
        <v>2422</v>
      </c>
    </row>
    <row r="558" spans="1:2" ht="15.75" customHeight="1">
      <c r="A558" s="211" t="s">
        <v>2423</v>
      </c>
      <c r="B558" s="212" t="s">
        <v>2424</v>
      </c>
    </row>
    <row r="559" spans="1:2" ht="15.75" customHeight="1">
      <c r="A559" s="211" t="s">
        <v>2425</v>
      </c>
      <c r="B559" s="212" t="s">
        <v>2426</v>
      </c>
    </row>
    <row r="560" spans="1:2" ht="15.75" customHeight="1">
      <c r="A560" s="211" t="s">
        <v>2427</v>
      </c>
      <c r="B560" s="212" t="s">
        <v>2428</v>
      </c>
    </row>
    <row r="561" spans="1:2" ht="15.75" customHeight="1">
      <c r="A561" s="211" t="s">
        <v>2429</v>
      </c>
      <c r="B561" s="212" t="s">
        <v>2430</v>
      </c>
    </row>
    <row r="562" spans="1:2" ht="15.75" customHeight="1">
      <c r="A562" s="211" t="s">
        <v>2431</v>
      </c>
      <c r="B562" s="212" t="s">
        <v>2432</v>
      </c>
    </row>
    <row r="563" spans="1:2" ht="15.75" customHeight="1">
      <c r="A563" s="211" t="s">
        <v>2433</v>
      </c>
      <c r="B563" s="212" t="s">
        <v>2434</v>
      </c>
    </row>
    <row r="564" spans="1:2" ht="15.75" customHeight="1">
      <c r="A564" s="211" t="s">
        <v>2435</v>
      </c>
      <c r="B564" s="212" t="s">
        <v>2436</v>
      </c>
    </row>
    <row r="565" spans="1:2" ht="15.75" customHeight="1">
      <c r="A565" s="211" t="s">
        <v>2437</v>
      </c>
      <c r="B565" s="212" t="s">
        <v>2438</v>
      </c>
    </row>
    <row r="566" spans="1:2" ht="15.75" customHeight="1">
      <c r="A566" s="211" t="s">
        <v>2439</v>
      </c>
      <c r="B566" s="212" t="s">
        <v>2440</v>
      </c>
    </row>
    <row r="567" spans="1:2" ht="15.75" customHeight="1">
      <c r="A567" s="211" t="s">
        <v>2441</v>
      </c>
      <c r="B567" s="212" t="s">
        <v>2442</v>
      </c>
    </row>
    <row r="568" spans="1:2" ht="15.75" customHeight="1">
      <c r="A568" s="211" t="s">
        <v>2443</v>
      </c>
      <c r="B568" s="212" t="s">
        <v>2444</v>
      </c>
    </row>
    <row r="569" spans="1:2" ht="15.75" customHeight="1">
      <c r="A569" s="211" t="s">
        <v>2445</v>
      </c>
      <c r="B569" s="212" t="s">
        <v>2446</v>
      </c>
    </row>
    <row r="570" spans="1:2" ht="15.75" customHeight="1">
      <c r="A570" s="211" t="s">
        <v>2447</v>
      </c>
      <c r="B570" s="212" t="s">
        <v>2448</v>
      </c>
    </row>
    <row r="571" spans="1:2" ht="15.75" customHeight="1">
      <c r="A571" s="211" t="s">
        <v>2449</v>
      </c>
      <c r="B571" s="212" t="s">
        <v>2450</v>
      </c>
    </row>
    <row r="572" spans="1:2" ht="15.75" customHeight="1">
      <c r="A572" s="211" t="s">
        <v>2451</v>
      </c>
      <c r="B572" s="212" t="s">
        <v>2297</v>
      </c>
    </row>
    <row r="573" spans="1:2" ht="15.75" customHeight="1">
      <c r="A573" s="211" t="s">
        <v>2452</v>
      </c>
      <c r="B573" s="212" t="s">
        <v>2453</v>
      </c>
    </row>
    <row r="574" spans="1:2" ht="15.75" customHeight="1">
      <c r="A574" s="211" t="s">
        <v>2454</v>
      </c>
      <c r="B574" s="212" t="s">
        <v>2455</v>
      </c>
    </row>
    <row r="575" spans="1:2" ht="15.75" customHeight="1">
      <c r="A575" s="211" t="s">
        <v>2456</v>
      </c>
      <c r="B575" s="212" t="s">
        <v>2457</v>
      </c>
    </row>
    <row r="576" spans="1:2" ht="15.75" customHeight="1">
      <c r="A576" s="211" t="s">
        <v>2458</v>
      </c>
      <c r="B576" s="212" t="s">
        <v>2459</v>
      </c>
    </row>
    <row r="577" spans="1:2" ht="15.75" customHeight="1">
      <c r="A577" s="211" t="s">
        <v>2460</v>
      </c>
      <c r="B577" s="212" t="s">
        <v>2461</v>
      </c>
    </row>
    <row r="578" spans="1:2" ht="15.75" customHeight="1">
      <c r="A578" s="211" t="s">
        <v>2462</v>
      </c>
      <c r="B578" s="212" t="s">
        <v>2463</v>
      </c>
    </row>
    <row r="579" spans="1:2" ht="15.75" customHeight="1">
      <c r="A579" s="211" t="s">
        <v>2464</v>
      </c>
      <c r="B579" s="212" t="s">
        <v>2465</v>
      </c>
    </row>
    <row r="580" spans="1:2" ht="15.75" customHeight="1">
      <c r="A580" s="211" t="s">
        <v>2466</v>
      </c>
      <c r="B580" s="212" t="s">
        <v>2467</v>
      </c>
    </row>
    <row r="581" spans="1:2" ht="15.75" customHeight="1">
      <c r="A581" s="211" t="s">
        <v>2468</v>
      </c>
      <c r="B581" s="212" t="s">
        <v>2469</v>
      </c>
    </row>
    <row r="582" spans="1:2" ht="15.75" customHeight="1">
      <c r="A582" s="211" t="s">
        <v>2470</v>
      </c>
      <c r="B582" s="212" t="s">
        <v>2471</v>
      </c>
    </row>
    <row r="583" spans="1:2" ht="15.75" customHeight="1">
      <c r="A583" s="211" t="s">
        <v>2472</v>
      </c>
      <c r="B583" s="212" t="s">
        <v>2473</v>
      </c>
    </row>
    <row r="584" spans="1:2" ht="15.75" customHeight="1">
      <c r="A584" s="211" t="s">
        <v>2474</v>
      </c>
      <c r="B584" s="212" t="s">
        <v>2475</v>
      </c>
    </row>
    <row r="585" spans="1:2" ht="15.75" customHeight="1">
      <c r="A585" s="211" t="s">
        <v>2476</v>
      </c>
      <c r="B585" s="212" t="s">
        <v>2477</v>
      </c>
    </row>
    <row r="586" spans="1:2" ht="15.75" customHeight="1">
      <c r="A586" s="211" t="s">
        <v>2478</v>
      </c>
      <c r="B586" s="212" t="s">
        <v>2479</v>
      </c>
    </row>
    <row r="587" spans="1:2" ht="15.75" customHeight="1">
      <c r="A587" s="211" t="s">
        <v>1312</v>
      </c>
      <c r="B587" s="212" t="s">
        <v>2480</v>
      </c>
    </row>
    <row r="588" spans="1:2" ht="15.75" customHeight="1">
      <c r="A588" s="211" t="s">
        <v>1282</v>
      </c>
      <c r="B588" s="212" t="s">
        <v>2481</v>
      </c>
    </row>
    <row r="589" spans="1:2" ht="15.75" customHeight="1">
      <c r="A589" s="211" t="s">
        <v>2482</v>
      </c>
      <c r="B589" s="212" t="s">
        <v>1438</v>
      </c>
    </row>
    <row r="590" spans="1:2" ht="15.75" customHeight="1">
      <c r="A590" s="211" t="s">
        <v>2483</v>
      </c>
      <c r="B590" s="212" t="s">
        <v>2484</v>
      </c>
    </row>
    <row r="591" spans="1:2" ht="15.75" customHeight="1">
      <c r="A591" s="211" t="s">
        <v>2485</v>
      </c>
      <c r="B591" s="212" t="s">
        <v>1418</v>
      </c>
    </row>
    <row r="592" spans="1:2" ht="15.75" customHeight="1">
      <c r="A592" s="211" t="s">
        <v>2486</v>
      </c>
      <c r="B592" s="212" t="s">
        <v>2487</v>
      </c>
    </row>
    <row r="593" spans="1:2" ht="15.75" customHeight="1">
      <c r="A593" s="211" t="s">
        <v>2488</v>
      </c>
      <c r="B593" s="212" t="s">
        <v>2489</v>
      </c>
    </row>
    <row r="594" spans="1:2" ht="15.75" customHeight="1">
      <c r="A594" s="211" t="s">
        <v>2490</v>
      </c>
      <c r="B594" s="212" t="s">
        <v>2491</v>
      </c>
    </row>
    <row r="595" spans="1:2" ht="15.75" customHeight="1">
      <c r="A595" s="211" t="s">
        <v>2492</v>
      </c>
      <c r="B595" s="212" t="s">
        <v>2493</v>
      </c>
    </row>
    <row r="596" spans="1:2" ht="15.75" customHeight="1">
      <c r="A596" s="211" t="s">
        <v>2494</v>
      </c>
      <c r="B596" s="212" t="s">
        <v>2495</v>
      </c>
    </row>
    <row r="597" spans="1:2" ht="15.75" customHeight="1">
      <c r="A597" s="211" t="s">
        <v>2496</v>
      </c>
      <c r="B597" s="212" t="s">
        <v>2497</v>
      </c>
    </row>
    <row r="598" spans="1:2" ht="15.75" customHeight="1">
      <c r="A598" s="211" t="s">
        <v>2498</v>
      </c>
      <c r="B598" s="212" t="s">
        <v>2499</v>
      </c>
    </row>
    <row r="599" spans="1:2" ht="15.75" customHeight="1">
      <c r="A599" s="211" t="s">
        <v>2500</v>
      </c>
      <c r="B599" s="212" t="s">
        <v>2501</v>
      </c>
    </row>
    <row r="600" spans="1:2" ht="15.75" customHeight="1">
      <c r="A600" s="211" t="s">
        <v>2502</v>
      </c>
      <c r="B600" s="212" t="s">
        <v>2503</v>
      </c>
    </row>
    <row r="601" spans="1:2" ht="15.75" customHeight="1">
      <c r="A601" s="211" t="s">
        <v>2504</v>
      </c>
      <c r="B601" s="212" t="s">
        <v>2505</v>
      </c>
    </row>
    <row r="602" spans="1:2" ht="15.75" customHeight="1">
      <c r="A602" s="211" t="s">
        <v>2506</v>
      </c>
      <c r="B602" s="212" t="s">
        <v>2507</v>
      </c>
    </row>
    <row r="603" spans="1:2" ht="15.75" customHeight="1">
      <c r="A603" s="211" t="s">
        <v>2508</v>
      </c>
      <c r="B603" s="212" t="s">
        <v>2509</v>
      </c>
    </row>
    <row r="604" spans="1:2" ht="15.75" customHeight="1">
      <c r="A604" s="211" t="s">
        <v>2510</v>
      </c>
      <c r="B604" s="212" t="s">
        <v>2511</v>
      </c>
    </row>
    <row r="605" spans="1:2" ht="15.75" customHeight="1">
      <c r="A605" s="211" t="s">
        <v>2512</v>
      </c>
      <c r="B605" s="212" t="s">
        <v>2513</v>
      </c>
    </row>
    <row r="606" spans="1:2" ht="15.75" customHeight="1">
      <c r="A606" s="211" t="s">
        <v>2514</v>
      </c>
      <c r="B606" s="212" t="s">
        <v>2515</v>
      </c>
    </row>
    <row r="607" spans="1:2" ht="15.75" customHeight="1">
      <c r="A607" s="211" t="s">
        <v>2516</v>
      </c>
      <c r="B607" s="212" t="s">
        <v>2517</v>
      </c>
    </row>
    <row r="608" spans="1:2" ht="15.75" customHeight="1">
      <c r="A608" s="211" t="s">
        <v>2518</v>
      </c>
      <c r="B608" s="212" t="s">
        <v>2519</v>
      </c>
    </row>
    <row r="609" spans="1:2" ht="15.75" customHeight="1">
      <c r="A609" s="211" t="s">
        <v>2520</v>
      </c>
      <c r="B609" s="212" t="s">
        <v>2521</v>
      </c>
    </row>
    <row r="610" spans="1:2" ht="15.75" customHeight="1">
      <c r="A610" s="211" t="s">
        <v>2522</v>
      </c>
      <c r="B610" s="212" t="s">
        <v>2523</v>
      </c>
    </row>
    <row r="611" spans="1:2" ht="15.75" customHeight="1">
      <c r="A611" s="211" t="s">
        <v>2524</v>
      </c>
      <c r="B611" s="212" t="s">
        <v>2525</v>
      </c>
    </row>
    <row r="612" spans="1:2" ht="15.75" customHeight="1">
      <c r="A612" s="211" t="s">
        <v>2526</v>
      </c>
      <c r="B612" s="212" t="s">
        <v>2527</v>
      </c>
    </row>
    <row r="613" spans="1:2" ht="15.75" customHeight="1">
      <c r="A613" s="211" t="s">
        <v>2528</v>
      </c>
      <c r="B613" s="212" t="s">
        <v>2529</v>
      </c>
    </row>
    <row r="614" spans="1:2" ht="15.75" customHeight="1">
      <c r="A614" s="211" t="s">
        <v>2530</v>
      </c>
      <c r="B614" s="212" t="s">
        <v>2531</v>
      </c>
    </row>
    <row r="615" spans="1:2" ht="15.75" customHeight="1">
      <c r="A615" s="211" t="s">
        <v>2532</v>
      </c>
      <c r="B615" s="212" t="s">
        <v>2533</v>
      </c>
    </row>
    <row r="616" spans="1:2" ht="15.75" customHeight="1">
      <c r="A616" s="211" t="s">
        <v>2534</v>
      </c>
      <c r="B616" s="212" t="s">
        <v>2535</v>
      </c>
    </row>
    <row r="617" spans="1:2" ht="15.75" customHeight="1">
      <c r="A617" s="211" t="s">
        <v>2536</v>
      </c>
      <c r="B617" s="212" t="s">
        <v>2537</v>
      </c>
    </row>
    <row r="618" spans="1:2" ht="15.75" customHeight="1">
      <c r="A618" s="211" t="s">
        <v>2538</v>
      </c>
      <c r="B618" s="212" t="s">
        <v>2539</v>
      </c>
    </row>
    <row r="619" spans="1:2" ht="15.75" customHeight="1">
      <c r="A619" s="211" t="s">
        <v>2540</v>
      </c>
      <c r="B619" s="212" t="s">
        <v>2541</v>
      </c>
    </row>
    <row r="620" spans="1:2" ht="15.75" customHeight="1">
      <c r="A620" s="211" t="s">
        <v>2542</v>
      </c>
      <c r="B620" s="212" t="s">
        <v>2543</v>
      </c>
    </row>
    <row r="621" spans="1:2" ht="15.75" customHeight="1">
      <c r="A621" s="211" t="s">
        <v>2544</v>
      </c>
      <c r="B621" s="212" t="s">
        <v>2545</v>
      </c>
    </row>
    <row r="622" spans="1:2" ht="15.75" customHeight="1">
      <c r="A622" s="211" t="s">
        <v>2546</v>
      </c>
      <c r="B622" s="212" t="s">
        <v>2547</v>
      </c>
    </row>
    <row r="623" spans="1:2" ht="15.75" customHeight="1">
      <c r="A623" s="211" t="s">
        <v>2548</v>
      </c>
      <c r="B623" s="212" t="s">
        <v>2549</v>
      </c>
    </row>
    <row r="624" spans="1:2" ht="15.75" customHeight="1">
      <c r="A624" s="211" t="s">
        <v>2550</v>
      </c>
      <c r="B624" s="212" t="s">
        <v>2551</v>
      </c>
    </row>
    <row r="625" spans="1:2" ht="15.75" customHeight="1">
      <c r="A625" s="211" t="s">
        <v>2552</v>
      </c>
      <c r="B625" s="212" t="s">
        <v>2553</v>
      </c>
    </row>
    <row r="626" spans="1:2" ht="15.75" customHeight="1">
      <c r="A626" s="211" t="s">
        <v>2554</v>
      </c>
      <c r="B626" s="212" t="s">
        <v>2555</v>
      </c>
    </row>
    <row r="627" spans="1:2" ht="15.75" customHeight="1">
      <c r="A627" s="211" t="s">
        <v>2556</v>
      </c>
      <c r="B627" s="212" t="s">
        <v>2557</v>
      </c>
    </row>
    <row r="628" spans="1:2" ht="15.75" customHeight="1">
      <c r="A628" s="211" t="s">
        <v>2558</v>
      </c>
      <c r="B628" s="212" t="s">
        <v>2559</v>
      </c>
    </row>
    <row r="629" spans="1:2" ht="15.75" customHeight="1">
      <c r="A629" s="211" t="s">
        <v>2560</v>
      </c>
      <c r="B629" s="212" t="s">
        <v>2561</v>
      </c>
    </row>
    <row r="630" spans="1:2" ht="15.75" customHeight="1">
      <c r="A630" s="211" t="s">
        <v>2562</v>
      </c>
      <c r="B630" s="212" t="s">
        <v>2563</v>
      </c>
    </row>
    <row r="631" spans="1:2" ht="15.75" customHeight="1">
      <c r="A631" s="211" t="s">
        <v>2564</v>
      </c>
      <c r="B631" s="212" t="s">
        <v>2565</v>
      </c>
    </row>
    <row r="632" spans="1:2" ht="15.75" customHeight="1">
      <c r="A632" s="211" t="s">
        <v>2566</v>
      </c>
      <c r="B632" s="212" t="s">
        <v>2567</v>
      </c>
    </row>
    <row r="633" spans="1:2" ht="15.75" customHeight="1">
      <c r="A633" s="211" t="s">
        <v>2568</v>
      </c>
      <c r="B633" s="212" t="s">
        <v>2569</v>
      </c>
    </row>
    <row r="634" spans="1:2" ht="15.75" customHeight="1">
      <c r="A634" s="211" t="s">
        <v>2570</v>
      </c>
      <c r="B634" s="212" t="s">
        <v>2571</v>
      </c>
    </row>
    <row r="635" spans="1:2" ht="15.75" customHeight="1">
      <c r="A635" s="211" t="s">
        <v>2572</v>
      </c>
      <c r="B635" s="212" t="s">
        <v>2573</v>
      </c>
    </row>
    <row r="636" spans="1:2" ht="15.75" customHeight="1">
      <c r="A636" s="211" t="s">
        <v>2574</v>
      </c>
      <c r="B636" s="212" t="s">
        <v>2575</v>
      </c>
    </row>
    <row r="637" spans="1:2" ht="15.75" customHeight="1">
      <c r="A637" s="211" t="s">
        <v>2576</v>
      </c>
      <c r="B637" s="212" t="s">
        <v>2577</v>
      </c>
    </row>
    <row r="638" spans="1:2" ht="15.75" customHeight="1">
      <c r="A638" s="211" t="s">
        <v>2578</v>
      </c>
      <c r="B638" s="212" t="s">
        <v>2579</v>
      </c>
    </row>
    <row r="639" spans="1:2" ht="15.75" customHeight="1">
      <c r="A639" s="211" t="s">
        <v>2580</v>
      </c>
      <c r="B639" s="212" t="s">
        <v>2581</v>
      </c>
    </row>
    <row r="640" spans="1:2" ht="15.75" customHeight="1">
      <c r="A640" s="211" t="s">
        <v>2582</v>
      </c>
      <c r="B640" s="212" t="s">
        <v>2583</v>
      </c>
    </row>
    <row r="641" spans="1:2" ht="15.75" customHeight="1">
      <c r="A641" s="211" t="s">
        <v>2584</v>
      </c>
      <c r="B641" s="212" t="s">
        <v>2585</v>
      </c>
    </row>
    <row r="642" spans="1:2" ht="15.75" customHeight="1">
      <c r="A642" s="211" t="s">
        <v>2586</v>
      </c>
      <c r="B642" s="212" t="s">
        <v>2587</v>
      </c>
    </row>
    <row r="643" spans="1:2" ht="15.75" customHeight="1">
      <c r="A643" s="211" t="s">
        <v>2588</v>
      </c>
      <c r="B643" s="212" t="s">
        <v>2589</v>
      </c>
    </row>
    <row r="644" spans="1:2" ht="15.75" customHeight="1">
      <c r="A644" s="211" t="s">
        <v>2590</v>
      </c>
      <c r="B644" s="212" t="s">
        <v>2591</v>
      </c>
    </row>
    <row r="645" spans="1:2" ht="15.75" customHeight="1">
      <c r="A645" s="211" t="s">
        <v>2592</v>
      </c>
      <c r="B645" s="212" t="s">
        <v>2593</v>
      </c>
    </row>
    <row r="646" spans="1:2" ht="15.75" customHeight="1">
      <c r="A646" s="211" t="s">
        <v>2594</v>
      </c>
      <c r="B646" s="212" t="s">
        <v>2595</v>
      </c>
    </row>
    <row r="647" spans="1:2" ht="15.75" customHeight="1">
      <c r="A647" s="211" t="s">
        <v>2596</v>
      </c>
      <c r="B647" s="212" t="s">
        <v>2597</v>
      </c>
    </row>
    <row r="648" spans="1:2" ht="15.75" customHeight="1">
      <c r="A648" s="211" t="s">
        <v>2598</v>
      </c>
      <c r="B648" s="212" t="s">
        <v>2599</v>
      </c>
    </row>
    <row r="649" spans="1:2" ht="15.75" customHeight="1">
      <c r="A649" s="211" t="s">
        <v>2600</v>
      </c>
      <c r="B649" s="212" t="s">
        <v>2601</v>
      </c>
    </row>
    <row r="650" spans="1:2" ht="15.75" customHeight="1">
      <c r="A650" s="211" t="s">
        <v>2602</v>
      </c>
      <c r="B650" s="212" t="s">
        <v>2603</v>
      </c>
    </row>
    <row r="651" spans="1:2" ht="15.75" customHeight="1">
      <c r="A651" s="211" t="s">
        <v>2604</v>
      </c>
      <c r="B651" s="212" t="s">
        <v>2605</v>
      </c>
    </row>
    <row r="652" spans="1:2" ht="15.75" customHeight="1">
      <c r="A652" s="211" t="s">
        <v>2606</v>
      </c>
      <c r="B652" s="212" t="s">
        <v>2607</v>
      </c>
    </row>
    <row r="653" spans="1:2" ht="15.75" customHeight="1">
      <c r="A653" s="211" t="s">
        <v>2608</v>
      </c>
      <c r="B653" s="212" t="s">
        <v>2609</v>
      </c>
    </row>
    <row r="654" spans="1:2" ht="15.75" customHeight="1">
      <c r="A654" s="211" t="s">
        <v>2610</v>
      </c>
      <c r="B654" s="212" t="s">
        <v>2611</v>
      </c>
    </row>
    <row r="655" spans="1:2" ht="15.75" customHeight="1">
      <c r="A655" s="211" t="s">
        <v>2612</v>
      </c>
      <c r="B655" s="212" t="s">
        <v>2613</v>
      </c>
    </row>
    <row r="656" spans="1:2" ht="15.75" customHeight="1">
      <c r="A656" s="211" t="s">
        <v>2614</v>
      </c>
      <c r="B656" s="212" t="s">
        <v>2615</v>
      </c>
    </row>
    <row r="657" spans="1:2" ht="15.75" customHeight="1">
      <c r="A657" s="211" t="s">
        <v>2616</v>
      </c>
      <c r="B657" s="212" t="s">
        <v>2617</v>
      </c>
    </row>
    <row r="658" spans="1:2" ht="15.75" customHeight="1">
      <c r="A658" s="211" t="s">
        <v>2618</v>
      </c>
      <c r="B658" s="212" t="s">
        <v>2619</v>
      </c>
    </row>
    <row r="659" spans="1:2" ht="15.75" customHeight="1">
      <c r="A659" s="211" t="s">
        <v>2620</v>
      </c>
      <c r="B659" s="212" t="s">
        <v>2621</v>
      </c>
    </row>
    <row r="660" spans="1:2" ht="15.75" customHeight="1">
      <c r="A660" s="211" t="s">
        <v>2622</v>
      </c>
      <c r="B660" s="212" t="s">
        <v>2623</v>
      </c>
    </row>
    <row r="661" spans="1:2" ht="15.75" customHeight="1">
      <c r="A661" s="211" t="s">
        <v>2624</v>
      </c>
      <c r="B661" s="212" t="s">
        <v>2625</v>
      </c>
    </row>
    <row r="662" spans="1:2" ht="15.75" customHeight="1">
      <c r="A662" s="211" t="s">
        <v>2626</v>
      </c>
      <c r="B662" s="212" t="s">
        <v>2627</v>
      </c>
    </row>
    <row r="663" spans="1:2" ht="15.75" customHeight="1">
      <c r="A663" s="211" t="s">
        <v>2628</v>
      </c>
      <c r="B663" s="212" t="s">
        <v>2629</v>
      </c>
    </row>
    <row r="664" spans="1:2" ht="15.75" customHeight="1">
      <c r="A664" s="211" t="s">
        <v>2630</v>
      </c>
      <c r="B664" s="212" t="s">
        <v>2631</v>
      </c>
    </row>
    <row r="665" spans="1:2" ht="15.75" customHeight="1">
      <c r="A665" s="211" t="s">
        <v>2632</v>
      </c>
      <c r="B665" s="212" t="s">
        <v>2633</v>
      </c>
    </row>
    <row r="666" spans="1:2" ht="15.75" customHeight="1">
      <c r="A666" s="211" t="s">
        <v>2634</v>
      </c>
      <c r="B666" s="212" t="s">
        <v>2635</v>
      </c>
    </row>
    <row r="667" spans="1:2" ht="15.75" customHeight="1">
      <c r="A667" s="211" t="s">
        <v>2636</v>
      </c>
      <c r="B667" s="212" t="s">
        <v>2637</v>
      </c>
    </row>
    <row r="668" spans="1:2" ht="15.75" customHeight="1">
      <c r="A668" s="211" t="s">
        <v>2638</v>
      </c>
      <c r="B668" s="212" t="s">
        <v>2639</v>
      </c>
    </row>
    <row r="669" spans="1:2" ht="15.75" customHeight="1">
      <c r="A669" s="211" t="s">
        <v>2640</v>
      </c>
      <c r="B669" s="212" t="s">
        <v>2641</v>
      </c>
    </row>
    <row r="670" spans="1:2" ht="15.75" customHeight="1">
      <c r="A670" s="211" t="s">
        <v>2642</v>
      </c>
      <c r="B670" s="212" t="s">
        <v>2643</v>
      </c>
    </row>
    <row r="671" spans="1:2" ht="15.75" customHeight="1">
      <c r="A671" s="211" t="s">
        <v>2644</v>
      </c>
      <c r="B671" s="212" t="s">
        <v>2645</v>
      </c>
    </row>
    <row r="672" spans="1:2" ht="15.75" customHeight="1">
      <c r="A672" s="211" t="s">
        <v>2646</v>
      </c>
      <c r="B672" s="212" t="s">
        <v>2647</v>
      </c>
    </row>
    <row r="673" spans="1:2" ht="15.75" customHeight="1">
      <c r="A673" s="211" t="s">
        <v>2648</v>
      </c>
      <c r="B673" s="212" t="s">
        <v>2649</v>
      </c>
    </row>
    <row r="674" spans="1:2" ht="15.75" customHeight="1">
      <c r="A674" s="211" t="s">
        <v>2650</v>
      </c>
      <c r="B674" s="212" t="s">
        <v>2651</v>
      </c>
    </row>
    <row r="675" spans="1:2" ht="15.75" customHeight="1">
      <c r="A675" s="211" t="s">
        <v>2652</v>
      </c>
      <c r="B675" s="212" t="s">
        <v>2653</v>
      </c>
    </row>
    <row r="676" spans="1:2" ht="15.75" customHeight="1">
      <c r="A676" s="211" t="s">
        <v>2654</v>
      </c>
      <c r="B676" s="212" t="s">
        <v>2655</v>
      </c>
    </row>
    <row r="677" spans="1:2" ht="15.75" customHeight="1">
      <c r="A677" s="211" t="s">
        <v>2656</v>
      </c>
      <c r="B677" s="212" t="s">
        <v>2657</v>
      </c>
    </row>
    <row r="678" spans="1:2" ht="15.75" customHeight="1">
      <c r="A678" s="211" t="s">
        <v>2658</v>
      </c>
      <c r="B678" s="212" t="s">
        <v>2659</v>
      </c>
    </row>
    <row r="679" spans="1:2" ht="15.75" customHeight="1">
      <c r="A679" s="211" t="s">
        <v>2660</v>
      </c>
      <c r="B679" s="212" t="s">
        <v>2661</v>
      </c>
    </row>
    <row r="680" spans="1:2" ht="15.75" customHeight="1">
      <c r="A680" s="211" t="s">
        <v>2662</v>
      </c>
      <c r="B680" s="212" t="s">
        <v>2663</v>
      </c>
    </row>
    <row r="681" spans="1:2" ht="15.75" customHeight="1">
      <c r="A681" s="211" t="s">
        <v>2664</v>
      </c>
      <c r="B681" s="212" t="s">
        <v>2665</v>
      </c>
    </row>
    <row r="682" spans="1:2" ht="15.75" customHeight="1">
      <c r="A682" s="211" t="s">
        <v>2666</v>
      </c>
      <c r="B682" s="212" t="s">
        <v>2667</v>
      </c>
    </row>
    <row r="683" spans="1:2" ht="15.75" customHeight="1">
      <c r="A683" s="211" t="s">
        <v>2668</v>
      </c>
      <c r="B683" s="212" t="s">
        <v>2669</v>
      </c>
    </row>
    <row r="684" spans="1:2" ht="15.75" customHeight="1">
      <c r="A684" s="211" t="s">
        <v>2670</v>
      </c>
      <c r="B684" s="212" t="s">
        <v>2671</v>
      </c>
    </row>
    <row r="685" spans="1:2" ht="15.75" customHeight="1">
      <c r="A685" s="211" t="s">
        <v>2672</v>
      </c>
      <c r="B685" s="212" t="s">
        <v>2673</v>
      </c>
    </row>
    <row r="686" spans="1:2" ht="15.75" customHeight="1">
      <c r="A686" s="211" t="s">
        <v>2674</v>
      </c>
      <c r="B686" s="212" t="s">
        <v>2675</v>
      </c>
    </row>
    <row r="687" spans="1:2" ht="15.75" customHeight="1">
      <c r="A687" s="211" t="s">
        <v>2676</v>
      </c>
      <c r="B687" s="212" t="s">
        <v>2677</v>
      </c>
    </row>
    <row r="688" spans="1:2" ht="15.75" customHeight="1">
      <c r="A688" s="211" t="s">
        <v>2678</v>
      </c>
      <c r="B688" s="212" t="s">
        <v>2679</v>
      </c>
    </row>
    <row r="689" spans="1:2" ht="15.75" customHeight="1">
      <c r="A689" s="211" t="s">
        <v>2680</v>
      </c>
      <c r="B689" s="212" t="s">
        <v>2681</v>
      </c>
    </row>
    <row r="690" spans="1:2" ht="15.75" customHeight="1">
      <c r="A690" s="211" t="s">
        <v>2682</v>
      </c>
      <c r="B690" s="212" t="s">
        <v>2683</v>
      </c>
    </row>
    <row r="691" spans="1:2" ht="15.75" customHeight="1">
      <c r="A691" s="211" t="s">
        <v>2684</v>
      </c>
      <c r="B691" s="212" t="s">
        <v>2685</v>
      </c>
    </row>
    <row r="692" spans="1:2" ht="15.75" customHeight="1">
      <c r="A692" s="211" t="s">
        <v>2686</v>
      </c>
      <c r="B692" s="212" t="s">
        <v>2687</v>
      </c>
    </row>
    <row r="693" spans="1:2" ht="15.75" customHeight="1">
      <c r="A693" s="211" t="s">
        <v>2688</v>
      </c>
      <c r="B693" s="212" t="s">
        <v>2689</v>
      </c>
    </row>
    <row r="694" spans="1:2" ht="15.75" customHeight="1">
      <c r="A694" s="211" t="s">
        <v>2690</v>
      </c>
      <c r="B694" s="212" t="s">
        <v>2691</v>
      </c>
    </row>
    <row r="695" spans="1:2" ht="15.75" customHeight="1">
      <c r="A695" s="211" t="s">
        <v>2692</v>
      </c>
      <c r="B695" s="212" t="s">
        <v>2693</v>
      </c>
    </row>
    <row r="696" spans="1:2" ht="15.75" customHeight="1">
      <c r="A696" s="211" t="s">
        <v>2694</v>
      </c>
      <c r="B696" s="212" t="s">
        <v>2695</v>
      </c>
    </row>
    <row r="697" spans="1:2" ht="15.75" customHeight="1">
      <c r="A697" s="211" t="s">
        <v>2696</v>
      </c>
      <c r="B697" s="212" t="s">
        <v>2697</v>
      </c>
    </row>
    <row r="698" spans="1:2" ht="15.75" customHeight="1">
      <c r="A698" s="211" t="s">
        <v>2698</v>
      </c>
      <c r="B698" s="212" t="s">
        <v>2699</v>
      </c>
    </row>
    <row r="699" spans="1:2" ht="15.75" customHeight="1">
      <c r="A699" s="211" t="s">
        <v>2700</v>
      </c>
      <c r="B699" s="212" t="s">
        <v>2701</v>
      </c>
    </row>
    <row r="700" spans="1:2" ht="15.75" customHeight="1">
      <c r="A700" s="211" t="s">
        <v>2702</v>
      </c>
      <c r="B700" s="212" t="s">
        <v>2703</v>
      </c>
    </row>
    <row r="701" spans="1:2" ht="15.75" customHeight="1">
      <c r="A701" s="211" t="s">
        <v>2704</v>
      </c>
      <c r="B701" s="212" t="s">
        <v>2705</v>
      </c>
    </row>
    <row r="702" spans="1:2" ht="15.75" customHeight="1">
      <c r="A702" s="211" t="s">
        <v>2706</v>
      </c>
      <c r="B702" s="212" t="s">
        <v>2707</v>
      </c>
    </row>
    <row r="703" spans="1:2" ht="15.75" customHeight="1">
      <c r="A703" s="211" t="s">
        <v>2708</v>
      </c>
      <c r="B703" s="212" t="s">
        <v>2709</v>
      </c>
    </row>
    <row r="704" spans="1:2" ht="15.75" customHeight="1">
      <c r="A704" s="211" t="s">
        <v>2710</v>
      </c>
      <c r="B704" s="212" t="s">
        <v>2711</v>
      </c>
    </row>
    <row r="705" spans="1:2" ht="15.75" customHeight="1">
      <c r="A705" s="211" t="s">
        <v>2712</v>
      </c>
      <c r="B705" s="212" t="s">
        <v>2713</v>
      </c>
    </row>
    <row r="706" spans="1:2" ht="15.75" customHeight="1">
      <c r="A706" s="211" t="s">
        <v>2714</v>
      </c>
      <c r="B706" s="212" t="s">
        <v>2715</v>
      </c>
    </row>
    <row r="707" spans="1:2" ht="15.75" customHeight="1">
      <c r="A707" s="211" t="s">
        <v>2716</v>
      </c>
      <c r="B707" s="212" t="s">
        <v>2717</v>
      </c>
    </row>
    <row r="708" spans="1:2" ht="15.75" customHeight="1">
      <c r="A708" s="211" t="s">
        <v>2718</v>
      </c>
      <c r="B708" s="212" t="s">
        <v>2719</v>
      </c>
    </row>
    <row r="709" spans="1:2" ht="15.75" customHeight="1">
      <c r="A709" s="211" t="s">
        <v>2720</v>
      </c>
      <c r="B709" s="212" t="s">
        <v>2721</v>
      </c>
    </row>
    <row r="710" spans="1:2" ht="15.75" customHeight="1">
      <c r="A710" s="211" t="s">
        <v>2722</v>
      </c>
      <c r="B710" s="212" t="s">
        <v>2723</v>
      </c>
    </row>
    <row r="711" spans="1:2" ht="15.75" customHeight="1">
      <c r="A711" s="211" t="s">
        <v>2724</v>
      </c>
      <c r="B711" s="212" t="s">
        <v>2725</v>
      </c>
    </row>
    <row r="712" spans="1:2" ht="15.75" customHeight="1">
      <c r="A712" s="211" t="s">
        <v>2726</v>
      </c>
      <c r="B712" s="212" t="s">
        <v>2727</v>
      </c>
    </row>
    <row r="713" spans="1:2" ht="15.75" customHeight="1">
      <c r="A713" s="211" t="s">
        <v>2728</v>
      </c>
      <c r="B713" s="212" t="s">
        <v>2729</v>
      </c>
    </row>
    <row r="714" spans="1:2" ht="15.75" customHeight="1">
      <c r="A714" s="211" t="s">
        <v>2730</v>
      </c>
      <c r="B714" s="212" t="s">
        <v>2731</v>
      </c>
    </row>
    <row r="715" spans="1:2" ht="15.75" customHeight="1">
      <c r="A715" s="211" t="s">
        <v>2732</v>
      </c>
      <c r="B715" s="212" t="s">
        <v>2733</v>
      </c>
    </row>
    <row r="716" spans="1:2" ht="15.75" customHeight="1">
      <c r="A716" s="211" t="s">
        <v>2734</v>
      </c>
      <c r="B716" s="212" t="s">
        <v>2735</v>
      </c>
    </row>
    <row r="717" spans="1:2" ht="15.75" customHeight="1">
      <c r="A717" s="211" t="s">
        <v>2736</v>
      </c>
      <c r="B717" s="212" t="s">
        <v>2737</v>
      </c>
    </row>
    <row r="718" spans="1:2" ht="15.75" customHeight="1">
      <c r="A718" s="211" t="s">
        <v>2738</v>
      </c>
      <c r="B718" s="212" t="s">
        <v>2739</v>
      </c>
    </row>
    <row r="719" spans="1:2" ht="15.75" customHeight="1">
      <c r="A719" s="211" t="s">
        <v>2740</v>
      </c>
      <c r="B719" s="212" t="s">
        <v>2741</v>
      </c>
    </row>
    <row r="720" spans="1:2" ht="15.75" customHeight="1">
      <c r="A720" s="211" t="s">
        <v>2742</v>
      </c>
      <c r="B720" s="212" t="s">
        <v>2743</v>
      </c>
    </row>
    <row r="721" spans="1:2" ht="15.75" customHeight="1">
      <c r="A721" s="211" t="s">
        <v>2744</v>
      </c>
      <c r="B721" s="212" t="s">
        <v>2745</v>
      </c>
    </row>
    <row r="722" spans="1:2" ht="15.75" customHeight="1">
      <c r="A722" s="211" t="s">
        <v>2746</v>
      </c>
      <c r="B722" s="212" t="s">
        <v>2747</v>
      </c>
    </row>
    <row r="723" spans="1:2" ht="15.75" customHeight="1">
      <c r="A723" s="211" t="s">
        <v>2748</v>
      </c>
      <c r="B723" s="212" t="s">
        <v>2749</v>
      </c>
    </row>
    <row r="724" spans="1:2" ht="15.75" customHeight="1">
      <c r="A724" s="211" t="s">
        <v>2750</v>
      </c>
      <c r="B724" s="212" t="s">
        <v>2751</v>
      </c>
    </row>
    <row r="725" spans="1:2" ht="15.75" customHeight="1">
      <c r="A725" s="211" t="s">
        <v>2752</v>
      </c>
      <c r="B725" s="212" t="s">
        <v>2753</v>
      </c>
    </row>
    <row r="726" spans="1:2" ht="15.75" customHeight="1">
      <c r="A726" s="211" t="s">
        <v>2754</v>
      </c>
      <c r="B726" s="212" t="s">
        <v>2755</v>
      </c>
    </row>
    <row r="727" spans="1:2" ht="15.75" customHeight="1">
      <c r="A727" s="211" t="s">
        <v>2756</v>
      </c>
      <c r="B727" s="212" t="s">
        <v>2757</v>
      </c>
    </row>
    <row r="728" spans="1:2" ht="15.75" customHeight="1">
      <c r="A728" s="211" t="s">
        <v>2758</v>
      </c>
      <c r="B728" s="212" t="s">
        <v>2759</v>
      </c>
    </row>
    <row r="729" spans="1:2" ht="15.75" customHeight="1">
      <c r="A729" s="211" t="s">
        <v>2760</v>
      </c>
      <c r="B729" s="212" t="s">
        <v>2761</v>
      </c>
    </row>
    <row r="730" spans="1:2" ht="15.75" customHeight="1">
      <c r="A730" s="211" t="s">
        <v>2762</v>
      </c>
      <c r="B730" s="212" t="s">
        <v>2763</v>
      </c>
    </row>
    <row r="731" spans="1:2" ht="15.75" customHeight="1">
      <c r="A731" s="211" t="s">
        <v>2764</v>
      </c>
      <c r="B731" s="212" t="s">
        <v>2765</v>
      </c>
    </row>
    <row r="732" spans="1:2" ht="15.75" customHeight="1">
      <c r="A732" s="211" t="s">
        <v>2766</v>
      </c>
      <c r="B732" s="212" t="s">
        <v>2767</v>
      </c>
    </row>
    <row r="733" spans="1:2" ht="15.75" customHeight="1">
      <c r="A733" s="211" t="s">
        <v>2768</v>
      </c>
      <c r="B733" s="212" t="s">
        <v>2769</v>
      </c>
    </row>
    <row r="734" spans="1:2" ht="15.75" customHeight="1">
      <c r="A734" s="211" t="s">
        <v>2770</v>
      </c>
      <c r="B734" s="212" t="s">
        <v>2771</v>
      </c>
    </row>
    <row r="735" spans="1:2" ht="15.75" customHeight="1">
      <c r="A735" s="211" t="s">
        <v>2772</v>
      </c>
      <c r="B735" s="212" t="s">
        <v>2773</v>
      </c>
    </row>
    <row r="736" spans="1:2" ht="15.75" customHeight="1">
      <c r="A736" s="211" t="s">
        <v>2774</v>
      </c>
      <c r="B736" s="212" t="s">
        <v>2775</v>
      </c>
    </row>
    <row r="737" spans="1:2" ht="15.75" customHeight="1">
      <c r="A737" s="211" t="s">
        <v>2776</v>
      </c>
      <c r="B737" s="212" t="s">
        <v>2777</v>
      </c>
    </row>
    <row r="738" spans="1:2" ht="15.75" customHeight="1">
      <c r="A738" s="211" t="s">
        <v>2778</v>
      </c>
      <c r="B738" s="212" t="s">
        <v>2779</v>
      </c>
    </row>
    <row r="739" spans="1:2" ht="15.75" customHeight="1">
      <c r="A739" s="211" t="s">
        <v>2780</v>
      </c>
      <c r="B739" s="212" t="s">
        <v>2781</v>
      </c>
    </row>
    <row r="740" spans="1:2" ht="15.75" customHeight="1">
      <c r="A740" s="211" t="s">
        <v>2782</v>
      </c>
      <c r="B740" s="212" t="s">
        <v>2783</v>
      </c>
    </row>
    <row r="741" spans="1:2" ht="15.75" customHeight="1">
      <c r="A741" s="211" t="s">
        <v>2784</v>
      </c>
      <c r="B741" s="212" t="s">
        <v>2785</v>
      </c>
    </row>
    <row r="742" spans="1:2" ht="15.75" customHeight="1">
      <c r="A742" s="211" t="s">
        <v>2786</v>
      </c>
      <c r="B742" s="212" t="s">
        <v>2787</v>
      </c>
    </row>
    <row r="743" spans="1:2" ht="15.75" customHeight="1">
      <c r="A743" s="211" t="s">
        <v>2788</v>
      </c>
      <c r="B743" s="212" t="s">
        <v>2789</v>
      </c>
    </row>
    <row r="744" spans="1:2" ht="15.75" customHeight="1">
      <c r="A744" s="211" t="s">
        <v>2790</v>
      </c>
      <c r="B744" s="212" t="s">
        <v>2791</v>
      </c>
    </row>
    <row r="745" spans="1:2" ht="15.75" customHeight="1">
      <c r="A745" s="211" t="s">
        <v>2792</v>
      </c>
      <c r="B745" s="212" t="s">
        <v>2793</v>
      </c>
    </row>
    <row r="746" spans="1:2" ht="15.75" customHeight="1">
      <c r="A746" s="211" t="s">
        <v>2794</v>
      </c>
      <c r="B746" s="212" t="s">
        <v>2795</v>
      </c>
    </row>
    <row r="747" spans="1:2" ht="15.75" customHeight="1">
      <c r="A747" s="211" t="s">
        <v>2796</v>
      </c>
      <c r="B747" s="212" t="s">
        <v>2797</v>
      </c>
    </row>
    <row r="748" spans="1:2" ht="15.75" customHeight="1">
      <c r="A748" s="211" t="s">
        <v>2798</v>
      </c>
      <c r="B748" s="212" t="s">
        <v>2799</v>
      </c>
    </row>
    <row r="749" spans="1:2" ht="15.75" customHeight="1">
      <c r="A749" s="211" t="s">
        <v>2800</v>
      </c>
      <c r="B749" s="212" t="s">
        <v>2801</v>
      </c>
    </row>
    <row r="750" spans="1:2" ht="15.75" customHeight="1">
      <c r="A750" s="211" t="s">
        <v>2802</v>
      </c>
      <c r="B750" s="212" t="s">
        <v>2803</v>
      </c>
    </row>
    <row r="751" spans="1:2" ht="15.75" customHeight="1">
      <c r="A751" s="211" t="s">
        <v>2804</v>
      </c>
      <c r="B751" s="212" t="s">
        <v>2805</v>
      </c>
    </row>
    <row r="752" spans="1:2" ht="15.75" customHeight="1">
      <c r="A752" s="211" t="s">
        <v>2806</v>
      </c>
      <c r="B752" s="212" t="s">
        <v>2807</v>
      </c>
    </row>
    <row r="753" spans="1:2" ht="15.75" customHeight="1">
      <c r="A753" s="211" t="s">
        <v>2808</v>
      </c>
      <c r="B753" s="212" t="s">
        <v>2809</v>
      </c>
    </row>
    <row r="754" spans="1:2" ht="15.75" customHeight="1">
      <c r="A754" s="211" t="s">
        <v>2810</v>
      </c>
      <c r="B754" s="212" t="s">
        <v>2811</v>
      </c>
    </row>
    <row r="755" spans="1:2" ht="15.75" customHeight="1">
      <c r="A755" s="211" t="s">
        <v>2812</v>
      </c>
      <c r="B755" s="212" t="s">
        <v>2813</v>
      </c>
    </row>
    <row r="756" spans="1:2" ht="15.75" customHeight="1">
      <c r="A756" s="211" t="s">
        <v>2814</v>
      </c>
      <c r="B756" s="212" t="s">
        <v>2815</v>
      </c>
    </row>
    <row r="757" spans="1:2" ht="15.75" customHeight="1">
      <c r="A757" s="211" t="s">
        <v>2816</v>
      </c>
      <c r="B757" s="212" t="s">
        <v>2817</v>
      </c>
    </row>
    <row r="758" spans="1:2" ht="15.75" customHeight="1">
      <c r="A758" s="211" t="s">
        <v>2818</v>
      </c>
      <c r="B758" s="212" t="s">
        <v>2819</v>
      </c>
    </row>
    <row r="759" spans="1:2" ht="15.75" customHeight="1">
      <c r="A759" s="211" t="s">
        <v>2820</v>
      </c>
      <c r="B759" s="212" t="s">
        <v>2821</v>
      </c>
    </row>
    <row r="760" spans="1:2" ht="15.75" customHeight="1">
      <c r="A760" s="211" t="s">
        <v>2822</v>
      </c>
      <c r="B760" s="212" t="s">
        <v>2823</v>
      </c>
    </row>
    <row r="761" spans="1:2" ht="15.75" customHeight="1">
      <c r="A761" s="211" t="s">
        <v>2824</v>
      </c>
      <c r="B761" s="212" t="s">
        <v>2825</v>
      </c>
    </row>
    <row r="762" spans="1:2" ht="15.75" customHeight="1">
      <c r="A762" s="211" t="s">
        <v>2826</v>
      </c>
      <c r="B762" s="212" t="s">
        <v>2827</v>
      </c>
    </row>
    <row r="763" spans="1:2" ht="15.75" customHeight="1">
      <c r="A763" s="211" t="s">
        <v>2828</v>
      </c>
      <c r="B763" s="212" t="s">
        <v>2829</v>
      </c>
    </row>
    <row r="764" spans="1:2" ht="15.75" customHeight="1">
      <c r="A764" s="211" t="s">
        <v>2830</v>
      </c>
      <c r="B764" s="212" t="s">
        <v>2831</v>
      </c>
    </row>
    <row r="765" spans="1:2" ht="15.75" customHeight="1">
      <c r="A765" s="211" t="s">
        <v>2832</v>
      </c>
      <c r="B765" s="212" t="s">
        <v>2833</v>
      </c>
    </row>
    <row r="766" spans="1:2" ht="15.75" customHeight="1">
      <c r="A766" s="211" t="s">
        <v>2834</v>
      </c>
      <c r="B766" s="212" t="s">
        <v>2835</v>
      </c>
    </row>
    <row r="767" spans="1:2" ht="15.75" customHeight="1">
      <c r="A767" s="211" t="s">
        <v>2836</v>
      </c>
      <c r="B767" s="212" t="s">
        <v>2837</v>
      </c>
    </row>
    <row r="768" spans="1:2" ht="15.75" customHeight="1">
      <c r="A768" s="211" t="s">
        <v>2838</v>
      </c>
      <c r="B768" s="212" t="s">
        <v>2839</v>
      </c>
    </row>
    <row r="769" spans="1:2" ht="15.75" customHeight="1">
      <c r="A769" s="211" t="s">
        <v>2840</v>
      </c>
      <c r="B769" s="212" t="s">
        <v>2841</v>
      </c>
    </row>
    <row r="770" spans="1:2" ht="15.75" customHeight="1">
      <c r="A770" s="211" t="s">
        <v>2842</v>
      </c>
      <c r="B770" s="212" t="s">
        <v>2843</v>
      </c>
    </row>
    <row r="771" spans="1:2" ht="15.75" customHeight="1">
      <c r="A771" s="211" t="s">
        <v>2844</v>
      </c>
      <c r="B771" s="212" t="s">
        <v>2845</v>
      </c>
    </row>
    <row r="772" spans="1:2" ht="15.75" customHeight="1">
      <c r="A772" s="211" t="s">
        <v>2846</v>
      </c>
      <c r="B772" s="212" t="s">
        <v>2847</v>
      </c>
    </row>
    <row r="773" spans="1:2" ht="15.75" customHeight="1">
      <c r="A773" s="211" t="s">
        <v>2848</v>
      </c>
      <c r="B773" s="212" t="s">
        <v>2849</v>
      </c>
    </row>
    <row r="774" spans="1:2" ht="15.75" customHeight="1">
      <c r="A774" s="211" t="s">
        <v>2850</v>
      </c>
      <c r="B774" s="212" t="s">
        <v>2851</v>
      </c>
    </row>
    <row r="775" spans="1:2" ht="15.75" customHeight="1">
      <c r="A775" s="211" t="s">
        <v>2852</v>
      </c>
      <c r="B775" s="212" t="s">
        <v>2853</v>
      </c>
    </row>
    <row r="776" spans="1:2" ht="15.75" customHeight="1">
      <c r="A776" s="211" t="s">
        <v>2854</v>
      </c>
      <c r="B776" s="212" t="s">
        <v>2855</v>
      </c>
    </row>
    <row r="777" spans="1:2" ht="15.75" customHeight="1">
      <c r="A777" s="211" t="s">
        <v>2856</v>
      </c>
      <c r="B777" s="212" t="s">
        <v>2857</v>
      </c>
    </row>
    <row r="778" spans="1:2" ht="15.75" customHeight="1">
      <c r="A778" s="211" t="s">
        <v>2858</v>
      </c>
      <c r="B778" s="212" t="s">
        <v>2859</v>
      </c>
    </row>
    <row r="779" spans="1:2" ht="15.75" customHeight="1">
      <c r="A779" s="211" t="s">
        <v>2860</v>
      </c>
      <c r="B779" s="212" t="s">
        <v>2861</v>
      </c>
    </row>
    <row r="780" spans="1:2" ht="15.75" customHeight="1">
      <c r="A780" s="211" t="s">
        <v>2862</v>
      </c>
      <c r="B780" s="212" t="s">
        <v>2863</v>
      </c>
    </row>
    <row r="781" spans="1:2" ht="15.75" customHeight="1">
      <c r="A781" s="211" t="s">
        <v>2864</v>
      </c>
      <c r="B781" s="212" t="s">
        <v>2865</v>
      </c>
    </row>
    <row r="782" spans="1:2" ht="15.75" customHeight="1">
      <c r="A782" s="211" t="s">
        <v>2866</v>
      </c>
      <c r="B782" s="212" t="s">
        <v>2867</v>
      </c>
    </row>
    <row r="783" spans="1:2" ht="15.75" customHeight="1">
      <c r="A783" s="211" t="s">
        <v>2868</v>
      </c>
      <c r="B783" s="212" t="s">
        <v>2869</v>
      </c>
    </row>
    <row r="784" spans="1:2" ht="15.75" customHeight="1">
      <c r="A784" s="211" t="s">
        <v>2870</v>
      </c>
      <c r="B784" s="212" t="s">
        <v>2871</v>
      </c>
    </row>
    <row r="785" spans="1:2" ht="15.75" customHeight="1">
      <c r="A785" s="211" t="s">
        <v>2872</v>
      </c>
      <c r="B785" s="212" t="s">
        <v>2873</v>
      </c>
    </row>
    <row r="786" spans="1:2" ht="15.75" customHeight="1">
      <c r="A786" s="211" t="s">
        <v>2874</v>
      </c>
      <c r="B786" s="212" t="s">
        <v>2875</v>
      </c>
    </row>
    <row r="787" spans="1:2" ht="15.75" customHeight="1">
      <c r="A787" s="211" t="s">
        <v>2876</v>
      </c>
      <c r="B787" s="212" t="s">
        <v>2005</v>
      </c>
    </row>
    <row r="788" spans="1:2" ht="15.75" customHeight="1">
      <c r="A788" s="211" t="s">
        <v>2877</v>
      </c>
      <c r="B788" s="212" t="s">
        <v>2878</v>
      </c>
    </row>
    <row r="789" spans="1:2" ht="15.75" customHeight="1">
      <c r="A789" s="211" t="s">
        <v>2879</v>
      </c>
      <c r="B789" s="212" t="s">
        <v>2880</v>
      </c>
    </row>
    <row r="790" spans="1:2" ht="15.75" customHeight="1">
      <c r="A790" s="211" t="s">
        <v>2881</v>
      </c>
      <c r="B790" s="212" t="s">
        <v>2882</v>
      </c>
    </row>
    <row r="791" spans="1:2" ht="15.75" customHeight="1">
      <c r="A791" s="211" t="s">
        <v>2883</v>
      </c>
      <c r="B791" s="212" t="s">
        <v>2884</v>
      </c>
    </row>
    <row r="792" spans="1:2" ht="15.75" customHeight="1">
      <c r="A792" s="211" t="s">
        <v>2885</v>
      </c>
      <c r="B792" s="212" t="s">
        <v>2886</v>
      </c>
    </row>
    <row r="793" spans="1:2" ht="15.75" customHeight="1">
      <c r="A793" s="211" t="s">
        <v>2887</v>
      </c>
      <c r="B793" s="212" t="s">
        <v>2888</v>
      </c>
    </row>
    <row r="794" spans="1:2" ht="15.75" customHeight="1">
      <c r="A794" s="211" t="s">
        <v>2889</v>
      </c>
      <c r="B794" s="212" t="s">
        <v>2890</v>
      </c>
    </row>
    <row r="795" spans="1:2" ht="15.75" customHeight="1">
      <c r="A795" s="211" t="s">
        <v>2891</v>
      </c>
      <c r="B795" s="212" t="s">
        <v>2892</v>
      </c>
    </row>
    <row r="796" spans="1:2" ht="15.75" customHeight="1">
      <c r="A796" s="211" t="s">
        <v>2893</v>
      </c>
      <c r="B796" s="212" t="s">
        <v>2894</v>
      </c>
    </row>
    <row r="797" spans="1:2" ht="15.75" customHeight="1">
      <c r="A797" s="211" t="s">
        <v>2895</v>
      </c>
      <c r="B797" s="212" t="s">
        <v>2896</v>
      </c>
    </row>
    <row r="798" spans="1:2" ht="15.75" customHeight="1">
      <c r="A798" s="211" t="s">
        <v>2897</v>
      </c>
      <c r="B798" s="212" t="s">
        <v>2898</v>
      </c>
    </row>
    <row r="799" spans="1:2" ht="15.75" customHeight="1">
      <c r="A799" s="211" t="s">
        <v>2899</v>
      </c>
      <c r="B799" s="212" t="s">
        <v>2900</v>
      </c>
    </row>
    <row r="800" spans="1:2" ht="15.75" customHeight="1">
      <c r="A800" s="211" t="s">
        <v>2901</v>
      </c>
      <c r="B800" s="212" t="s">
        <v>2902</v>
      </c>
    </row>
    <row r="801" spans="1:2" ht="15.75" customHeight="1">
      <c r="A801" s="211" t="s">
        <v>2903</v>
      </c>
      <c r="B801" s="212" t="s">
        <v>2904</v>
      </c>
    </row>
    <row r="802" spans="1:2" ht="15.75" customHeight="1">
      <c r="A802" s="211" t="s">
        <v>2905</v>
      </c>
      <c r="B802" s="212" t="s">
        <v>2906</v>
      </c>
    </row>
    <row r="803" spans="1:2" ht="15.75" customHeight="1">
      <c r="A803" s="211" t="s">
        <v>2907</v>
      </c>
      <c r="B803" s="212" t="s">
        <v>2908</v>
      </c>
    </row>
    <row r="804" spans="1:2" ht="15.75" customHeight="1">
      <c r="A804" s="211" t="s">
        <v>2909</v>
      </c>
      <c r="B804" s="212" t="s">
        <v>2910</v>
      </c>
    </row>
    <row r="805" spans="1:2" ht="15.75" customHeight="1">
      <c r="A805" s="211" t="s">
        <v>2911</v>
      </c>
      <c r="B805" s="212" t="s">
        <v>2912</v>
      </c>
    </row>
    <row r="806" spans="1:2" ht="15.75" customHeight="1">
      <c r="A806" s="211" t="s">
        <v>2913</v>
      </c>
      <c r="B806" s="212" t="s">
        <v>2914</v>
      </c>
    </row>
    <row r="807" spans="1:2" ht="15.75" customHeight="1">
      <c r="A807" s="211" t="s">
        <v>2915</v>
      </c>
      <c r="B807" s="212" t="s">
        <v>2916</v>
      </c>
    </row>
    <row r="808" spans="1:2" ht="15.75" customHeight="1">
      <c r="A808" s="211" t="s">
        <v>2917</v>
      </c>
      <c r="B808" s="212" t="s">
        <v>2918</v>
      </c>
    </row>
    <row r="809" spans="1:2" ht="15.75" customHeight="1">
      <c r="A809" s="211" t="s">
        <v>2919</v>
      </c>
      <c r="B809" s="212" t="s">
        <v>2920</v>
      </c>
    </row>
    <row r="810" spans="1:2" ht="15.75" customHeight="1">
      <c r="A810" s="211" t="s">
        <v>2921</v>
      </c>
      <c r="B810" s="212" t="s">
        <v>2922</v>
      </c>
    </row>
    <row r="811" spans="1:2" ht="15.75" customHeight="1">
      <c r="A811" s="211" t="s">
        <v>2923</v>
      </c>
      <c r="B811" s="212" t="s">
        <v>2924</v>
      </c>
    </row>
    <row r="812" spans="1:2" ht="15.75" customHeight="1">
      <c r="A812" s="211" t="s">
        <v>2925</v>
      </c>
      <c r="B812" s="212" t="s">
        <v>2926</v>
      </c>
    </row>
    <row r="813" spans="1:2" ht="15.75" customHeight="1">
      <c r="A813" s="211" t="s">
        <v>2927</v>
      </c>
      <c r="B813" s="212" t="s">
        <v>2928</v>
      </c>
    </row>
    <row r="814" spans="1:2" ht="15.75" customHeight="1">
      <c r="A814" s="211" t="s">
        <v>2929</v>
      </c>
      <c r="B814" s="212" t="s">
        <v>2930</v>
      </c>
    </row>
    <row r="815" spans="1:2" ht="15.75" customHeight="1">
      <c r="A815" s="211" t="s">
        <v>2931</v>
      </c>
      <c r="B815" s="212" t="s">
        <v>2932</v>
      </c>
    </row>
    <row r="816" spans="1:2" ht="15.75" customHeight="1">
      <c r="A816" s="211" t="s">
        <v>2933</v>
      </c>
      <c r="B816" s="212" t="s">
        <v>2934</v>
      </c>
    </row>
    <row r="817" spans="1:2" ht="15.75" customHeight="1">
      <c r="A817" s="211" t="s">
        <v>2935</v>
      </c>
      <c r="B817" s="212" t="s">
        <v>2936</v>
      </c>
    </row>
    <row r="818" spans="1:2" ht="15.75" customHeight="1">
      <c r="A818" s="211" t="s">
        <v>2937</v>
      </c>
      <c r="B818" s="212" t="s">
        <v>2938</v>
      </c>
    </row>
    <row r="819" spans="1:2" ht="15.75" customHeight="1">
      <c r="A819" s="211" t="s">
        <v>2939</v>
      </c>
      <c r="B819" s="212" t="s">
        <v>2940</v>
      </c>
    </row>
    <row r="820" spans="1:2" ht="15.75" customHeight="1">
      <c r="A820" s="211" t="s">
        <v>2941</v>
      </c>
      <c r="B820" s="212" t="s">
        <v>2942</v>
      </c>
    </row>
    <row r="821" spans="1:2" ht="15.75" customHeight="1">
      <c r="A821" s="211" t="s">
        <v>2943</v>
      </c>
      <c r="B821" s="212" t="s">
        <v>2944</v>
      </c>
    </row>
    <row r="822" spans="1:2" ht="15.75" customHeight="1">
      <c r="A822" s="211" t="s">
        <v>2945</v>
      </c>
      <c r="B822" s="212" t="s">
        <v>2946</v>
      </c>
    </row>
    <row r="823" spans="1:2" ht="15.75" customHeight="1">
      <c r="A823" s="211" t="s">
        <v>2947</v>
      </c>
      <c r="B823" s="212" t="s">
        <v>2948</v>
      </c>
    </row>
    <row r="824" spans="1:2" ht="15.75" customHeight="1">
      <c r="A824" s="211" t="s">
        <v>2949</v>
      </c>
      <c r="B824" s="212" t="s">
        <v>2950</v>
      </c>
    </row>
    <row r="825" spans="1:2" ht="15.75" customHeight="1">
      <c r="A825" s="211" t="s">
        <v>2951</v>
      </c>
      <c r="B825" s="212" t="s">
        <v>2952</v>
      </c>
    </row>
    <row r="826" spans="1:2" ht="15.75" customHeight="1">
      <c r="A826" s="211" t="s">
        <v>2953</v>
      </c>
      <c r="B826" s="212" t="s">
        <v>2954</v>
      </c>
    </row>
    <row r="827" spans="1:2" ht="15.75" customHeight="1">
      <c r="A827" s="211" t="s">
        <v>2955</v>
      </c>
      <c r="B827" s="212" t="s">
        <v>2956</v>
      </c>
    </row>
    <row r="828" spans="1:2" ht="15.75" customHeight="1">
      <c r="A828" s="211" t="s">
        <v>2957</v>
      </c>
      <c r="B828" s="212" t="s">
        <v>2958</v>
      </c>
    </row>
    <row r="829" spans="1:2" ht="15.75" customHeight="1">
      <c r="A829" s="211" t="s">
        <v>2959</v>
      </c>
      <c r="B829" s="212" t="s">
        <v>2960</v>
      </c>
    </row>
    <row r="830" spans="1:2" ht="15.75" customHeight="1">
      <c r="A830" s="211" t="s">
        <v>2961</v>
      </c>
      <c r="B830" s="212" t="s">
        <v>2962</v>
      </c>
    </row>
    <row r="831" spans="1:2" ht="15.75" customHeight="1">
      <c r="A831" s="211" t="s">
        <v>2963</v>
      </c>
      <c r="B831" s="212" t="s">
        <v>2894</v>
      </c>
    </row>
    <row r="832" spans="1:2" ht="15.75" customHeight="1">
      <c r="A832" s="211" t="s">
        <v>2964</v>
      </c>
      <c r="B832" s="212" t="s">
        <v>2900</v>
      </c>
    </row>
    <row r="833" spans="1:2" ht="15.75" customHeight="1">
      <c r="A833" s="211" t="s">
        <v>2965</v>
      </c>
      <c r="B833" s="212" t="s">
        <v>2966</v>
      </c>
    </row>
    <row r="834" spans="1:2" ht="15.75" customHeight="1">
      <c r="A834" s="211" t="s">
        <v>2967</v>
      </c>
      <c r="B834" s="212" t="s">
        <v>2968</v>
      </c>
    </row>
    <row r="835" spans="1:2" ht="15.75" customHeight="1">
      <c r="A835" s="211" t="s">
        <v>2969</v>
      </c>
      <c r="B835" s="212" t="s">
        <v>2970</v>
      </c>
    </row>
    <row r="836" spans="1:2" ht="15.75" customHeight="1">
      <c r="A836" s="211" t="s">
        <v>2971</v>
      </c>
      <c r="B836" s="212" t="s">
        <v>2972</v>
      </c>
    </row>
    <row r="837" spans="1:2" ht="15.75" customHeight="1">
      <c r="A837" s="211" t="s">
        <v>2973</v>
      </c>
      <c r="B837" s="212" t="s">
        <v>2974</v>
      </c>
    </row>
    <row r="838" spans="1:2" ht="15.75" customHeight="1">
      <c r="A838" s="211" t="s">
        <v>2975</v>
      </c>
      <c r="B838" s="212" t="s">
        <v>2976</v>
      </c>
    </row>
    <row r="839" spans="1:2" ht="15.75" customHeight="1">
      <c r="A839" s="211" t="s">
        <v>2977</v>
      </c>
      <c r="B839" s="212" t="s">
        <v>2978</v>
      </c>
    </row>
    <row r="840" spans="1:2" ht="15.75" customHeight="1">
      <c r="A840" s="211" t="s">
        <v>2979</v>
      </c>
      <c r="B840" s="212" t="s">
        <v>2980</v>
      </c>
    </row>
    <row r="841" spans="1:2" ht="15.75" customHeight="1">
      <c r="A841" s="211" t="s">
        <v>2981</v>
      </c>
      <c r="B841" s="212" t="s">
        <v>2982</v>
      </c>
    </row>
    <row r="842" spans="1:2" ht="15.75" customHeight="1">
      <c r="A842" s="211" t="s">
        <v>2983</v>
      </c>
      <c r="B842" s="212" t="s">
        <v>2984</v>
      </c>
    </row>
    <row r="843" spans="1:2" ht="15.75" customHeight="1">
      <c r="A843" s="211" t="s">
        <v>2985</v>
      </c>
      <c r="B843" s="212" t="s">
        <v>2986</v>
      </c>
    </row>
    <row r="844" spans="1:2" ht="15.75" customHeight="1">
      <c r="A844" s="211" t="s">
        <v>2987</v>
      </c>
      <c r="B844" s="212" t="s">
        <v>2988</v>
      </c>
    </row>
    <row r="845" spans="1:2" ht="15.75" customHeight="1">
      <c r="A845" s="211" t="s">
        <v>2989</v>
      </c>
      <c r="B845" s="212" t="s">
        <v>2990</v>
      </c>
    </row>
    <row r="846" spans="1:2" ht="15.75" customHeight="1">
      <c r="A846" s="211" t="s">
        <v>2991</v>
      </c>
      <c r="B846" s="212" t="s">
        <v>2992</v>
      </c>
    </row>
    <row r="847" spans="1:2" ht="15.75" customHeight="1">
      <c r="A847" s="211" t="s">
        <v>2993</v>
      </c>
      <c r="B847" s="212" t="s">
        <v>2994</v>
      </c>
    </row>
    <row r="848" spans="1:2" ht="15.75" customHeight="1">
      <c r="A848" s="211" t="s">
        <v>2995</v>
      </c>
      <c r="B848" s="212" t="s">
        <v>2996</v>
      </c>
    </row>
    <row r="849" spans="1:2" ht="15.75" customHeight="1">
      <c r="A849" s="211" t="s">
        <v>2997</v>
      </c>
      <c r="B849" s="212" t="s">
        <v>2998</v>
      </c>
    </row>
    <row r="850" spans="1:2" ht="15.75" customHeight="1">
      <c r="A850" s="211" t="s">
        <v>2999</v>
      </c>
      <c r="B850" s="212" t="s">
        <v>3000</v>
      </c>
    </row>
    <row r="851" spans="1:2" ht="15.75" customHeight="1">
      <c r="A851" s="211" t="s">
        <v>3001</v>
      </c>
      <c r="B851" s="212" t="s">
        <v>3002</v>
      </c>
    </row>
    <row r="852" spans="1:2" ht="15.75" customHeight="1">
      <c r="A852" s="211" t="s">
        <v>3003</v>
      </c>
      <c r="B852" s="212" t="s">
        <v>3004</v>
      </c>
    </row>
    <row r="853" spans="1:2" ht="15.75" customHeight="1">
      <c r="A853" s="211" t="s">
        <v>3005</v>
      </c>
      <c r="B853" s="212" t="s">
        <v>3006</v>
      </c>
    </row>
    <row r="854" spans="1:2" ht="15.75" customHeight="1">
      <c r="A854" s="211" t="s">
        <v>3007</v>
      </c>
      <c r="B854" s="212" t="s">
        <v>3008</v>
      </c>
    </row>
    <row r="855" spans="1:2" ht="15.75" customHeight="1">
      <c r="A855" s="211" t="s">
        <v>3009</v>
      </c>
      <c r="B855" s="212" t="s">
        <v>3010</v>
      </c>
    </row>
    <row r="856" spans="1:2" ht="15.75" customHeight="1">
      <c r="A856" s="211" t="s">
        <v>3011</v>
      </c>
      <c r="B856" s="212" t="s">
        <v>3012</v>
      </c>
    </row>
    <row r="857" spans="1:2" ht="15.75" customHeight="1">
      <c r="A857" s="211" t="s">
        <v>3013</v>
      </c>
      <c r="B857" s="212" t="s">
        <v>3014</v>
      </c>
    </row>
    <row r="858" spans="1:2" ht="15.75" customHeight="1">
      <c r="A858" s="211" t="s">
        <v>3015</v>
      </c>
      <c r="B858" s="212" t="s">
        <v>3016</v>
      </c>
    </row>
    <row r="859" spans="1:2" ht="15.75" customHeight="1">
      <c r="A859" s="211" t="s">
        <v>3017</v>
      </c>
      <c r="B859" s="212" t="s">
        <v>3018</v>
      </c>
    </row>
    <row r="860" spans="1:2" ht="15.75" customHeight="1">
      <c r="A860" s="211" t="s">
        <v>3019</v>
      </c>
      <c r="B860" s="212" t="s">
        <v>3020</v>
      </c>
    </row>
    <row r="861" spans="1:2" ht="15.75" customHeight="1">
      <c r="A861" s="211" t="s">
        <v>3021</v>
      </c>
      <c r="B861" s="212" t="s">
        <v>3022</v>
      </c>
    </row>
    <row r="862" spans="1:2" ht="15.75" customHeight="1">
      <c r="A862" s="211" t="s">
        <v>3023</v>
      </c>
      <c r="B862" s="212" t="s">
        <v>3024</v>
      </c>
    </row>
    <row r="863" spans="1:2" ht="15.75" customHeight="1">
      <c r="A863" s="211" t="s">
        <v>3025</v>
      </c>
      <c r="B863" s="212" t="s">
        <v>3026</v>
      </c>
    </row>
    <row r="864" spans="1:2" ht="15.75" customHeight="1">
      <c r="A864" s="211" t="s">
        <v>3027</v>
      </c>
      <c r="B864" s="212" t="s">
        <v>3028</v>
      </c>
    </row>
    <row r="865" spans="1:2" ht="15.75" customHeight="1">
      <c r="A865" s="211" t="s">
        <v>3029</v>
      </c>
      <c r="B865" s="212" t="s">
        <v>3030</v>
      </c>
    </row>
    <row r="866" spans="1:2" ht="15.75" customHeight="1">
      <c r="A866" s="211" t="s">
        <v>3031</v>
      </c>
      <c r="B866" s="212" t="s">
        <v>2677</v>
      </c>
    </row>
    <row r="867" spans="1:2" ht="15.75" customHeight="1">
      <c r="A867" s="211" t="s">
        <v>3032</v>
      </c>
      <c r="B867" s="212" t="s">
        <v>3033</v>
      </c>
    </row>
    <row r="868" spans="1:2" ht="15.75" customHeight="1">
      <c r="A868" s="211" t="s">
        <v>3034</v>
      </c>
      <c r="B868" s="212" t="s">
        <v>3035</v>
      </c>
    </row>
    <row r="869" spans="1:2" ht="15.75" customHeight="1">
      <c r="A869" s="211" t="s">
        <v>3036</v>
      </c>
      <c r="B869" s="212" t="s">
        <v>3037</v>
      </c>
    </row>
    <row r="870" spans="1:2" ht="15.75" customHeight="1">
      <c r="A870" s="211" t="s">
        <v>3038</v>
      </c>
      <c r="B870" s="212" t="s">
        <v>3039</v>
      </c>
    </row>
    <row r="871" spans="1:2" ht="15.75" customHeight="1">
      <c r="A871" s="211" t="s">
        <v>3040</v>
      </c>
      <c r="B871" s="212" t="s">
        <v>3041</v>
      </c>
    </row>
    <row r="872" spans="1:2" ht="15.75" customHeight="1">
      <c r="A872" s="211" t="s">
        <v>3042</v>
      </c>
      <c r="B872" s="212" t="s">
        <v>3043</v>
      </c>
    </row>
    <row r="873" spans="1:2" ht="15.75" customHeight="1">
      <c r="A873" s="211" t="s">
        <v>3044</v>
      </c>
      <c r="B873" s="212" t="s">
        <v>3045</v>
      </c>
    </row>
    <row r="874" spans="1:2" ht="15.75" customHeight="1">
      <c r="A874" s="211" t="s">
        <v>3046</v>
      </c>
      <c r="B874" s="212" t="s">
        <v>3047</v>
      </c>
    </row>
    <row r="875" spans="1:2" ht="15.75" customHeight="1">
      <c r="A875" s="211" t="s">
        <v>3048</v>
      </c>
      <c r="B875" s="212" t="s">
        <v>3049</v>
      </c>
    </row>
    <row r="876" spans="1:2" ht="15.75" customHeight="1">
      <c r="A876" s="211" t="s">
        <v>3050</v>
      </c>
      <c r="B876" s="212" t="s">
        <v>3051</v>
      </c>
    </row>
    <row r="877" spans="1:2" ht="15.75" customHeight="1">
      <c r="A877" s="211" t="s">
        <v>3052</v>
      </c>
      <c r="B877" s="212" t="s">
        <v>3053</v>
      </c>
    </row>
    <row r="878" spans="1:2" ht="15.75" customHeight="1">
      <c r="A878" s="209" t="s">
        <v>3525</v>
      </c>
      <c r="B878" s="210" t="s">
        <v>3526</v>
      </c>
    </row>
    <row r="879" spans="1:2" ht="15.75" customHeight="1">
      <c r="A879" s="211" t="s">
        <v>3054</v>
      </c>
      <c r="B879" s="212" t="s">
        <v>3055</v>
      </c>
    </row>
    <row r="880" spans="1:2" ht="15.75" customHeight="1">
      <c r="A880" s="211" t="s">
        <v>3056</v>
      </c>
      <c r="B880" s="212" t="s">
        <v>3057</v>
      </c>
    </row>
    <row r="881" spans="1:2" ht="15.75" customHeight="1">
      <c r="A881" s="211" t="s">
        <v>3058</v>
      </c>
      <c r="B881" s="212" t="s">
        <v>3059</v>
      </c>
    </row>
    <row r="882" spans="1:2" ht="15.75" customHeight="1">
      <c r="A882" s="211" t="s">
        <v>3060</v>
      </c>
      <c r="B882" s="212" t="s">
        <v>3061</v>
      </c>
    </row>
    <row r="883" spans="1:2" ht="15.75" customHeight="1">
      <c r="A883" s="211" t="s">
        <v>3062</v>
      </c>
      <c r="B883" s="212" t="s">
        <v>3063</v>
      </c>
    </row>
    <row r="884" spans="1:2" ht="15.75" customHeight="1">
      <c r="A884" s="211" t="s">
        <v>3064</v>
      </c>
      <c r="B884" s="212" t="s">
        <v>3065</v>
      </c>
    </row>
    <row r="885" spans="1:2" ht="15.75" customHeight="1">
      <c r="A885" s="209" t="s">
        <v>3527</v>
      </c>
      <c r="B885" s="210" t="s">
        <v>3528</v>
      </c>
    </row>
    <row r="886" spans="1:2" ht="15.75" customHeight="1">
      <c r="A886" s="211" t="s">
        <v>3066</v>
      </c>
      <c r="B886" s="212" t="s">
        <v>3067</v>
      </c>
    </row>
    <row r="887" spans="1:2" ht="15.75" customHeight="1">
      <c r="A887" s="211" t="s">
        <v>3068</v>
      </c>
      <c r="B887" s="212" t="s">
        <v>3069</v>
      </c>
    </row>
    <row r="888" spans="1:2" ht="15.75" customHeight="1">
      <c r="A888" s="211" t="s">
        <v>3070</v>
      </c>
      <c r="B888" s="212" t="s">
        <v>3071</v>
      </c>
    </row>
    <row r="889" spans="1:2" ht="15.75" customHeight="1">
      <c r="A889" s="211" t="s">
        <v>3072</v>
      </c>
      <c r="B889" s="212" t="s">
        <v>3071</v>
      </c>
    </row>
    <row r="890" spans="1:2" ht="15.75" customHeight="1">
      <c r="A890" s="211" t="s">
        <v>3073</v>
      </c>
      <c r="B890" s="212" t="s">
        <v>3074</v>
      </c>
    </row>
    <row r="891" spans="1:2" ht="15.75" customHeight="1">
      <c r="A891" s="211" t="s">
        <v>3075</v>
      </c>
      <c r="B891" s="212" t="s">
        <v>3076</v>
      </c>
    </row>
    <row r="892" spans="1:2" ht="15.75" customHeight="1">
      <c r="A892" s="209" t="s">
        <v>3529</v>
      </c>
      <c r="B892" s="210" t="s">
        <v>3505</v>
      </c>
    </row>
    <row r="893" spans="1:2" ht="15.75" customHeight="1">
      <c r="A893" s="211" t="s">
        <v>1338</v>
      </c>
      <c r="B893" s="212" t="s">
        <v>3077</v>
      </c>
    </row>
    <row r="894" spans="1:2" ht="15.75" customHeight="1">
      <c r="A894" s="211" t="s">
        <v>3078</v>
      </c>
      <c r="B894" s="212" t="s">
        <v>1296</v>
      </c>
    </row>
    <row r="895" spans="1:2" ht="15.75" customHeight="1">
      <c r="A895" s="211" t="s">
        <v>3079</v>
      </c>
      <c r="B895" s="212" t="s">
        <v>3080</v>
      </c>
    </row>
    <row r="896" spans="1:2" ht="15.75" customHeight="1">
      <c r="A896" s="211" t="s">
        <v>3081</v>
      </c>
      <c r="B896" s="212" t="s">
        <v>3082</v>
      </c>
    </row>
    <row r="897" spans="1:2" ht="15.75" customHeight="1">
      <c r="A897" s="211" t="s">
        <v>3083</v>
      </c>
      <c r="B897" s="212" t="s">
        <v>1292</v>
      </c>
    </row>
    <row r="898" spans="1:2" ht="15.75" customHeight="1">
      <c r="A898" s="211" t="s">
        <v>3084</v>
      </c>
      <c r="B898" s="212" t="s">
        <v>3085</v>
      </c>
    </row>
    <row r="899" spans="1:2" ht="15.75" customHeight="1">
      <c r="A899" s="211" t="s">
        <v>3086</v>
      </c>
      <c r="B899" s="212" t="s">
        <v>1305</v>
      </c>
    </row>
    <row r="900" spans="1:2" ht="15.75" customHeight="1">
      <c r="A900" s="209" t="s">
        <v>3530</v>
      </c>
      <c r="B900" s="210" t="s">
        <v>1142</v>
      </c>
    </row>
    <row r="901" spans="1:2" ht="15.75" customHeight="1">
      <c r="A901" s="211" t="s">
        <v>3087</v>
      </c>
      <c r="B901" s="212" t="s">
        <v>1335</v>
      </c>
    </row>
    <row r="902" spans="1:2" ht="15.75" customHeight="1">
      <c r="A902" s="211" t="s">
        <v>1437</v>
      </c>
      <c r="B902" s="212" t="s">
        <v>1337</v>
      </c>
    </row>
    <row r="903" spans="1:2" ht="15.75" customHeight="1">
      <c r="A903" s="211" t="s">
        <v>3088</v>
      </c>
      <c r="B903" s="212" t="s">
        <v>1343</v>
      </c>
    </row>
    <row r="904" spans="1:2" ht="15.75" customHeight="1">
      <c r="A904" s="211" t="s">
        <v>3089</v>
      </c>
      <c r="B904" s="212" t="s">
        <v>3090</v>
      </c>
    </row>
    <row r="905" spans="1:2" ht="15.75" customHeight="1">
      <c r="A905" s="211" t="s">
        <v>3091</v>
      </c>
      <c r="B905" s="212" t="s">
        <v>3092</v>
      </c>
    </row>
    <row r="906" spans="1:2" ht="15.75" customHeight="1">
      <c r="A906" s="209" t="s">
        <v>3531</v>
      </c>
      <c r="B906" s="210" t="s">
        <v>3532</v>
      </c>
    </row>
    <row r="907" spans="1:2" ht="15.75" customHeight="1">
      <c r="A907" s="211" t="s">
        <v>3093</v>
      </c>
      <c r="B907" s="212" t="s">
        <v>3094</v>
      </c>
    </row>
    <row r="908" spans="1:2" ht="15.75" customHeight="1">
      <c r="A908" s="207" t="s">
        <v>359</v>
      </c>
      <c r="B908" s="208" t="s">
        <v>3533</v>
      </c>
    </row>
    <row r="909" spans="1:2" ht="15.75" customHeight="1">
      <c r="A909" s="209" t="s">
        <v>3534</v>
      </c>
      <c r="B909" s="210" t="s">
        <v>3535</v>
      </c>
    </row>
    <row r="910" spans="1:2" ht="15.75" customHeight="1">
      <c r="A910" s="211" t="s">
        <v>3095</v>
      </c>
      <c r="B910" s="212" t="s">
        <v>3096</v>
      </c>
    </row>
    <row r="911" spans="1:2" ht="15.75" customHeight="1">
      <c r="A911" s="211" t="s">
        <v>3097</v>
      </c>
      <c r="B911" s="212" t="s">
        <v>3098</v>
      </c>
    </row>
    <row r="912" spans="1:2" ht="15.75" customHeight="1">
      <c r="A912" s="211" t="s">
        <v>3099</v>
      </c>
      <c r="B912" s="212" t="s">
        <v>3100</v>
      </c>
    </row>
    <row r="913" spans="1:2" ht="15.75" customHeight="1">
      <c r="A913" s="211" t="s">
        <v>3101</v>
      </c>
      <c r="B913" s="212" t="s">
        <v>3102</v>
      </c>
    </row>
    <row r="914" spans="1:2" ht="15.75" customHeight="1">
      <c r="A914" s="211" t="s">
        <v>3103</v>
      </c>
      <c r="B914" s="212" t="s">
        <v>3104</v>
      </c>
    </row>
    <row r="915" spans="1:2" ht="15.75" customHeight="1">
      <c r="A915" s="211" t="s">
        <v>3105</v>
      </c>
      <c r="B915" s="212" t="s">
        <v>3106</v>
      </c>
    </row>
    <row r="916" spans="1:2" ht="15.75" customHeight="1">
      <c r="A916" s="211" t="s">
        <v>3107</v>
      </c>
      <c r="B916" s="212" t="s">
        <v>3108</v>
      </c>
    </row>
    <row r="917" spans="1:2" ht="15.75" customHeight="1">
      <c r="A917" s="211" t="s">
        <v>3109</v>
      </c>
      <c r="B917" s="212" t="s">
        <v>3110</v>
      </c>
    </row>
    <row r="918" spans="1:2" ht="15.75" customHeight="1">
      <c r="A918" s="211" t="s">
        <v>3111</v>
      </c>
      <c r="B918" s="212" t="s">
        <v>3112</v>
      </c>
    </row>
    <row r="919" spans="1:2" ht="15.75" customHeight="1">
      <c r="A919" s="211" t="s">
        <v>3113</v>
      </c>
      <c r="B919" s="212" t="s">
        <v>3114</v>
      </c>
    </row>
    <row r="920" spans="1:2" ht="15.75" customHeight="1">
      <c r="A920" s="211" t="s">
        <v>3115</v>
      </c>
      <c r="B920" s="212" t="s">
        <v>3116</v>
      </c>
    </row>
    <row r="921" spans="1:2" ht="15.75" customHeight="1">
      <c r="A921" s="211" t="s">
        <v>3117</v>
      </c>
      <c r="B921" s="212" t="s">
        <v>3118</v>
      </c>
    </row>
    <row r="922" spans="1:2" ht="15.75" customHeight="1">
      <c r="A922" s="211" t="s">
        <v>3119</v>
      </c>
      <c r="B922" s="212" t="s">
        <v>3120</v>
      </c>
    </row>
    <row r="923" spans="1:2" ht="15.75" customHeight="1">
      <c r="A923" s="211" t="s">
        <v>3121</v>
      </c>
      <c r="B923" s="212" t="s">
        <v>3122</v>
      </c>
    </row>
    <row r="924" spans="1:2" ht="15.75" customHeight="1">
      <c r="A924" s="211" t="s">
        <v>3123</v>
      </c>
      <c r="B924" s="212" t="s">
        <v>3124</v>
      </c>
    </row>
    <row r="925" spans="1:2" ht="15.75" customHeight="1">
      <c r="A925" s="211" t="s">
        <v>3125</v>
      </c>
      <c r="B925" s="212" t="s">
        <v>3126</v>
      </c>
    </row>
    <row r="926" spans="1:2" ht="15.75" customHeight="1">
      <c r="A926" s="211" t="s">
        <v>3127</v>
      </c>
      <c r="B926" s="212" t="s">
        <v>3128</v>
      </c>
    </row>
    <row r="927" spans="1:2" ht="15.75" customHeight="1">
      <c r="A927" s="211" t="s">
        <v>3129</v>
      </c>
      <c r="B927" s="212" t="s">
        <v>3130</v>
      </c>
    </row>
    <row r="928" spans="1:2" ht="15.75" customHeight="1">
      <c r="A928" s="211" t="s">
        <v>3131</v>
      </c>
      <c r="B928" s="212" t="s">
        <v>3132</v>
      </c>
    </row>
    <row r="929" spans="1:2" ht="15.75" customHeight="1">
      <c r="A929" s="211" t="s">
        <v>3133</v>
      </c>
      <c r="B929" s="212" t="s">
        <v>3134</v>
      </c>
    </row>
    <row r="930" spans="1:2" ht="15.75" customHeight="1">
      <c r="A930" s="211" t="s">
        <v>3135</v>
      </c>
      <c r="B930" s="212" t="s">
        <v>3136</v>
      </c>
    </row>
    <row r="931" spans="1:2" ht="15.75" customHeight="1">
      <c r="A931" s="211" t="s">
        <v>3137</v>
      </c>
      <c r="B931" s="212" t="s">
        <v>3138</v>
      </c>
    </row>
    <row r="932" spans="1:2" ht="15.75" customHeight="1">
      <c r="A932" s="211" t="s">
        <v>3139</v>
      </c>
      <c r="B932" s="212" t="s">
        <v>3140</v>
      </c>
    </row>
    <row r="933" spans="1:2" ht="15.75" customHeight="1">
      <c r="A933" s="211" t="s">
        <v>3141</v>
      </c>
      <c r="B933" s="212" t="s">
        <v>3142</v>
      </c>
    </row>
    <row r="934" spans="1:2" ht="15.75" customHeight="1">
      <c r="A934" s="211" t="s">
        <v>3143</v>
      </c>
      <c r="B934" s="212" t="s">
        <v>3144</v>
      </c>
    </row>
    <row r="935" spans="1:2" ht="15.75" customHeight="1">
      <c r="A935" s="211" t="s">
        <v>3145</v>
      </c>
      <c r="B935" s="212" t="s">
        <v>3146</v>
      </c>
    </row>
    <row r="936" spans="1:2" ht="15.75" customHeight="1">
      <c r="A936" s="211" t="s">
        <v>3147</v>
      </c>
      <c r="B936" s="212" t="s">
        <v>3148</v>
      </c>
    </row>
    <row r="937" spans="1:2" ht="15.75" customHeight="1">
      <c r="A937" s="211" t="s">
        <v>3149</v>
      </c>
      <c r="B937" s="212" t="s">
        <v>3150</v>
      </c>
    </row>
    <row r="938" spans="1:2" ht="15.75" customHeight="1">
      <c r="A938" s="211" t="s">
        <v>3151</v>
      </c>
      <c r="B938" s="212" t="s">
        <v>3152</v>
      </c>
    </row>
    <row r="939" spans="1:2" ht="15.75" customHeight="1">
      <c r="A939" s="211" t="s">
        <v>3153</v>
      </c>
      <c r="B939" s="212" t="s">
        <v>3154</v>
      </c>
    </row>
    <row r="940" spans="1:2" ht="15.75" customHeight="1">
      <c r="A940" s="211" t="s">
        <v>3155</v>
      </c>
      <c r="B940" s="212" t="s">
        <v>3156</v>
      </c>
    </row>
    <row r="941" spans="1:2" ht="15.75" customHeight="1">
      <c r="A941" s="211" t="s">
        <v>3157</v>
      </c>
      <c r="B941" s="212" t="s">
        <v>3158</v>
      </c>
    </row>
    <row r="942" spans="1:2" ht="15.75" customHeight="1">
      <c r="A942" s="211" t="s">
        <v>3159</v>
      </c>
      <c r="B942" s="212" t="s">
        <v>3160</v>
      </c>
    </row>
    <row r="943" spans="1:2" ht="15.75" customHeight="1">
      <c r="A943" s="211" t="s">
        <v>3161</v>
      </c>
      <c r="B943" s="212" t="s">
        <v>3162</v>
      </c>
    </row>
    <row r="944" spans="1:2" ht="15.75" customHeight="1">
      <c r="A944" s="211" t="s">
        <v>3163</v>
      </c>
      <c r="B944" s="212" t="s">
        <v>3164</v>
      </c>
    </row>
    <row r="945" spans="1:2" ht="15.75" customHeight="1">
      <c r="A945" s="211" t="s">
        <v>3165</v>
      </c>
      <c r="B945" s="212" t="s">
        <v>3166</v>
      </c>
    </row>
    <row r="946" spans="1:2" ht="15.75" customHeight="1">
      <c r="A946" s="211" t="s">
        <v>3167</v>
      </c>
      <c r="B946" s="212" t="s">
        <v>3168</v>
      </c>
    </row>
    <row r="947" spans="1:2" ht="15.75" customHeight="1">
      <c r="A947" s="211" t="s">
        <v>3169</v>
      </c>
      <c r="B947" s="212" t="s">
        <v>3170</v>
      </c>
    </row>
    <row r="948" spans="1:2" ht="15.75" customHeight="1">
      <c r="A948" s="211" t="s">
        <v>3171</v>
      </c>
      <c r="B948" s="212" t="s">
        <v>3172</v>
      </c>
    </row>
    <row r="949" spans="1:2" ht="15.75" customHeight="1">
      <c r="A949" s="211" t="s">
        <v>3173</v>
      </c>
      <c r="B949" s="212" t="s">
        <v>3174</v>
      </c>
    </row>
    <row r="950" spans="1:2" ht="15.75" customHeight="1">
      <c r="A950" s="211" t="s">
        <v>3175</v>
      </c>
      <c r="B950" s="212" t="s">
        <v>3176</v>
      </c>
    </row>
    <row r="951" spans="1:2" ht="15.75" customHeight="1">
      <c r="A951" s="211" t="s">
        <v>3177</v>
      </c>
      <c r="B951" s="212" t="s">
        <v>3178</v>
      </c>
    </row>
    <row r="952" spans="1:2" ht="15.75" customHeight="1">
      <c r="A952" s="211" t="s">
        <v>3179</v>
      </c>
      <c r="B952" s="212" t="s">
        <v>3180</v>
      </c>
    </row>
    <row r="953" spans="1:2" ht="15.75" customHeight="1">
      <c r="A953" s="211" t="s">
        <v>3181</v>
      </c>
      <c r="B953" s="212" t="s">
        <v>3182</v>
      </c>
    </row>
    <row r="954" spans="1:2" ht="15.75" customHeight="1">
      <c r="A954" s="211" t="s">
        <v>3183</v>
      </c>
      <c r="B954" s="212" t="s">
        <v>3184</v>
      </c>
    </row>
    <row r="955" spans="1:2" ht="15.75" customHeight="1">
      <c r="A955" s="211" t="s">
        <v>3185</v>
      </c>
      <c r="B955" s="212" t="s">
        <v>3186</v>
      </c>
    </row>
    <row r="956" spans="1:2" ht="15.75" customHeight="1">
      <c r="A956" s="211" t="s">
        <v>3187</v>
      </c>
      <c r="B956" s="212" t="s">
        <v>3188</v>
      </c>
    </row>
    <row r="957" spans="1:2" ht="15.75" customHeight="1">
      <c r="A957" s="211" t="s">
        <v>3189</v>
      </c>
      <c r="B957" s="212" t="s">
        <v>3190</v>
      </c>
    </row>
    <row r="958" spans="1:2" ht="15.75" customHeight="1">
      <c r="A958" s="211" t="s">
        <v>3191</v>
      </c>
      <c r="B958" s="212" t="s">
        <v>3192</v>
      </c>
    </row>
    <row r="959" spans="1:2" ht="15.75" customHeight="1">
      <c r="A959" s="211" t="s">
        <v>3193</v>
      </c>
      <c r="B959" s="212" t="s">
        <v>3194</v>
      </c>
    </row>
    <row r="960" spans="1:2" ht="15.75" customHeight="1">
      <c r="A960" s="211" t="s">
        <v>3195</v>
      </c>
      <c r="B960" s="212" t="s">
        <v>3196</v>
      </c>
    </row>
    <row r="961" spans="1:2" ht="15.75" customHeight="1">
      <c r="A961" s="211" t="s">
        <v>3197</v>
      </c>
      <c r="B961" s="212" t="s">
        <v>3198</v>
      </c>
    </row>
    <row r="962" spans="1:2" ht="15.75" customHeight="1">
      <c r="A962" s="211" t="s">
        <v>3199</v>
      </c>
      <c r="B962" s="212" t="s">
        <v>3200</v>
      </c>
    </row>
    <row r="963" spans="1:2" ht="15.75" customHeight="1">
      <c r="A963" s="211" t="s">
        <v>3201</v>
      </c>
      <c r="B963" s="212" t="s">
        <v>3202</v>
      </c>
    </row>
    <row r="964" spans="1:2" ht="15.75" customHeight="1">
      <c r="A964" s="211" t="s">
        <v>3203</v>
      </c>
      <c r="B964" s="212" t="s">
        <v>3204</v>
      </c>
    </row>
    <row r="965" spans="1:2" ht="15.75" customHeight="1">
      <c r="A965" s="211" t="s">
        <v>3205</v>
      </c>
      <c r="B965" s="212" t="s">
        <v>3206</v>
      </c>
    </row>
    <row r="966" spans="1:2" ht="15.75" customHeight="1">
      <c r="A966" s="211" t="s">
        <v>3207</v>
      </c>
      <c r="B966" s="212" t="s">
        <v>3208</v>
      </c>
    </row>
    <row r="967" spans="1:2" ht="15.75" customHeight="1">
      <c r="A967" s="211" t="s">
        <v>3209</v>
      </c>
      <c r="B967" s="212" t="s">
        <v>3210</v>
      </c>
    </row>
    <row r="968" spans="1:2" ht="15.75" customHeight="1">
      <c r="A968" s="211" t="s">
        <v>3211</v>
      </c>
      <c r="B968" s="212" t="s">
        <v>3212</v>
      </c>
    </row>
    <row r="969" spans="1:2" ht="15.75" customHeight="1">
      <c r="A969" s="211" t="s">
        <v>3213</v>
      </c>
      <c r="B969" s="212" t="s">
        <v>3214</v>
      </c>
    </row>
    <row r="970" spans="1:2" ht="15.75" customHeight="1">
      <c r="A970" s="211" t="s">
        <v>3215</v>
      </c>
      <c r="B970" s="212" t="s">
        <v>3216</v>
      </c>
    </row>
    <row r="971" spans="1:2" ht="15.75" customHeight="1">
      <c r="A971" s="211" t="s">
        <v>3217</v>
      </c>
      <c r="B971" s="212" t="s">
        <v>3218</v>
      </c>
    </row>
    <row r="972" spans="1:2" ht="15.75" customHeight="1">
      <c r="A972" s="211" t="s">
        <v>3219</v>
      </c>
      <c r="B972" s="212" t="s">
        <v>3220</v>
      </c>
    </row>
    <row r="973" spans="1:2" ht="15.75" customHeight="1">
      <c r="A973" s="211" t="s">
        <v>3221</v>
      </c>
      <c r="B973" s="212" t="s">
        <v>3222</v>
      </c>
    </row>
    <row r="974" spans="1:2" ht="15.75" customHeight="1">
      <c r="A974" s="211" t="s">
        <v>3223</v>
      </c>
      <c r="B974" s="212" t="s">
        <v>3224</v>
      </c>
    </row>
    <row r="975" spans="1:2" ht="15.75" customHeight="1">
      <c r="A975" s="211" t="s">
        <v>3225</v>
      </c>
      <c r="B975" s="212" t="s">
        <v>3226</v>
      </c>
    </row>
    <row r="976" spans="1:2" ht="15.75" customHeight="1">
      <c r="A976" s="211" t="s">
        <v>3227</v>
      </c>
      <c r="B976" s="212" t="s">
        <v>3228</v>
      </c>
    </row>
    <row r="977" spans="1:2" ht="15.75" customHeight="1">
      <c r="A977" s="211" t="s">
        <v>3229</v>
      </c>
      <c r="B977" s="212" t="s">
        <v>3230</v>
      </c>
    </row>
    <row r="978" spans="1:2" ht="15.75" customHeight="1">
      <c r="A978" s="211" t="s">
        <v>3231</v>
      </c>
      <c r="B978" s="212" t="s">
        <v>3232</v>
      </c>
    </row>
    <row r="979" spans="1:2" ht="15.75" customHeight="1">
      <c r="A979" s="211" t="s">
        <v>3233</v>
      </c>
      <c r="B979" s="212" t="s">
        <v>3234</v>
      </c>
    </row>
    <row r="980" spans="1:2" ht="15.75" customHeight="1">
      <c r="A980" s="211" t="s">
        <v>3235</v>
      </c>
      <c r="B980" s="212" t="s">
        <v>3236</v>
      </c>
    </row>
    <row r="981" spans="1:2" ht="15.75" customHeight="1">
      <c r="A981" s="211" t="s">
        <v>3237</v>
      </c>
      <c r="B981" s="212" t="s">
        <v>3238</v>
      </c>
    </row>
    <row r="982" spans="1:2" ht="15.75" customHeight="1">
      <c r="A982" s="211" t="s">
        <v>3239</v>
      </c>
      <c r="B982" s="212" t="s">
        <v>3238</v>
      </c>
    </row>
    <row r="983" spans="1:2" ht="15.75" customHeight="1">
      <c r="A983" s="211" t="s">
        <v>3240</v>
      </c>
      <c r="B983" s="212" t="s">
        <v>3241</v>
      </c>
    </row>
    <row r="984" spans="1:2" ht="15.75" customHeight="1">
      <c r="A984" s="211" t="s">
        <v>3242</v>
      </c>
      <c r="B984" s="212" t="s">
        <v>3243</v>
      </c>
    </row>
    <row r="985" spans="1:2" ht="15.75" customHeight="1">
      <c r="A985" s="211" t="s">
        <v>3244</v>
      </c>
      <c r="B985" s="212" t="s">
        <v>3245</v>
      </c>
    </row>
    <row r="986" spans="1:2" ht="15.75" customHeight="1">
      <c r="A986" s="211" t="s">
        <v>3246</v>
      </c>
      <c r="B986" s="212" t="s">
        <v>3247</v>
      </c>
    </row>
    <row r="987" spans="1:2" ht="15.75" customHeight="1">
      <c r="A987" s="211" t="s">
        <v>3248</v>
      </c>
      <c r="B987" s="212" t="s">
        <v>3249</v>
      </c>
    </row>
    <row r="988" spans="1:2" ht="15.75" customHeight="1">
      <c r="A988" s="211" t="s">
        <v>3250</v>
      </c>
      <c r="B988" s="212" t="s">
        <v>3251</v>
      </c>
    </row>
    <row r="989" spans="1:2" ht="15.75" customHeight="1">
      <c r="A989" s="211" t="s">
        <v>3252</v>
      </c>
      <c r="B989" s="212" t="s">
        <v>3253</v>
      </c>
    </row>
    <row r="990" spans="1:2" ht="15.75" customHeight="1">
      <c r="A990" s="211" t="s">
        <v>3254</v>
      </c>
      <c r="B990" s="212" t="s">
        <v>3255</v>
      </c>
    </row>
    <row r="991" spans="1:2" ht="15.75" customHeight="1">
      <c r="A991" s="211" t="s">
        <v>3256</v>
      </c>
      <c r="B991" s="212" t="s">
        <v>3257</v>
      </c>
    </row>
    <row r="992" spans="1:2" ht="15.75" customHeight="1">
      <c r="A992" s="211" t="s">
        <v>3258</v>
      </c>
      <c r="B992" s="212" t="s">
        <v>3259</v>
      </c>
    </row>
    <row r="993" spans="1:2" ht="15.75" customHeight="1">
      <c r="A993" s="211" t="s">
        <v>3260</v>
      </c>
      <c r="B993" s="212" t="s">
        <v>3261</v>
      </c>
    </row>
    <row r="994" spans="1:2" ht="15.75" customHeight="1">
      <c r="A994" s="211" t="s">
        <v>3262</v>
      </c>
      <c r="B994" s="212" t="s">
        <v>3263</v>
      </c>
    </row>
    <row r="995" spans="1:2" ht="15.75" customHeight="1">
      <c r="A995" s="211" t="s">
        <v>3264</v>
      </c>
      <c r="B995" s="212" t="s">
        <v>3265</v>
      </c>
    </row>
    <row r="996" spans="1:2" ht="15.75" customHeight="1">
      <c r="A996" s="211" t="s">
        <v>3266</v>
      </c>
      <c r="B996" s="212" t="s">
        <v>3265</v>
      </c>
    </row>
    <row r="997" spans="1:2" ht="15.75" customHeight="1">
      <c r="A997" s="211" t="s">
        <v>3267</v>
      </c>
      <c r="B997" s="212" t="s">
        <v>3268</v>
      </c>
    </row>
    <row r="998" spans="1:2" ht="15.75" customHeight="1">
      <c r="A998" s="211" t="s">
        <v>3269</v>
      </c>
      <c r="B998" s="212" t="s">
        <v>3270</v>
      </c>
    </row>
    <row r="999" spans="1:2" ht="15.75" customHeight="1">
      <c r="A999" s="211" t="s">
        <v>3271</v>
      </c>
      <c r="B999" s="212" t="s">
        <v>3272</v>
      </c>
    </row>
    <row r="1000" spans="1:2" ht="15.75" customHeight="1">
      <c r="A1000" s="211" t="s">
        <v>3273</v>
      </c>
      <c r="B1000" s="212" t="s">
        <v>3274</v>
      </c>
    </row>
    <row r="1001" spans="1:2" ht="15.75" customHeight="1">
      <c r="A1001" s="211" t="s">
        <v>3275</v>
      </c>
      <c r="B1001" s="212" t="s">
        <v>3174</v>
      </c>
    </row>
    <row r="1002" spans="1:2" ht="15.75" customHeight="1">
      <c r="A1002" s="211" t="s">
        <v>3276</v>
      </c>
      <c r="B1002" s="212" t="s">
        <v>3277</v>
      </c>
    </row>
    <row r="1003" spans="1:2" ht="15.75" customHeight="1">
      <c r="A1003" s="211" t="s">
        <v>3278</v>
      </c>
      <c r="B1003" s="212" t="s">
        <v>3279</v>
      </c>
    </row>
    <row r="1004" spans="1:2" ht="15.75" customHeight="1">
      <c r="A1004" s="211" t="s">
        <v>3280</v>
      </c>
      <c r="B1004" s="212" t="s">
        <v>3281</v>
      </c>
    </row>
    <row r="1005" spans="1:2" ht="15.75" customHeight="1">
      <c r="A1005" s="211" t="s">
        <v>3282</v>
      </c>
      <c r="B1005" s="212" t="s">
        <v>3283</v>
      </c>
    </row>
    <row r="1006" spans="1:2" ht="15.75" customHeight="1">
      <c r="A1006" s="211" t="s">
        <v>3284</v>
      </c>
      <c r="B1006" s="212" t="s">
        <v>3285</v>
      </c>
    </row>
    <row r="1007" spans="1:2" ht="15.75" customHeight="1">
      <c r="A1007" s="211" t="s">
        <v>3286</v>
      </c>
      <c r="B1007" s="212" t="s">
        <v>3263</v>
      </c>
    </row>
    <row r="1008" spans="1:2" ht="15.75" customHeight="1">
      <c r="A1008" s="211" t="s">
        <v>3287</v>
      </c>
      <c r="B1008" s="212" t="s">
        <v>3283</v>
      </c>
    </row>
    <row r="1009" spans="1:2" ht="15.75" customHeight="1">
      <c r="A1009" s="211" t="s">
        <v>3288</v>
      </c>
      <c r="B1009" s="212" t="s">
        <v>3289</v>
      </c>
    </row>
    <row r="1010" spans="1:2" ht="15.75" customHeight="1">
      <c r="A1010" s="211" t="s">
        <v>3290</v>
      </c>
      <c r="B1010" s="212" t="s">
        <v>3291</v>
      </c>
    </row>
    <row r="1011" spans="1:2" ht="15.75" customHeight="1">
      <c r="A1011" s="211" t="s">
        <v>3292</v>
      </c>
      <c r="B1011" s="212" t="s">
        <v>3293</v>
      </c>
    </row>
    <row r="1012" spans="1:2" ht="15.75" customHeight="1">
      <c r="A1012" s="211" t="s">
        <v>3294</v>
      </c>
      <c r="B1012" s="212" t="s">
        <v>3295</v>
      </c>
    </row>
    <row r="1013" spans="1:2" ht="15.75" customHeight="1">
      <c r="A1013" s="211" t="s">
        <v>3296</v>
      </c>
      <c r="B1013" s="212" t="s">
        <v>3297</v>
      </c>
    </row>
    <row r="1014" spans="1:2" ht="15.75" customHeight="1">
      <c r="A1014" s="211" t="s">
        <v>3298</v>
      </c>
      <c r="B1014" s="212" t="s">
        <v>3299</v>
      </c>
    </row>
    <row r="1015" spans="1:2" ht="15.75" customHeight="1">
      <c r="A1015" s="211" t="s">
        <v>3300</v>
      </c>
      <c r="B1015" s="212" t="s">
        <v>3301</v>
      </c>
    </row>
    <row r="1016" spans="1:2" ht="15.75" customHeight="1">
      <c r="A1016" s="211" t="s">
        <v>3302</v>
      </c>
      <c r="B1016" s="212" t="s">
        <v>3303</v>
      </c>
    </row>
    <row r="1017" spans="1:2" ht="15.75" customHeight="1">
      <c r="A1017" s="209" t="s">
        <v>3536</v>
      </c>
      <c r="B1017" s="210" t="s">
        <v>3537</v>
      </c>
    </row>
    <row r="1018" spans="1:2" ht="15.75" customHeight="1">
      <c r="A1018" s="211" t="s">
        <v>3304</v>
      </c>
      <c r="B1018" s="212" t="s">
        <v>3077</v>
      </c>
    </row>
    <row r="1019" spans="1:2" ht="15.75" customHeight="1">
      <c r="A1019" s="211" t="s">
        <v>3305</v>
      </c>
      <c r="B1019" s="212" t="s">
        <v>1296</v>
      </c>
    </row>
    <row r="1020" spans="1:2" ht="15.75" customHeight="1">
      <c r="A1020" s="211" t="s">
        <v>3306</v>
      </c>
      <c r="B1020" s="212" t="s">
        <v>3307</v>
      </c>
    </row>
    <row r="1021" spans="1:2" ht="15.75" customHeight="1">
      <c r="A1021" s="211" t="s">
        <v>3308</v>
      </c>
      <c r="B1021" s="212" t="s">
        <v>3080</v>
      </c>
    </row>
    <row r="1022" spans="1:2" ht="15.75" customHeight="1">
      <c r="A1022" s="211" t="s">
        <v>3309</v>
      </c>
      <c r="B1022" s="212" t="s">
        <v>3310</v>
      </c>
    </row>
    <row r="1023" spans="1:2" ht="15.75" customHeight="1">
      <c r="A1023" s="211" t="s">
        <v>3311</v>
      </c>
      <c r="B1023" s="212" t="s">
        <v>1292</v>
      </c>
    </row>
    <row r="1024" spans="1:2" ht="15.75" customHeight="1">
      <c r="A1024" s="211" t="s">
        <v>3312</v>
      </c>
      <c r="B1024" s="212" t="s">
        <v>3085</v>
      </c>
    </row>
    <row r="1025" spans="1:2" ht="15.75" customHeight="1">
      <c r="A1025" s="207" t="s">
        <v>3541</v>
      </c>
      <c r="B1025" s="208" t="s">
        <v>3542</v>
      </c>
    </row>
    <row r="1026" spans="1:2" ht="15.75" customHeight="1">
      <c r="A1026" s="209" t="s">
        <v>3543</v>
      </c>
      <c r="B1026" s="210" t="s">
        <v>3544</v>
      </c>
    </row>
    <row r="1027" spans="1:2" ht="15.75" customHeight="1">
      <c r="A1027" s="211" t="s">
        <v>3313</v>
      </c>
      <c r="B1027" s="212" t="s">
        <v>3314</v>
      </c>
    </row>
    <row r="1028" spans="1:2" ht="15.75" customHeight="1">
      <c r="A1028" s="209" t="s">
        <v>3545</v>
      </c>
      <c r="B1028" s="210" t="s">
        <v>3508</v>
      </c>
    </row>
    <row r="1029" spans="1:2" ht="15.75" customHeight="1">
      <c r="A1029" s="211" t="s">
        <v>3315</v>
      </c>
      <c r="B1029" s="212" t="s">
        <v>3316</v>
      </c>
    </row>
    <row r="1030" spans="1:2" ht="15.75" customHeight="1">
      <c r="A1030" s="211" t="s">
        <v>3317</v>
      </c>
      <c r="B1030" s="212" t="s">
        <v>1372</v>
      </c>
    </row>
    <row r="1031" spans="1:2" ht="15.75" customHeight="1">
      <c r="A1031" s="207" t="s">
        <v>3548</v>
      </c>
      <c r="B1031" s="208" t="s">
        <v>3549</v>
      </c>
    </row>
    <row r="1032" spans="1:2" ht="15.75" customHeight="1">
      <c r="A1032" s="209" t="s">
        <v>3550</v>
      </c>
      <c r="B1032" s="210" t="s">
        <v>3551</v>
      </c>
    </row>
    <row r="1033" spans="1:2" ht="15.75" customHeight="1">
      <c r="A1033" s="211" t="s">
        <v>3318</v>
      </c>
      <c r="B1033" s="212" t="s">
        <v>3319</v>
      </c>
    </row>
    <row r="1034" spans="1:2" ht="15.75" customHeight="1">
      <c r="A1034" s="211" t="s">
        <v>3320</v>
      </c>
      <c r="B1034" s="212" t="s">
        <v>3321</v>
      </c>
    </row>
    <row r="1035" spans="1:2" ht="15.75" customHeight="1">
      <c r="A1035" s="207" t="s">
        <v>3560</v>
      </c>
      <c r="B1035" s="208" t="s">
        <v>3561</v>
      </c>
    </row>
    <row r="1036" spans="1:2" ht="15.75" customHeight="1">
      <c r="A1036" s="209" t="s">
        <v>3562</v>
      </c>
      <c r="B1036" s="210" t="s">
        <v>1142</v>
      </c>
    </row>
    <row r="1037" spans="1:2" ht="15.75" customHeight="1">
      <c r="A1037" s="211" t="s">
        <v>3322</v>
      </c>
      <c r="B1037" s="212" t="s">
        <v>3323</v>
      </c>
    </row>
    <row r="1038" spans="1:2" ht="15.75" customHeight="1">
      <c r="A1038" s="211" t="s">
        <v>3324</v>
      </c>
      <c r="B1038" s="212" t="s">
        <v>3325</v>
      </c>
    </row>
    <row r="1039" spans="1:2" ht="15.75" customHeight="1">
      <c r="A1039" s="211" t="s">
        <v>3326</v>
      </c>
      <c r="B1039" s="212" t="s">
        <v>3327</v>
      </c>
    </row>
    <row r="1040" spans="1:2" ht="15.75" customHeight="1">
      <c r="A1040" s="211" t="s">
        <v>3328</v>
      </c>
      <c r="B1040" s="212" t="s">
        <v>3329</v>
      </c>
    </row>
    <row r="1041" spans="1:2" ht="15.75" customHeight="1">
      <c r="A1041" s="211" t="s">
        <v>3330</v>
      </c>
      <c r="B1041" s="212" t="s">
        <v>3331</v>
      </c>
    </row>
    <row r="1042" spans="1:2" ht="15.75" customHeight="1">
      <c r="A1042" s="211" t="s">
        <v>3332</v>
      </c>
      <c r="B1042" s="212" t="s">
        <v>3333</v>
      </c>
    </row>
  </sheetData>
  <autoFilter ref="A1:B1042"/>
  <pageMargins left="0.7" right="0.7" top="0.75" bottom="0.75" header="0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defaultColWidth="12.625" defaultRowHeight="15" customHeight="1"/>
  <cols>
    <col min="1" max="1" width="9.875" customWidth="1"/>
    <col min="2" max="2" width="79.75" customWidth="1"/>
    <col min="3" max="3" width="17.875" customWidth="1"/>
    <col min="4" max="5" width="20.75" customWidth="1"/>
    <col min="6" max="6" width="10.25" customWidth="1"/>
    <col min="7" max="26" width="7.625" customWidth="1"/>
  </cols>
  <sheetData>
    <row r="1" spans="1:26" ht="19.5">
      <c r="A1" s="213" t="s">
        <v>478</v>
      </c>
      <c r="B1" s="213" t="s">
        <v>3425</v>
      </c>
      <c r="C1" s="214" t="s">
        <v>3564</v>
      </c>
      <c r="D1" s="213"/>
      <c r="E1" s="213"/>
      <c r="F1" s="215" t="s">
        <v>3565</v>
      </c>
    </row>
    <row r="2" spans="1:26" ht="14.25">
      <c r="B2" s="64" t="s">
        <v>483</v>
      </c>
      <c r="C2" s="65">
        <v>11</v>
      </c>
      <c r="D2" s="64" t="s">
        <v>482</v>
      </c>
      <c r="E2" s="65">
        <v>671</v>
      </c>
      <c r="F2" s="64" t="s">
        <v>475</v>
      </c>
    </row>
    <row r="3" spans="1:26" ht="14.25">
      <c r="B3" s="64" t="s">
        <v>483</v>
      </c>
      <c r="C3" s="65">
        <v>12</v>
      </c>
      <c r="D3" s="64" t="s">
        <v>484</v>
      </c>
      <c r="E3" s="65">
        <v>671</v>
      </c>
      <c r="F3" s="64" t="s">
        <v>477</v>
      </c>
    </row>
    <row r="4" spans="1:26" ht="14.25">
      <c r="B4" s="64" t="s">
        <v>486</v>
      </c>
      <c r="C4" s="65">
        <v>41</v>
      </c>
      <c r="D4" s="64" t="s">
        <v>487</v>
      </c>
      <c r="E4" s="65">
        <v>614</v>
      </c>
      <c r="F4" s="65">
        <v>614810041</v>
      </c>
    </row>
    <row r="5" spans="1:26" ht="14.25">
      <c r="B5" s="64" t="s">
        <v>488</v>
      </c>
      <c r="C5" s="65">
        <v>41</v>
      </c>
      <c r="D5" s="64" t="s">
        <v>487</v>
      </c>
      <c r="E5" s="65">
        <v>614</v>
      </c>
      <c r="F5" s="65">
        <v>614820041</v>
      </c>
    </row>
    <row r="6" spans="1:26" ht="14.25">
      <c r="B6" s="64" t="s">
        <v>490</v>
      </c>
      <c r="C6" s="65">
        <v>41</v>
      </c>
      <c r="D6" s="64" t="s">
        <v>487</v>
      </c>
      <c r="E6" s="65">
        <v>614</v>
      </c>
      <c r="F6" s="65">
        <v>614830041</v>
      </c>
    </row>
    <row r="7" spans="1:26" ht="14.25">
      <c r="B7" s="64" t="s">
        <v>492</v>
      </c>
      <c r="C7" s="65">
        <v>41</v>
      </c>
      <c r="D7" s="64" t="s">
        <v>487</v>
      </c>
      <c r="E7" s="65">
        <v>614</v>
      </c>
      <c r="F7" s="65">
        <v>614840041</v>
      </c>
    </row>
    <row r="8" spans="1:26" ht="14.25">
      <c r="B8" s="64" t="s">
        <v>494</v>
      </c>
      <c r="C8" s="65">
        <v>52</v>
      </c>
      <c r="D8" s="64" t="s">
        <v>495</v>
      </c>
      <c r="E8" s="65">
        <v>631</v>
      </c>
      <c r="F8" s="65">
        <v>631110000</v>
      </c>
    </row>
    <row r="9" spans="1:26" ht="14.25">
      <c r="B9" s="64" t="s">
        <v>497</v>
      </c>
      <c r="C9" s="65">
        <v>52</v>
      </c>
      <c r="D9" s="64" t="s">
        <v>495</v>
      </c>
      <c r="E9" s="65">
        <v>631</v>
      </c>
      <c r="F9" s="65">
        <v>631120000</v>
      </c>
    </row>
    <row r="10" spans="1:26" ht="14.25">
      <c r="B10" s="64" t="s">
        <v>499</v>
      </c>
      <c r="C10" s="65">
        <v>52</v>
      </c>
      <c r="D10" s="64" t="s">
        <v>495</v>
      </c>
      <c r="E10" s="65">
        <v>631</v>
      </c>
      <c r="F10" s="65">
        <v>631210000</v>
      </c>
    </row>
    <row r="11" spans="1:26">
      <c r="A11" s="44"/>
      <c r="B11" s="64" t="s">
        <v>501</v>
      </c>
      <c r="C11" s="65">
        <v>52</v>
      </c>
      <c r="D11" s="64" t="s">
        <v>495</v>
      </c>
      <c r="E11" s="65">
        <v>631</v>
      </c>
      <c r="F11" s="65">
        <v>631220000</v>
      </c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</row>
    <row r="12" spans="1:26">
      <c r="A12" s="44"/>
      <c r="B12" s="64" t="s">
        <v>503</v>
      </c>
      <c r="C12" s="65">
        <v>52</v>
      </c>
      <c r="D12" s="64" t="s">
        <v>495</v>
      </c>
      <c r="E12" s="65">
        <v>632</v>
      </c>
      <c r="F12" s="65">
        <v>632112000</v>
      </c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</row>
    <row r="13" spans="1:26">
      <c r="A13" s="44"/>
      <c r="B13" s="64" t="s">
        <v>505</v>
      </c>
      <c r="C13" s="65">
        <v>52</v>
      </c>
      <c r="D13" s="64" t="s">
        <v>495</v>
      </c>
      <c r="E13" s="65">
        <v>632</v>
      </c>
      <c r="F13" s="65">
        <v>632212000</v>
      </c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</row>
    <row r="14" spans="1:26">
      <c r="A14" s="44"/>
      <c r="B14" s="64" t="s">
        <v>507</v>
      </c>
      <c r="C14" s="65">
        <v>552</v>
      </c>
      <c r="D14" s="64" t="s">
        <v>496</v>
      </c>
      <c r="E14" s="65">
        <v>632</v>
      </c>
      <c r="F14" s="65">
        <v>632310552</v>
      </c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</row>
    <row r="15" spans="1:26">
      <c r="A15" s="44"/>
      <c r="B15" s="64" t="s">
        <v>509</v>
      </c>
      <c r="C15" s="65">
        <v>559</v>
      </c>
      <c r="D15" s="64" t="s">
        <v>498</v>
      </c>
      <c r="E15" s="65">
        <v>632</v>
      </c>
      <c r="F15" s="65">
        <v>632310559</v>
      </c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</row>
    <row r="16" spans="1:26">
      <c r="A16" s="44"/>
      <c r="B16" s="64" t="s">
        <v>500</v>
      </c>
      <c r="C16" s="65">
        <v>561</v>
      </c>
      <c r="D16" s="64" t="s">
        <v>500</v>
      </c>
      <c r="E16" s="65">
        <v>632</v>
      </c>
      <c r="F16" s="65">
        <v>632310561</v>
      </c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</row>
    <row r="17" spans="1:26">
      <c r="A17" s="44"/>
      <c r="B17" s="64" t="s">
        <v>512</v>
      </c>
      <c r="C17" s="65">
        <v>563</v>
      </c>
      <c r="D17" s="64" t="s">
        <v>502</v>
      </c>
      <c r="E17" s="65">
        <v>632</v>
      </c>
      <c r="F17" s="65">
        <v>632310563</v>
      </c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</row>
    <row r="18" spans="1:26">
      <c r="A18" s="44"/>
      <c r="B18" s="64" t="s">
        <v>514</v>
      </c>
      <c r="C18" s="65">
        <v>573</v>
      </c>
      <c r="D18" s="64" t="s">
        <v>504</v>
      </c>
      <c r="E18" s="65">
        <v>632</v>
      </c>
      <c r="F18" s="65">
        <v>632310573</v>
      </c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</row>
    <row r="19" spans="1:26">
      <c r="A19" s="44"/>
      <c r="B19" s="64" t="s">
        <v>516</v>
      </c>
      <c r="C19" s="65">
        <v>575</v>
      </c>
      <c r="D19" s="64" t="s">
        <v>506</v>
      </c>
      <c r="E19" s="65">
        <v>632</v>
      </c>
      <c r="F19" s="65">
        <v>632310575</v>
      </c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</row>
    <row r="20" spans="1:26">
      <c r="A20" s="44"/>
      <c r="B20" s="64" t="s">
        <v>518</v>
      </c>
      <c r="C20" s="65">
        <v>576</v>
      </c>
      <c r="D20" s="64" t="s">
        <v>519</v>
      </c>
      <c r="E20" s="65">
        <v>632</v>
      </c>
      <c r="F20" s="65">
        <v>632315761</v>
      </c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</row>
    <row r="21" spans="1:26" ht="15.75" customHeight="1">
      <c r="A21" s="44"/>
      <c r="B21" s="64" t="s">
        <v>520</v>
      </c>
      <c r="C21" s="65">
        <v>581</v>
      </c>
      <c r="D21" s="64" t="s">
        <v>510</v>
      </c>
      <c r="E21" s="65">
        <v>632</v>
      </c>
      <c r="F21" s="65">
        <v>632310581</v>
      </c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</row>
    <row r="22" spans="1:26" ht="15.75" customHeight="1">
      <c r="A22" s="44"/>
      <c r="B22" s="64" t="s">
        <v>521</v>
      </c>
      <c r="C22" s="65">
        <v>51</v>
      </c>
      <c r="D22" s="64" t="s">
        <v>522</v>
      </c>
      <c r="E22" s="65">
        <v>632</v>
      </c>
      <c r="F22" s="65">
        <v>632311700</v>
      </c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</row>
    <row r="23" spans="1:26" ht="15.75" customHeight="1">
      <c r="A23" s="44"/>
      <c r="B23" s="64" t="s">
        <v>523</v>
      </c>
      <c r="C23" s="65">
        <v>51</v>
      </c>
      <c r="D23" s="64" t="s">
        <v>522</v>
      </c>
      <c r="E23" s="65">
        <v>632</v>
      </c>
      <c r="F23" s="65">
        <v>632311800</v>
      </c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</row>
    <row r="24" spans="1:26" ht="15.75" customHeight="1">
      <c r="A24" s="44"/>
      <c r="B24" s="64" t="s">
        <v>524</v>
      </c>
      <c r="C24" s="65">
        <v>552</v>
      </c>
      <c r="D24" s="64" t="s">
        <v>496</v>
      </c>
      <c r="E24" s="65">
        <v>632</v>
      </c>
      <c r="F24" s="65">
        <v>632410552</v>
      </c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</row>
    <row r="25" spans="1:26" ht="15.75" customHeight="1">
      <c r="A25" s="44"/>
      <c r="B25" s="64" t="s">
        <v>525</v>
      </c>
      <c r="C25" s="65">
        <v>559</v>
      </c>
      <c r="D25" s="64" t="s">
        <v>498</v>
      </c>
      <c r="E25" s="65">
        <v>632</v>
      </c>
      <c r="F25" s="65">
        <v>632410559</v>
      </c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</row>
    <row r="26" spans="1:26" ht="15.75" customHeight="1">
      <c r="A26" s="44"/>
      <c r="B26" s="64" t="s">
        <v>500</v>
      </c>
      <c r="C26" s="65">
        <v>561</v>
      </c>
      <c r="D26" s="64" t="s">
        <v>500</v>
      </c>
      <c r="E26" s="65">
        <v>632</v>
      </c>
      <c r="F26" s="65">
        <v>632410561</v>
      </c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</row>
    <row r="27" spans="1:26" ht="15.75" customHeight="1">
      <c r="A27" s="44"/>
      <c r="B27" s="64" t="s">
        <v>512</v>
      </c>
      <c r="C27" s="65">
        <v>563</v>
      </c>
      <c r="D27" s="64" t="s">
        <v>502</v>
      </c>
      <c r="E27" s="65">
        <v>632</v>
      </c>
      <c r="F27" s="65">
        <v>632410563</v>
      </c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</row>
    <row r="28" spans="1:26" ht="15.75" customHeight="1">
      <c r="A28" s="44"/>
      <c r="B28" s="64" t="s">
        <v>526</v>
      </c>
      <c r="C28" s="65">
        <v>573</v>
      </c>
      <c r="D28" s="64" t="s">
        <v>504</v>
      </c>
      <c r="E28" s="65">
        <v>632</v>
      </c>
      <c r="F28" s="65">
        <v>632410573</v>
      </c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</row>
    <row r="29" spans="1:26" ht="15.75" customHeight="1">
      <c r="A29" s="44"/>
      <c r="B29" s="64" t="s">
        <v>527</v>
      </c>
      <c r="C29" s="65">
        <v>575</v>
      </c>
      <c r="D29" s="64" t="s">
        <v>506</v>
      </c>
      <c r="E29" s="65">
        <v>632</v>
      </c>
      <c r="F29" s="65">
        <v>632410575</v>
      </c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</row>
    <row r="30" spans="1:26" ht="15.75" customHeight="1">
      <c r="B30" s="64" t="s">
        <v>528</v>
      </c>
      <c r="C30" s="65">
        <v>576</v>
      </c>
      <c r="D30" s="64" t="s">
        <v>519</v>
      </c>
      <c r="E30" s="65">
        <v>632</v>
      </c>
      <c r="F30" s="65">
        <v>632415761</v>
      </c>
    </row>
    <row r="31" spans="1:26" ht="15.75" customHeight="1">
      <c r="B31" s="64" t="s">
        <v>529</v>
      </c>
      <c r="C31" s="65">
        <v>581</v>
      </c>
      <c r="D31" s="64" t="s">
        <v>510</v>
      </c>
      <c r="E31" s="65">
        <v>632</v>
      </c>
      <c r="F31" s="65">
        <v>632410581</v>
      </c>
    </row>
    <row r="32" spans="1:26" ht="15.75" customHeight="1">
      <c r="B32" s="64" t="s">
        <v>530</v>
      </c>
      <c r="C32" s="65">
        <v>51</v>
      </c>
      <c r="D32" s="64" t="s">
        <v>522</v>
      </c>
      <c r="E32" s="65">
        <v>632</v>
      </c>
      <c r="F32" s="65">
        <v>632411700</v>
      </c>
    </row>
    <row r="33" spans="2:6" ht="15.75" customHeight="1">
      <c r="B33" s="64" t="s">
        <v>531</v>
      </c>
      <c r="C33" s="65">
        <v>52</v>
      </c>
      <c r="D33" s="64" t="s">
        <v>495</v>
      </c>
      <c r="E33" s="65">
        <v>634</v>
      </c>
      <c r="F33" s="65">
        <v>6341</v>
      </c>
    </row>
    <row r="34" spans="2:6" ht="15.75" customHeight="1">
      <c r="B34" s="64" t="s">
        <v>532</v>
      </c>
      <c r="C34" s="65">
        <v>52</v>
      </c>
      <c r="D34" s="64" t="s">
        <v>495</v>
      </c>
      <c r="E34" s="65">
        <v>634</v>
      </c>
      <c r="F34" s="65">
        <v>6342</v>
      </c>
    </row>
    <row r="35" spans="2:6" ht="15.75" customHeight="1">
      <c r="B35" s="64" t="s">
        <v>533</v>
      </c>
      <c r="C35" s="65">
        <v>52</v>
      </c>
      <c r="D35" s="64" t="s">
        <v>495</v>
      </c>
      <c r="E35" s="65">
        <v>636</v>
      </c>
      <c r="F35" s="65">
        <v>6361</v>
      </c>
    </row>
    <row r="36" spans="2:6" ht="15.75" customHeight="1">
      <c r="B36" s="64" t="s">
        <v>534</v>
      </c>
      <c r="C36" s="65">
        <v>52</v>
      </c>
      <c r="D36" s="64" t="s">
        <v>495</v>
      </c>
      <c r="E36" s="65">
        <v>636</v>
      </c>
      <c r="F36" s="65">
        <v>6362</v>
      </c>
    </row>
    <row r="37" spans="2:6" ht="15.75" customHeight="1">
      <c r="B37" s="64" t="s">
        <v>535</v>
      </c>
      <c r="C37" s="65">
        <v>52</v>
      </c>
      <c r="D37" s="64" t="s">
        <v>495</v>
      </c>
      <c r="E37" s="65">
        <v>638</v>
      </c>
      <c r="F37" s="65">
        <v>6381</v>
      </c>
    </row>
    <row r="38" spans="2:6" ht="15.75" customHeight="1">
      <c r="B38" s="64" t="s">
        <v>536</v>
      </c>
      <c r="C38" s="65">
        <v>52</v>
      </c>
      <c r="D38" s="64" t="s">
        <v>495</v>
      </c>
      <c r="E38" s="65">
        <v>638</v>
      </c>
      <c r="F38" s="65">
        <v>6382</v>
      </c>
    </row>
    <row r="39" spans="2:6" ht="15.75" customHeight="1">
      <c r="B39" s="64" t="s">
        <v>537</v>
      </c>
      <c r="C39" s="65">
        <v>52</v>
      </c>
      <c r="D39" s="64" t="s">
        <v>495</v>
      </c>
      <c r="E39" s="65">
        <v>639</v>
      </c>
      <c r="F39" s="65">
        <v>6391</v>
      </c>
    </row>
    <row r="40" spans="2:6" ht="15.75" customHeight="1">
      <c r="B40" s="64" t="s">
        <v>538</v>
      </c>
      <c r="C40" s="65">
        <v>52</v>
      </c>
      <c r="D40" s="64" t="s">
        <v>495</v>
      </c>
      <c r="E40" s="65">
        <v>639</v>
      </c>
      <c r="F40" s="65">
        <v>6392</v>
      </c>
    </row>
    <row r="41" spans="2:6" ht="15.75" customHeight="1">
      <c r="B41" s="64" t="s">
        <v>539</v>
      </c>
      <c r="C41" s="65">
        <v>52</v>
      </c>
      <c r="D41" s="64" t="s">
        <v>495</v>
      </c>
      <c r="E41" s="65">
        <v>639</v>
      </c>
      <c r="F41" s="65">
        <v>6393</v>
      </c>
    </row>
    <row r="42" spans="2:6" ht="15.75" customHeight="1">
      <c r="B42" s="64" t="s">
        <v>540</v>
      </c>
      <c r="C42" s="65">
        <v>52</v>
      </c>
      <c r="D42" s="64" t="s">
        <v>495</v>
      </c>
      <c r="E42" s="65">
        <v>639</v>
      </c>
      <c r="F42" s="65">
        <v>6394</v>
      </c>
    </row>
    <row r="43" spans="2:6" ht="15.75" customHeight="1">
      <c r="B43" s="64" t="s">
        <v>541</v>
      </c>
      <c r="C43" s="65">
        <v>31</v>
      </c>
      <c r="D43" s="64" t="s">
        <v>485</v>
      </c>
      <c r="E43" s="65">
        <v>641</v>
      </c>
      <c r="F43" s="65">
        <v>641290031</v>
      </c>
    </row>
    <row r="44" spans="2:6" ht="15.75" customHeight="1">
      <c r="B44" s="64" t="s">
        <v>542</v>
      </c>
      <c r="C44" s="65">
        <v>31</v>
      </c>
      <c r="D44" s="64" t="s">
        <v>485</v>
      </c>
      <c r="E44" s="65">
        <v>641</v>
      </c>
      <c r="F44" s="65">
        <v>641310031</v>
      </c>
    </row>
    <row r="45" spans="2:6" ht="15.75" customHeight="1">
      <c r="B45" s="64" t="s">
        <v>543</v>
      </c>
      <c r="C45" s="65">
        <v>31</v>
      </c>
      <c r="D45" s="64" t="s">
        <v>485</v>
      </c>
      <c r="E45" s="65">
        <v>641</v>
      </c>
      <c r="F45" s="65">
        <v>641320031</v>
      </c>
    </row>
    <row r="46" spans="2:6" ht="15.75" customHeight="1">
      <c r="B46" s="64" t="s">
        <v>544</v>
      </c>
      <c r="C46" s="65">
        <v>43</v>
      </c>
      <c r="D46" s="64" t="s">
        <v>489</v>
      </c>
      <c r="E46" s="65">
        <v>641</v>
      </c>
      <c r="F46" s="65">
        <v>641320043</v>
      </c>
    </row>
    <row r="47" spans="2:6" ht="15.75" customHeight="1">
      <c r="B47" s="64" t="s">
        <v>545</v>
      </c>
      <c r="C47" s="65">
        <v>31</v>
      </c>
      <c r="D47" s="64" t="s">
        <v>485</v>
      </c>
      <c r="E47" s="65">
        <v>641</v>
      </c>
      <c r="F47" s="65">
        <v>641510031</v>
      </c>
    </row>
    <row r="48" spans="2:6" ht="15.75" customHeight="1">
      <c r="B48" s="64" t="s">
        <v>546</v>
      </c>
      <c r="C48" s="65">
        <v>43</v>
      </c>
      <c r="D48" s="64" t="s">
        <v>489</v>
      </c>
      <c r="E48" s="65">
        <v>641</v>
      </c>
      <c r="F48" s="65">
        <v>641510043</v>
      </c>
    </row>
    <row r="49" spans="2:6" ht="15.75" customHeight="1">
      <c r="B49" s="64" t="s">
        <v>547</v>
      </c>
      <c r="C49" s="65">
        <v>31</v>
      </c>
      <c r="D49" s="64" t="s">
        <v>485</v>
      </c>
      <c r="E49" s="65">
        <v>641</v>
      </c>
      <c r="F49" s="65">
        <v>641630031</v>
      </c>
    </row>
    <row r="50" spans="2:6" ht="15.75" customHeight="1">
      <c r="B50" s="64" t="s">
        <v>548</v>
      </c>
      <c r="C50" s="65">
        <v>43</v>
      </c>
      <c r="D50" s="64" t="s">
        <v>489</v>
      </c>
      <c r="E50" s="65">
        <v>641</v>
      </c>
      <c r="F50" s="65">
        <v>641720043</v>
      </c>
    </row>
    <row r="51" spans="2:6" ht="15.75" customHeight="1">
      <c r="B51" s="64" t="s">
        <v>549</v>
      </c>
      <c r="C51" s="65">
        <v>41</v>
      </c>
      <c r="D51" s="64" t="s">
        <v>487</v>
      </c>
      <c r="E51" s="65">
        <v>641</v>
      </c>
      <c r="F51" s="65">
        <v>641770041</v>
      </c>
    </row>
    <row r="52" spans="2:6" ht="15.75" customHeight="1">
      <c r="B52" s="64" t="s">
        <v>550</v>
      </c>
      <c r="C52" s="65">
        <v>43</v>
      </c>
      <c r="D52" s="64" t="s">
        <v>489</v>
      </c>
      <c r="E52" s="65">
        <v>641</v>
      </c>
      <c r="F52" s="65">
        <v>641990043</v>
      </c>
    </row>
    <row r="53" spans="2:6" ht="15.75" customHeight="1">
      <c r="B53" s="64" t="s">
        <v>551</v>
      </c>
      <c r="C53" s="65">
        <v>31</v>
      </c>
      <c r="D53" s="64" t="s">
        <v>485</v>
      </c>
      <c r="E53" s="65">
        <v>642</v>
      </c>
      <c r="F53" s="65">
        <v>642510031</v>
      </c>
    </row>
    <row r="54" spans="2:6" ht="15.75" customHeight="1">
      <c r="B54" s="64" t="s">
        <v>552</v>
      </c>
      <c r="C54" s="65">
        <v>31</v>
      </c>
      <c r="D54" s="64" t="s">
        <v>485</v>
      </c>
      <c r="E54" s="65">
        <v>642</v>
      </c>
      <c r="F54" s="65">
        <v>642990031</v>
      </c>
    </row>
    <row r="55" spans="2:6" ht="15.75" customHeight="1">
      <c r="B55" s="64" t="s">
        <v>553</v>
      </c>
      <c r="C55" s="65">
        <v>43</v>
      </c>
      <c r="D55" s="64" t="s">
        <v>489</v>
      </c>
      <c r="E55" s="65">
        <v>651</v>
      </c>
      <c r="F55" s="65">
        <v>65148</v>
      </c>
    </row>
    <row r="56" spans="2:6" ht="15.75" customHeight="1">
      <c r="B56" s="64" t="s">
        <v>554</v>
      </c>
      <c r="C56" s="65">
        <v>43</v>
      </c>
      <c r="D56" s="64" t="s">
        <v>489</v>
      </c>
      <c r="E56" s="65">
        <v>652</v>
      </c>
      <c r="F56" s="65">
        <v>65218</v>
      </c>
    </row>
    <row r="57" spans="2:6" ht="15.75" customHeight="1">
      <c r="B57" s="64" t="s">
        <v>555</v>
      </c>
      <c r="C57" s="65">
        <v>43</v>
      </c>
      <c r="D57" s="64" t="s">
        <v>489</v>
      </c>
      <c r="E57" s="65">
        <v>652</v>
      </c>
      <c r="F57" s="65">
        <v>65264</v>
      </c>
    </row>
    <row r="58" spans="2:6" ht="15.75" customHeight="1">
      <c r="B58" s="64" t="s">
        <v>556</v>
      </c>
      <c r="C58" s="65">
        <v>43</v>
      </c>
      <c r="D58" s="64" t="s">
        <v>489</v>
      </c>
      <c r="E58" s="65">
        <v>652</v>
      </c>
      <c r="F58" s="65">
        <v>652670043</v>
      </c>
    </row>
    <row r="59" spans="2:6" ht="15.75" customHeight="1">
      <c r="B59" s="64" t="s">
        <v>557</v>
      </c>
      <c r="C59" s="65">
        <v>71</v>
      </c>
      <c r="D59" s="64" t="s">
        <v>513</v>
      </c>
      <c r="E59" s="65">
        <v>652</v>
      </c>
      <c r="F59" s="65">
        <v>652670071</v>
      </c>
    </row>
    <row r="60" spans="2:6" ht="15.75" customHeight="1">
      <c r="B60" s="64" t="s">
        <v>558</v>
      </c>
      <c r="C60" s="65">
        <v>43</v>
      </c>
      <c r="D60" s="64" t="s">
        <v>489</v>
      </c>
      <c r="E60" s="65">
        <v>652</v>
      </c>
      <c r="F60" s="65">
        <v>65268</v>
      </c>
    </row>
    <row r="61" spans="2:6" ht="15.75" customHeight="1">
      <c r="B61" s="64" t="s">
        <v>559</v>
      </c>
      <c r="C61" s="65">
        <v>31</v>
      </c>
      <c r="D61" s="64" t="s">
        <v>485</v>
      </c>
      <c r="E61" s="65">
        <v>661</v>
      </c>
      <c r="F61" s="65">
        <v>6614</v>
      </c>
    </row>
    <row r="62" spans="2:6" ht="15.75" customHeight="1">
      <c r="B62" s="64" t="s">
        <v>560</v>
      </c>
      <c r="C62" s="65">
        <v>31</v>
      </c>
      <c r="D62" s="64" t="s">
        <v>485</v>
      </c>
      <c r="E62" s="65">
        <v>661</v>
      </c>
      <c r="F62" s="65">
        <v>6615</v>
      </c>
    </row>
    <row r="63" spans="2:6" ht="15.75" customHeight="1">
      <c r="B63" s="64" t="s">
        <v>561</v>
      </c>
      <c r="C63" s="65">
        <v>61</v>
      </c>
      <c r="D63" s="64" t="s">
        <v>562</v>
      </c>
      <c r="E63" s="65">
        <v>663</v>
      </c>
      <c r="F63" s="65">
        <v>663110000</v>
      </c>
    </row>
    <row r="64" spans="2:6" ht="15.75" customHeight="1">
      <c r="B64" s="64" t="s">
        <v>563</v>
      </c>
      <c r="C64" s="65">
        <v>61</v>
      </c>
      <c r="D64" s="64" t="s">
        <v>562</v>
      </c>
      <c r="E64" s="65">
        <v>663</v>
      </c>
      <c r="F64" s="65">
        <v>663120000</v>
      </c>
    </row>
    <row r="65" spans="2:6" ht="15.75" customHeight="1">
      <c r="B65" s="64" t="s">
        <v>564</v>
      </c>
      <c r="C65" s="65">
        <v>61</v>
      </c>
      <c r="D65" s="64" t="s">
        <v>562</v>
      </c>
      <c r="E65" s="65">
        <v>663</v>
      </c>
      <c r="F65" s="65">
        <v>663130000</v>
      </c>
    </row>
    <row r="66" spans="2:6" ht="15.75" customHeight="1">
      <c r="B66" s="64" t="s">
        <v>565</v>
      </c>
      <c r="C66" s="65">
        <v>61</v>
      </c>
      <c r="D66" s="64" t="s">
        <v>562</v>
      </c>
      <c r="E66" s="65">
        <v>663</v>
      </c>
      <c r="F66" s="65">
        <v>663140000</v>
      </c>
    </row>
    <row r="67" spans="2:6" ht="15.75" customHeight="1">
      <c r="B67" s="64" t="s">
        <v>566</v>
      </c>
      <c r="C67" s="65">
        <v>61</v>
      </c>
      <c r="D67" s="64" t="s">
        <v>562</v>
      </c>
      <c r="E67" s="65">
        <v>663</v>
      </c>
      <c r="F67" s="65">
        <v>663210000</v>
      </c>
    </row>
    <row r="68" spans="2:6" ht="15.75" customHeight="1">
      <c r="B68" s="64" t="s">
        <v>567</v>
      </c>
      <c r="C68" s="65">
        <v>61</v>
      </c>
      <c r="D68" s="64" t="s">
        <v>562</v>
      </c>
      <c r="E68" s="65">
        <v>663</v>
      </c>
      <c r="F68" s="65">
        <v>663220000</v>
      </c>
    </row>
    <row r="69" spans="2:6" ht="15.75" customHeight="1">
      <c r="B69" s="64" t="s">
        <v>568</v>
      </c>
      <c r="C69" s="65">
        <v>61</v>
      </c>
      <c r="D69" s="64" t="s">
        <v>562</v>
      </c>
      <c r="E69" s="65">
        <v>663</v>
      </c>
      <c r="F69" s="65">
        <v>663230000</v>
      </c>
    </row>
    <row r="70" spans="2:6" ht="15.75" customHeight="1">
      <c r="B70" s="64" t="s">
        <v>569</v>
      </c>
      <c r="C70" s="65">
        <v>61</v>
      </c>
      <c r="D70" s="64" t="s">
        <v>562</v>
      </c>
      <c r="E70" s="65">
        <v>663</v>
      </c>
      <c r="F70" s="65">
        <v>663240000</v>
      </c>
    </row>
    <row r="71" spans="2:6" ht="15.75" customHeight="1">
      <c r="B71" s="64" t="s">
        <v>570</v>
      </c>
      <c r="C71" s="65">
        <v>43</v>
      </c>
      <c r="D71" s="64" t="s">
        <v>489</v>
      </c>
      <c r="E71" s="65">
        <v>681</v>
      </c>
      <c r="F71" s="65">
        <v>681910043</v>
      </c>
    </row>
    <row r="72" spans="2:6" ht="15.75" customHeight="1">
      <c r="B72" s="64" t="s">
        <v>571</v>
      </c>
      <c r="C72" s="65">
        <v>31</v>
      </c>
      <c r="D72" s="64" t="s">
        <v>485</v>
      </c>
      <c r="E72" s="65">
        <v>683</v>
      </c>
      <c r="F72" s="65">
        <v>683110031</v>
      </c>
    </row>
    <row r="73" spans="2:6" ht="15.75" customHeight="1">
      <c r="B73" s="64" t="s">
        <v>572</v>
      </c>
      <c r="C73" s="65">
        <v>43</v>
      </c>
      <c r="D73" s="64" t="s">
        <v>489</v>
      </c>
      <c r="E73" s="65">
        <v>683</v>
      </c>
      <c r="F73" s="65">
        <v>683110043</v>
      </c>
    </row>
    <row r="74" spans="2:6" ht="15.75" customHeight="1">
      <c r="B74" s="64" t="s">
        <v>573</v>
      </c>
      <c r="C74" s="65">
        <v>71</v>
      </c>
      <c r="D74" s="64" t="s">
        <v>574</v>
      </c>
      <c r="E74" s="65">
        <v>711</v>
      </c>
      <c r="F74" s="65">
        <v>711110071</v>
      </c>
    </row>
    <row r="75" spans="2:6" ht="15.75" customHeight="1">
      <c r="B75" s="64" t="s">
        <v>575</v>
      </c>
      <c r="C75" s="65">
        <v>71</v>
      </c>
      <c r="D75" s="64" t="s">
        <v>574</v>
      </c>
      <c r="E75" s="65">
        <v>711</v>
      </c>
      <c r="F75" s="65">
        <v>711120071</v>
      </c>
    </row>
    <row r="76" spans="2:6" ht="15.75" customHeight="1">
      <c r="B76" s="64" t="s">
        <v>576</v>
      </c>
      <c r="C76" s="65">
        <v>71</v>
      </c>
      <c r="D76" s="64" t="s">
        <v>574</v>
      </c>
      <c r="E76" s="65">
        <v>712</v>
      </c>
      <c r="F76" s="65">
        <v>712410071</v>
      </c>
    </row>
    <row r="77" spans="2:6" ht="15.75" customHeight="1">
      <c r="B77" s="64" t="s">
        <v>577</v>
      </c>
      <c r="C77" s="65">
        <v>71</v>
      </c>
      <c r="D77" s="64" t="s">
        <v>574</v>
      </c>
      <c r="E77" s="65">
        <v>712</v>
      </c>
      <c r="F77" s="65">
        <v>712490071</v>
      </c>
    </row>
    <row r="78" spans="2:6" ht="15.75" customHeight="1">
      <c r="B78" s="64" t="s">
        <v>578</v>
      </c>
      <c r="C78" s="65">
        <v>71</v>
      </c>
      <c r="D78" s="64" t="s">
        <v>574</v>
      </c>
      <c r="E78" s="65">
        <v>721</v>
      </c>
      <c r="F78" s="65">
        <v>721110071</v>
      </c>
    </row>
    <row r="79" spans="2:6" ht="15.75" customHeight="1">
      <c r="B79" s="64" t="s">
        <v>579</v>
      </c>
      <c r="C79" s="65">
        <v>71</v>
      </c>
      <c r="D79" s="64" t="s">
        <v>574</v>
      </c>
      <c r="E79" s="65">
        <v>721</v>
      </c>
      <c r="F79" s="65">
        <v>721190071</v>
      </c>
    </row>
    <row r="80" spans="2:6" ht="15.75" customHeight="1">
      <c r="B80" s="64" t="s">
        <v>580</v>
      </c>
      <c r="C80" s="65">
        <v>71</v>
      </c>
      <c r="D80" s="64" t="s">
        <v>574</v>
      </c>
      <c r="E80" s="65">
        <v>721</v>
      </c>
      <c r="F80" s="65">
        <v>721230071</v>
      </c>
    </row>
    <row r="81" spans="2:6" ht="15.75" customHeight="1">
      <c r="B81" s="64" t="s">
        <v>581</v>
      </c>
      <c r="C81" s="65">
        <v>71</v>
      </c>
      <c r="D81" s="64" t="s">
        <v>574</v>
      </c>
      <c r="E81" s="65">
        <v>721</v>
      </c>
      <c r="F81" s="65">
        <v>721290071</v>
      </c>
    </row>
    <row r="82" spans="2:6" ht="15.75" customHeight="1">
      <c r="B82" s="64" t="s">
        <v>582</v>
      </c>
      <c r="C82" s="65">
        <v>71</v>
      </c>
      <c r="D82" s="64" t="s">
        <v>574</v>
      </c>
      <c r="E82" s="65">
        <v>722</v>
      </c>
      <c r="F82" s="65">
        <v>722110071</v>
      </c>
    </row>
    <row r="83" spans="2:6" ht="15.75" customHeight="1">
      <c r="B83" s="64" t="s">
        <v>583</v>
      </c>
      <c r="C83" s="65">
        <v>71</v>
      </c>
      <c r="D83" s="64" t="s">
        <v>574</v>
      </c>
      <c r="E83" s="65">
        <v>722</v>
      </c>
      <c r="F83" s="65">
        <v>722120071</v>
      </c>
    </row>
    <row r="84" spans="2:6" ht="15.75" customHeight="1">
      <c r="B84" s="64" t="s">
        <v>584</v>
      </c>
      <c r="C84" s="65">
        <v>71</v>
      </c>
      <c r="D84" s="64" t="s">
        <v>574</v>
      </c>
      <c r="E84" s="65">
        <v>722</v>
      </c>
      <c r="F84" s="65">
        <v>722190071</v>
      </c>
    </row>
    <row r="85" spans="2:6" ht="15.75" customHeight="1">
      <c r="B85" s="64" t="s">
        <v>585</v>
      </c>
      <c r="C85" s="65">
        <v>71</v>
      </c>
      <c r="D85" s="64" t="s">
        <v>574</v>
      </c>
      <c r="E85" s="65">
        <v>722</v>
      </c>
      <c r="F85" s="65">
        <v>722620071</v>
      </c>
    </row>
    <row r="86" spans="2:6" ht="15.75" customHeight="1">
      <c r="B86" s="64" t="s">
        <v>586</v>
      </c>
      <c r="C86" s="65">
        <v>71</v>
      </c>
      <c r="D86" s="64" t="s">
        <v>513</v>
      </c>
      <c r="E86" s="65">
        <v>722</v>
      </c>
      <c r="F86" s="65">
        <v>722720071</v>
      </c>
    </row>
    <row r="87" spans="2:6" ht="15.75" customHeight="1">
      <c r="B87" s="64" t="s">
        <v>587</v>
      </c>
      <c r="C87" s="65">
        <v>71</v>
      </c>
      <c r="D87" s="64" t="s">
        <v>574</v>
      </c>
      <c r="E87" s="65">
        <v>722</v>
      </c>
      <c r="F87" s="65">
        <v>722730071</v>
      </c>
    </row>
    <row r="88" spans="2:6" ht="15.75" customHeight="1">
      <c r="B88" s="64" t="s">
        <v>588</v>
      </c>
      <c r="C88" s="65">
        <v>71</v>
      </c>
      <c r="D88" s="64" t="s">
        <v>574</v>
      </c>
      <c r="E88" s="65">
        <v>723</v>
      </c>
      <c r="F88" s="65">
        <v>723110071</v>
      </c>
    </row>
    <row r="89" spans="2:6" ht="15.75" customHeight="1">
      <c r="B89" s="64" t="s">
        <v>589</v>
      </c>
      <c r="C89" s="65">
        <v>71</v>
      </c>
      <c r="D89" s="64" t="s">
        <v>574</v>
      </c>
      <c r="E89" s="65">
        <v>723</v>
      </c>
      <c r="F89" s="65">
        <v>723130071</v>
      </c>
    </row>
    <row r="90" spans="2:6" ht="15.75" customHeight="1">
      <c r="B90" s="64" t="s">
        <v>590</v>
      </c>
      <c r="C90" s="65">
        <v>71</v>
      </c>
      <c r="D90" s="64" t="s">
        <v>574</v>
      </c>
      <c r="E90" s="65">
        <v>723</v>
      </c>
      <c r="F90" s="65">
        <v>723140071</v>
      </c>
    </row>
    <row r="91" spans="2:6" ht="15.75" customHeight="1">
      <c r="B91" s="64" t="s">
        <v>591</v>
      </c>
      <c r="C91" s="65">
        <v>71</v>
      </c>
      <c r="D91" s="64" t="s">
        <v>574</v>
      </c>
      <c r="E91" s="65">
        <v>723</v>
      </c>
      <c r="F91" s="65">
        <v>723150071</v>
      </c>
    </row>
    <row r="92" spans="2:6" ht="15.75" customHeight="1">
      <c r="B92" s="64" t="s">
        <v>592</v>
      </c>
      <c r="C92" s="65">
        <v>71</v>
      </c>
      <c r="D92" s="64" t="s">
        <v>574</v>
      </c>
      <c r="E92" s="65">
        <v>723</v>
      </c>
      <c r="F92" s="65">
        <v>723160071</v>
      </c>
    </row>
    <row r="93" spans="2:6" ht="15.75" customHeight="1">
      <c r="B93" s="64" t="s">
        <v>593</v>
      </c>
      <c r="C93" s="65">
        <v>71</v>
      </c>
      <c r="D93" s="64" t="s">
        <v>513</v>
      </c>
      <c r="E93" s="65">
        <v>723</v>
      </c>
      <c r="F93" s="65">
        <v>723190071</v>
      </c>
    </row>
    <row r="94" spans="2:6" ht="15.75" customHeight="1">
      <c r="B94" s="64" t="s">
        <v>594</v>
      </c>
      <c r="C94" s="65">
        <v>71</v>
      </c>
      <c r="D94" s="64" t="s">
        <v>574</v>
      </c>
      <c r="E94" s="65">
        <v>723</v>
      </c>
      <c r="F94" s="65">
        <v>723310071</v>
      </c>
    </row>
    <row r="95" spans="2:6" ht="15.75" customHeight="1">
      <c r="B95" s="64" t="s">
        <v>595</v>
      </c>
      <c r="C95" s="65">
        <v>71</v>
      </c>
      <c r="D95" s="64" t="s">
        <v>574</v>
      </c>
      <c r="E95" s="65">
        <v>725</v>
      </c>
      <c r="F95" s="65">
        <v>725210071</v>
      </c>
    </row>
    <row r="96" spans="2:6" ht="15.75" customHeight="1">
      <c r="B96" s="64" t="s">
        <v>596</v>
      </c>
      <c r="C96" s="65">
        <v>43</v>
      </c>
      <c r="D96" s="64" t="s">
        <v>489</v>
      </c>
      <c r="E96" s="65">
        <v>818</v>
      </c>
      <c r="F96" s="65">
        <v>818110043</v>
      </c>
    </row>
    <row r="97" spans="1:6" ht="15.75" customHeight="1">
      <c r="B97" s="64" t="s">
        <v>597</v>
      </c>
      <c r="C97" s="65">
        <v>43</v>
      </c>
      <c r="D97" s="64" t="s">
        <v>489</v>
      </c>
      <c r="E97" s="65">
        <v>818</v>
      </c>
      <c r="F97" s="65">
        <v>818120043</v>
      </c>
    </row>
    <row r="98" spans="1:6" ht="15.75" customHeight="1">
      <c r="B98" s="64" t="s">
        <v>598</v>
      </c>
      <c r="C98" s="65">
        <v>43</v>
      </c>
      <c r="D98" s="64" t="s">
        <v>489</v>
      </c>
      <c r="E98" s="65">
        <v>832</v>
      </c>
      <c r="F98" s="65">
        <v>832120043</v>
      </c>
    </row>
    <row r="99" spans="1:6" ht="15.75" customHeight="1">
      <c r="B99" s="64" t="s">
        <v>599</v>
      </c>
      <c r="C99" s="65">
        <v>43</v>
      </c>
      <c r="D99" s="64" t="s">
        <v>489</v>
      </c>
      <c r="E99" s="65">
        <v>833</v>
      </c>
      <c r="F99" s="65">
        <v>833130043</v>
      </c>
    </row>
    <row r="100" spans="1:6" ht="15.75" customHeight="1">
      <c r="B100" s="64" t="s">
        <v>600</v>
      </c>
      <c r="C100" s="65">
        <v>81</v>
      </c>
      <c r="D100" s="64" t="s">
        <v>601</v>
      </c>
      <c r="E100" s="65">
        <v>841</v>
      </c>
      <c r="F100" s="65">
        <v>841320000</v>
      </c>
    </row>
    <row r="101" spans="1:6" ht="15.75" customHeight="1">
      <c r="B101" s="64" t="s">
        <v>602</v>
      </c>
      <c r="C101" s="65">
        <v>81</v>
      </c>
      <c r="D101" s="64" t="s">
        <v>601</v>
      </c>
      <c r="E101" s="65">
        <v>842</v>
      </c>
      <c r="F101" s="65">
        <v>842220081</v>
      </c>
    </row>
    <row r="102" spans="1:6" ht="15.75" customHeight="1">
      <c r="A102" s="44"/>
      <c r="B102" s="44"/>
      <c r="C102" s="216"/>
      <c r="D102" s="217"/>
      <c r="E102" s="217"/>
      <c r="F102" s="44"/>
    </row>
    <row r="103" spans="1:6" ht="15.75" customHeight="1">
      <c r="C103" s="216"/>
      <c r="D103" s="217"/>
      <c r="E103" s="217"/>
      <c r="F103" s="44"/>
    </row>
    <row r="104" spans="1:6" ht="15.75" customHeight="1">
      <c r="C104" s="216"/>
      <c r="D104" s="217"/>
      <c r="E104" s="217"/>
      <c r="F104" s="44"/>
    </row>
    <row r="105" spans="1:6" ht="15.75" customHeight="1">
      <c r="C105" s="216"/>
      <c r="D105" s="217"/>
      <c r="E105" s="217"/>
      <c r="F105" s="44"/>
    </row>
    <row r="106" spans="1:6" ht="15.75" customHeight="1">
      <c r="A106" s="218"/>
      <c r="B106" s="218"/>
      <c r="C106" s="218"/>
      <c r="D106" s="218"/>
      <c r="E106" s="218"/>
      <c r="F106" s="218"/>
    </row>
    <row r="107" spans="1:6" ht="15.75" customHeight="1">
      <c r="A107" s="218"/>
      <c r="B107" s="218"/>
      <c r="C107" s="218"/>
      <c r="D107" s="218"/>
      <c r="E107" s="218"/>
      <c r="F107" s="218"/>
    </row>
    <row r="108" spans="1:6" ht="15.75" customHeight="1">
      <c r="A108" s="218"/>
      <c r="B108" s="218"/>
      <c r="C108" s="218"/>
      <c r="D108" s="218"/>
      <c r="E108" s="218"/>
      <c r="F108" s="218"/>
    </row>
    <row r="109" spans="1:6" ht="15.75" customHeight="1">
      <c r="A109" s="218"/>
      <c r="B109" s="218"/>
      <c r="C109" s="218"/>
      <c r="D109" s="218"/>
      <c r="E109" s="218"/>
      <c r="F109" s="218"/>
    </row>
    <row r="110" spans="1:6" ht="15.75" customHeight="1">
      <c r="A110" s="218"/>
      <c r="B110" s="218"/>
      <c r="C110" s="218"/>
      <c r="D110" s="218"/>
      <c r="E110" s="218"/>
      <c r="F110" s="218"/>
    </row>
    <row r="111" spans="1:6" ht="15.75" customHeight="1">
      <c r="A111" s="218"/>
      <c r="B111" s="218"/>
      <c r="C111" s="218"/>
      <c r="D111" s="218"/>
      <c r="E111" s="218"/>
      <c r="F111" s="218"/>
    </row>
    <row r="112" spans="1:6" ht="15.75" customHeight="1">
      <c r="A112" s="218"/>
      <c r="B112" s="218"/>
      <c r="C112" s="218"/>
      <c r="D112" s="218"/>
      <c r="E112" s="218"/>
      <c r="F112" s="218"/>
    </row>
    <row r="113" spans="1:6" ht="15.75" customHeight="1">
      <c r="A113" s="218"/>
      <c r="B113" s="218"/>
      <c r="C113" s="218"/>
      <c r="D113" s="218"/>
      <c r="E113" s="218"/>
      <c r="F113" s="218"/>
    </row>
    <row r="114" spans="1:6" ht="15.75" customHeight="1">
      <c r="A114" s="218"/>
      <c r="B114" s="218"/>
      <c r="C114" s="218"/>
      <c r="D114" s="218"/>
      <c r="E114" s="218"/>
      <c r="F114" s="218"/>
    </row>
    <row r="115" spans="1:6" ht="15.75" customHeight="1">
      <c r="A115" s="218"/>
      <c r="B115" s="218"/>
      <c r="C115" s="218"/>
      <c r="D115" s="218"/>
      <c r="E115" s="218"/>
      <c r="F115" s="218"/>
    </row>
    <row r="116" spans="1:6" ht="15.75" customHeight="1">
      <c r="A116" s="218"/>
      <c r="B116" s="218"/>
      <c r="C116" s="218"/>
      <c r="D116" s="218"/>
      <c r="E116" s="218"/>
      <c r="F116" s="218"/>
    </row>
    <row r="117" spans="1:6" ht="15.75" customHeight="1">
      <c r="A117" s="218"/>
      <c r="B117" s="218"/>
      <c r="C117" s="218"/>
      <c r="D117" s="218"/>
      <c r="E117" s="218"/>
      <c r="F117" s="218"/>
    </row>
    <row r="118" spans="1:6" ht="15.75" customHeight="1">
      <c r="A118" s="218"/>
      <c r="B118" s="218"/>
      <c r="C118" s="218"/>
      <c r="D118" s="218"/>
      <c r="E118" s="218"/>
      <c r="F118" s="218"/>
    </row>
    <row r="119" spans="1:6" ht="15.75" customHeight="1">
      <c r="C119" s="216"/>
      <c r="D119" s="217"/>
      <c r="E119" s="217"/>
      <c r="F119" s="44"/>
    </row>
    <row r="120" spans="1:6" ht="15.75" customHeight="1">
      <c r="C120" s="216"/>
      <c r="D120" s="217"/>
      <c r="E120" s="217"/>
      <c r="F120" s="44"/>
    </row>
    <row r="121" spans="1:6" ht="15.75" customHeight="1">
      <c r="C121" s="216"/>
      <c r="D121" s="217"/>
      <c r="E121" s="217"/>
      <c r="F121" s="44"/>
    </row>
    <row r="122" spans="1:6" ht="15.75" customHeight="1">
      <c r="C122" s="216"/>
      <c r="D122" s="217"/>
      <c r="E122" s="217"/>
      <c r="F122" s="44"/>
    </row>
    <row r="123" spans="1:6" ht="15.75" customHeight="1">
      <c r="C123" s="216"/>
      <c r="D123" s="217"/>
      <c r="E123" s="217"/>
      <c r="F123" s="44"/>
    </row>
    <row r="124" spans="1:6" ht="15.75" customHeight="1">
      <c r="C124" s="216"/>
      <c r="D124" s="217"/>
      <c r="E124" s="217"/>
      <c r="F124" s="44"/>
    </row>
    <row r="125" spans="1:6" ht="15.75" customHeight="1">
      <c r="C125" s="216"/>
      <c r="D125" s="217"/>
      <c r="E125" s="217"/>
      <c r="F125" s="44"/>
    </row>
    <row r="126" spans="1:6" ht="15.75" customHeight="1">
      <c r="C126" s="216"/>
      <c r="D126" s="217"/>
      <c r="E126" s="217"/>
      <c r="F126" s="44"/>
    </row>
    <row r="127" spans="1:6" ht="15.75" customHeight="1">
      <c r="C127" s="216"/>
      <c r="D127" s="217"/>
      <c r="E127" s="217"/>
      <c r="F127" s="44"/>
    </row>
    <row r="128" spans="1:6" ht="15.75" customHeight="1">
      <c r="C128" s="216"/>
      <c r="D128" s="217"/>
      <c r="E128" s="217"/>
      <c r="F128" s="44"/>
    </row>
    <row r="129" spans="3:6" ht="15.75" customHeight="1">
      <c r="C129" s="216"/>
      <c r="D129" s="217"/>
      <c r="E129" s="217"/>
      <c r="F129" s="44"/>
    </row>
    <row r="130" spans="3:6" ht="15.75" customHeight="1">
      <c r="C130" s="216"/>
      <c r="D130" s="217"/>
      <c r="E130" s="217"/>
      <c r="F130" s="44"/>
    </row>
    <row r="131" spans="3:6" ht="15.75" customHeight="1">
      <c r="C131" s="216"/>
      <c r="D131" s="217"/>
      <c r="E131" s="217"/>
      <c r="F131" s="44"/>
    </row>
    <row r="132" spans="3:6" ht="15.75" customHeight="1">
      <c r="C132" s="216"/>
      <c r="D132" s="217"/>
      <c r="E132" s="217"/>
      <c r="F132" s="44"/>
    </row>
    <row r="133" spans="3:6" ht="15.75" customHeight="1">
      <c r="C133" s="216"/>
      <c r="D133" s="217"/>
      <c r="E133" s="217"/>
      <c r="F133" s="44"/>
    </row>
    <row r="134" spans="3:6" ht="15.75" customHeight="1">
      <c r="C134" s="216"/>
      <c r="D134" s="217"/>
      <c r="E134" s="217"/>
      <c r="F134" s="44"/>
    </row>
    <row r="135" spans="3:6" ht="15.75" customHeight="1">
      <c r="C135" s="216"/>
      <c r="D135" s="217"/>
      <c r="E135" s="217"/>
      <c r="F135" s="44"/>
    </row>
    <row r="136" spans="3:6" ht="15.75" customHeight="1">
      <c r="C136" s="216"/>
      <c r="D136" s="217"/>
      <c r="E136" s="217"/>
      <c r="F136" s="44"/>
    </row>
    <row r="137" spans="3:6" ht="15.75" customHeight="1">
      <c r="C137" s="216"/>
      <c r="D137" s="217"/>
      <c r="E137" s="217"/>
      <c r="F137" s="44"/>
    </row>
    <row r="138" spans="3:6" ht="15.75" customHeight="1">
      <c r="C138" s="216"/>
      <c r="D138" s="217"/>
      <c r="E138" s="217"/>
      <c r="F138" s="44"/>
    </row>
    <row r="139" spans="3:6" ht="15.75" customHeight="1">
      <c r="C139" s="216"/>
      <c r="D139" s="217"/>
      <c r="E139" s="217"/>
      <c r="F139" s="44"/>
    </row>
    <row r="140" spans="3:6" ht="15.75" customHeight="1">
      <c r="C140" s="216"/>
      <c r="D140" s="217"/>
      <c r="E140" s="217"/>
      <c r="F140" s="44"/>
    </row>
    <row r="141" spans="3:6" ht="15.75" customHeight="1">
      <c r="C141" s="216"/>
      <c r="D141" s="217"/>
      <c r="E141" s="217"/>
      <c r="F141" s="44"/>
    </row>
    <row r="142" spans="3:6" ht="15.75" customHeight="1">
      <c r="C142" s="216"/>
      <c r="D142" s="217"/>
      <c r="E142" s="217"/>
      <c r="F142" s="44"/>
    </row>
    <row r="143" spans="3:6" ht="15.75" customHeight="1">
      <c r="C143" s="216"/>
      <c r="D143" s="217"/>
      <c r="E143" s="217"/>
      <c r="F143" s="44"/>
    </row>
    <row r="144" spans="3:6" ht="15.75" customHeight="1">
      <c r="C144" s="216"/>
      <c r="D144" s="217"/>
      <c r="E144" s="217"/>
      <c r="F144" s="44"/>
    </row>
    <row r="145" spans="3:6" ht="15.75" customHeight="1">
      <c r="C145" s="216"/>
      <c r="D145" s="217"/>
      <c r="E145" s="217"/>
      <c r="F145" s="44"/>
    </row>
    <row r="146" spans="3:6" ht="15.75" customHeight="1">
      <c r="C146" s="216"/>
      <c r="D146" s="217"/>
      <c r="E146" s="217"/>
      <c r="F146" s="44"/>
    </row>
    <row r="147" spans="3:6" ht="15.75" customHeight="1">
      <c r="C147" s="216"/>
      <c r="D147" s="217"/>
      <c r="E147" s="217"/>
      <c r="F147" s="44"/>
    </row>
    <row r="148" spans="3:6" ht="15.75" customHeight="1">
      <c r="C148" s="216"/>
      <c r="D148" s="217"/>
      <c r="E148" s="217"/>
      <c r="F148" s="44"/>
    </row>
    <row r="149" spans="3:6" ht="15.75" customHeight="1">
      <c r="C149" s="216"/>
      <c r="D149" s="217"/>
      <c r="E149" s="217"/>
      <c r="F149" s="44"/>
    </row>
    <row r="150" spans="3:6" ht="15.75" customHeight="1">
      <c r="C150" s="216"/>
      <c r="D150" s="217"/>
      <c r="E150" s="217"/>
      <c r="F150" s="44"/>
    </row>
    <row r="151" spans="3:6" ht="15.75" customHeight="1">
      <c r="C151" s="216"/>
      <c r="D151" s="217"/>
      <c r="E151" s="217"/>
      <c r="F151" s="44"/>
    </row>
    <row r="152" spans="3:6" ht="15.75" customHeight="1">
      <c r="C152" s="216"/>
      <c r="D152" s="217"/>
      <c r="E152" s="217"/>
      <c r="F152" s="44"/>
    </row>
    <row r="153" spans="3:6" ht="15.75" customHeight="1">
      <c r="C153" s="216"/>
      <c r="D153" s="217"/>
      <c r="E153" s="217"/>
      <c r="F153" s="44"/>
    </row>
    <row r="154" spans="3:6" ht="15.75" customHeight="1">
      <c r="C154" s="216"/>
      <c r="D154" s="217"/>
      <c r="E154" s="217"/>
      <c r="F154" s="44"/>
    </row>
    <row r="155" spans="3:6" ht="15.75" customHeight="1">
      <c r="C155" s="216"/>
      <c r="D155" s="217"/>
      <c r="E155" s="217"/>
      <c r="F155" s="44"/>
    </row>
    <row r="156" spans="3:6" ht="15.75" customHeight="1">
      <c r="C156" s="216"/>
      <c r="D156" s="217"/>
      <c r="E156" s="217"/>
      <c r="F156" s="44"/>
    </row>
    <row r="157" spans="3:6" ht="15.75" customHeight="1">
      <c r="C157" s="216"/>
      <c r="D157" s="217"/>
      <c r="E157" s="217"/>
      <c r="F157" s="44"/>
    </row>
    <row r="158" spans="3:6" ht="15.75" customHeight="1">
      <c r="C158" s="216"/>
      <c r="D158" s="217"/>
      <c r="E158" s="217"/>
      <c r="F158" s="44"/>
    </row>
    <row r="159" spans="3:6" ht="15.75" customHeight="1">
      <c r="C159" s="216"/>
      <c r="D159" s="217"/>
      <c r="E159" s="217"/>
      <c r="F159" s="44"/>
    </row>
    <row r="160" spans="3:6" ht="15.75" customHeight="1">
      <c r="C160" s="216"/>
      <c r="D160" s="217"/>
      <c r="E160" s="217"/>
      <c r="F160" s="44"/>
    </row>
    <row r="161" spans="3:6" ht="15.75" customHeight="1">
      <c r="C161" s="216"/>
      <c r="D161" s="217"/>
      <c r="E161" s="217"/>
      <c r="F161" s="44"/>
    </row>
    <row r="162" spans="3:6" ht="15.75" customHeight="1">
      <c r="C162" s="216"/>
      <c r="D162" s="217"/>
      <c r="E162" s="217"/>
      <c r="F162" s="44"/>
    </row>
    <row r="163" spans="3:6" ht="15.75" customHeight="1">
      <c r="C163" s="216"/>
      <c r="D163" s="217"/>
      <c r="E163" s="217"/>
      <c r="F163" s="44"/>
    </row>
    <row r="164" spans="3:6" ht="15.75" customHeight="1">
      <c r="C164" s="216"/>
      <c r="D164" s="217"/>
      <c r="E164" s="217"/>
      <c r="F164" s="44"/>
    </row>
    <row r="165" spans="3:6" ht="15.75" customHeight="1">
      <c r="C165" s="216"/>
      <c r="D165" s="217"/>
      <c r="E165" s="217"/>
      <c r="F165" s="44"/>
    </row>
    <row r="166" spans="3:6" ht="15.75" customHeight="1">
      <c r="C166" s="216"/>
      <c r="D166" s="217"/>
      <c r="E166" s="217"/>
      <c r="F166" s="44"/>
    </row>
    <row r="167" spans="3:6" ht="15.75" customHeight="1">
      <c r="C167" s="216"/>
      <c r="D167" s="217"/>
      <c r="E167" s="217"/>
      <c r="F167" s="44"/>
    </row>
    <row r="168" spans="3:6" ht="15.75" customHeight="1">
      <c r="C168" s="216"/>
      <c r="D168" s="217"/>
      <c r="E168" s="217"/>
      <c r="F168" s="44"/>
    </row>
    <row r="169" spans="3:6" ht="15.75" customHeight="1">
      <c r="C169" s="216"/>
      <c r="D169" s="217"/>
      <c r="E169" s="217"/>
      <c r="F169" s="44"/>
    </row>
    <row r="170" spans="3:6" ht="15.75" customHeight="1">
      <c r="C170" s="216"/>
      <c r="D170" s="217"/>
      <c r="E170" s="217"/>
      <c r="F170" s="44"/>
    </row>
    <row r="171" spans="3:6" ht="15.75" customHeight="1">
      <c r="C171" s="216"/>
      <c r="D171" s="217"/>
      <c r="E171" s="217"/>
      <c r="F171" s="44"/>
    </row>
    <row r="172" spans="3:6" ht="15.75" customHeight="1">
      <c r="C172" s="216"/>
      <c r="D172" s="217"/>
      <c r="E172" s="217"/>
      <c r="F172" s="44"/>
    </row>
    <row r="173" spans="3:6" ht="15.75" customHeight="1">
      <c r="C173" s="216"/>
      <c r="D173" s="217"/>
      <c r="E173" s="217"/>
      <c r="F173" s="44"/>
    </row>
    <row r="174" spans="3:6" ht="15.75" customHeight="1">
      <c r="C174" s="216"/>
      <c r="D174" s="217"/>
      <c r="E174" s="217"/>
      <c r="F174" s="44"/>
    </row>
    <row r="175" spans="3:6" ht="15.75" customHeight="1">
      <c r="C175" s="216"/>
      <c r="D175" s="217"/>
      <c r="E175" s="217"/>
      <c r="F175" s="44"/>
    </row>
    <row r="176" spans="3:6" ht="15.75" customHeight="1">
      <c r="C176" s="216"/>
      <c r="D176" s="217"/>
      <c r="E176" s="217"/>
      <c r="F176" s="44"/>
    </row>
    <row r="177" spans="3:6" ht="15.75" customHeight="1">
      <c r="C177" s="216"/>
      <c r="D177" s="217"/>
      <c r="E177" s="217"/>
      <c r="F177" s="44"/>
    </row>
    <row r="178" spans="3:6" ht="15.75" customHeight="1">
      <c r="C178" s="216"/>
      <c r="D178" s="217"/>
      <c r="E178" s="217"/>
      <c r="F178" s="44"/>
    </row>
    <row r="179" spans="3:6" ht="15.75" customHeight="1">
      <c r="C179" s="216"/>
      <c r="D179" s="217"/>
      <c r="E179" s="217"/>
      <c r="F179" s="44"/>
    </row>
    <row r="180" spans="3:6" ht="15.75" customHeight="1">
      <c r="C180" s="216"/>
      <c r="D180" s="217"/>
      <c r="E180" s="217"/>
      <c r="F180" s="44"/>
    </row>
    <row r="181" spans="3:6" ht="15.75" customHeight="1">
      <c r="C181" s="216"/>
      <c r="D181" s="217"/>
      <c r="E181" s="217"/>
      <c r="F181" s="44"/>
    </row>
    <row r="182" spans="3:6" ht="15.75" customHeight="1">
      <c r="C182" s="216"/>
      <c r="D182" s="217"/>
      <c r="E182" s="217"/>
      <c r="F182" s="44"/>
    </row>
    <row r="183" spans="3:6" ht="15.75" customHeight="1">
      <c r="C183" s="216"/>
      <c r="D183" s="217"/>
      <c r="E183" s="217"/>
      <c r="F183" s="44"/>
    </row>
    <row r="184" spans="3:6" ht="15.75" customHeight="1">
      <c r="C184" s="216"/>
      <c r="D184" s="217"/>
      <c r="E184" s="217"/>
      <c r="F184" s="44"/>
    </row>
    <row r="185" spans="3:6" ht="15.75" customHeight="1">
      <c r="C185" s="216"/>
      <c r="D185" s="217"/>
      <c r="E185" s="217"/>
      <c r="F185" s="44"/>
    </row>
    <row r="186" spans="3:6" ht="15.75" customHeight="1">
      <c r="C186" s="216"/>
      <c r="D186" s="217"/>
      <c r="E186" s="217"/>
      <c r="F186" s="44"/>
    </row>
    <row r="187" spans="3:6" ht="15.75" customHeight="1">
      <c r="C187" s="216"/>
      <c r="D187" s="217"/>
      <c r="E187" s="217"/>
      <c r="F187" s="44"/>
    </row>
    <row r="188" spans="3:6" ht="15.75" customHeight="1">
      <c r="C188" s="216"/>
      <c r="D188" s="217"/>
      <c r="E188" s="217"/>
      <c r="F188" s="44"/>
    </row>
    <row r="189" spans="3:6" ht="15.75" customHeight="1">
      <c r="C189" s="216"/>
      <c r="D189" s="217"/>
      <c r="E189" s="217"/>
      <c r="F189" s="44"/>
    </row>
    <row r="190" spans="3:6" ht="15.75" customHeight="1">
      <c r="C190" s="216"/>
      <c r="D190" s="217"/>
      <c r="E190" s="217"/>
      <c r="F190" s="44"/>
    </row>
    <row r="191" spans="3:6" ht="15.75" customHeight="1">
      <c r="C191" s="216"/>
      <c r="D191" s="217"/>
      <c r="E191" s="217"/>
      <c r="F191" s="44"/>
    </row>
    <row r="192" spans="3:6" ht="15.75" customHeight="1">
      <c r="C192" s="216"/>
      <c r="D192" s="217"/>
      <c r="E192" s="217"/>
      <c r="F192" s="44"/>
    </row>
    <row r="193" spans="3:6" ht="15.75" customHeight="1">
      <c r="C193" s="216"/>
      <c r="D193" s="217"/>
      <c r="E193" s="217"/>
      <c r="F193" s="44"/>
    </row>
    <row r="194" spans="3:6" ht="15.75" customHeight="1">
      <c r="C194" s="216"/>
      <c r="D194" s="217"/>
      <c r="E194" s="217"/>
      <c r="F194" s="44"/>
    </row>
    <row r="195" spans="3:6" ht="15.75" customHeight="1">
      <c r="C195" s="216"/>
      <c r="D195" s="217"/>
      <c r="E195" s="217"/>
      <c r="F195" s="44"/>
    </row>
    <row r="196" spans="3:6" ht="15.75" customHeight="1">
      <c r="C196" s="216"/>
      <c r="D196" s="217"/>
      <c r="E196" s="217"/>
      <c r="F196" s="44"/>
    </row>
    <row r="197" spans="3:6" ht="15.75" customHeight="1">
      <c r="C197" s="216"/>
      <c r="D197" s="217"/>
      <c r="E197" s="217"/>
      <c r="F197" s="44"/>
    </row>
    <row r="198" spans="3:6" ht="15.75" customHeight="1">
      <c r="C198" s="216"/>
      <c r="D198" s="217"/>
      <c r="E198" s="217"/>
      <c r="F198" s="44"/>
    </row>
    <row r="199" spans="3:6" ht="15.75" customHeight="1">
      <c r="C199" s="216"/>
      <c r="D199" s="217"/>
      <c r="E199" s="217"/>
      <c r="F199" s="44"/>
    </row>
    <row r="200" spans="3:6" ht="15.75" customHeight="1">
      <c r="C200" s="216"/>
      <c r="D200" s="217"/>
      <c r="E200" s="217"/>
      <c r="F200" s="44"/>
    </row>
    <row r="201" spans="3:6" ht="15.75" customHeight="1">
      <c r="C201" s="216"/>
      <c r="D201" s="217"/>
      <c r="E201" s="217"/>
      <c r="F201" s="44"/>
    </row>
    <row r="202" spans="3:6" ht="15.75" customHeight="1">
      <c r="C202" s="216"/>
      <c r="D202" s="217"/>
      <c r="E202" s="217"/>
      <c r="F202" s="44"/>
    </row>
    <row r="203" spans="3:6" ht="15.75" customHeight="1">
      <c r="C203" s="216"/>
      <c r="D203" s="217"/>
      <c r="E203" s="217"/>
      <c r="F203" s="44"/>
    </row>
    <row r="204" spans="3:6" ht="15.75" customHeight="1">
      <c r="C204" s="216"/>
      <c r="D204" s="217"/>
      <c r="E204" s="217"/>
      <c r="F204" s="44"/>
    </row>
    <row r="205" spans="3:6" ht="15.75" customHeight="1">
      <c r="C205" s="216"/>
      <c r="D205" s="217"/>
      <c r="E205" s="217"/>
      <c r="F205" s="44"/>
    </row>
    <row r="206" spans="3:6" ht="15.75" customHeight="1">
      <c r="C206" s="216"/>
      <c r="D206" s="217"/>
      <c r="E206" s="217"/>
      <c r="F206" s="44"/>
    </row>
    <row r="207" spans="3:6" ht="15.75" customHeight="1">
      <c r="C207" s="216"/>
      <c r="D207" s="217"/>
      <c r="E207" s="217"/>
      <c r="F207" s="44"/>
    </row>
    <row r="208" spans="3:6" ht="15.75" customHeight="1">
      <c r="C208" s="216"/>
      <c r="D208" s="217"/>
      <c r="E208" s="217"/>
      <c r="F208" s="44"/>
    </row>
    <row r="209" spans="3:6" ht="15.75" customHeight="1">
      <c r="C209" s="216"/>
      <c r="D209" s="217"/>
      <c r="E209" s="217"/>
      <c r="F209" s="44"/>
    </row>
    <row r="210" spans="3:6" ht="15.75" customHeight="1">
      <c r="C210" s="216"/>
      <c r="D210" s="217"/>
      <c r="E210" s="217"/>
      <c r="F210" s="44"/>
    </row>
    <row r="211" spans="3:6" ht="15.75" customHeight="1">
      <c r="C211" s="216"/>
      <c r="D211" s="217"/>
      <c r="E211" s="217"/>
      <c r="F211" s="44"/>
    </row>
    <row r="212" spans="3:6" ht="15.75" customHeight="1">
      <c r="C212" s="216"/>
      <c r="D212" s="217"/>
      <c r="E212" s="217"/>
      <c r="F212" s="44"/>
    </row>
    <row r="213" spans="3:6" ht="15.75" customHeight="1">
      <c r="C213" s="216"/>
      <c r="D213" s="217"/>
      <c r="E213" s="217"/>
      <c r="F213" s="44"/>
    </row>
    <row r="214" spans="3:6" ht="15.75" customHeight="1">
      <c r="C214" s="216"/>
      <c r="D214" s="217"/>
      <c r="E214" s="217"/>
      <c r="F214" s="44"/>
    </row>
    <row r="215" spans="3:6" ht="15.75" customHeight="1">
      <c r="C215" s="216"/>
      <c r="D215" s="217"/>
      <c r="E215" s="217"/>
      <c r="F215" s="44"/>
    </row>
    <row r="216" spans="3:6" ht="15.75" customHeight="1">
      <c r="C216" s="216"/>
      <c r="D216" s="217"/>
      <c r="E216" s="217"/>
      <c r="F216" s="44"/>
    </row>
    <row r="217" spans="3:6" ht="15.75" customHeight="1">
      <c r="C217" s="216"/>
      <c r="D217" s="217"/>
      <c r="E217" s="217"/>
      <c r="F217" s="44"/>
    </row>
    <row r="218" spans="3:6" ht="15.75" customHeight="1">
      <c r="C218" s="216"/>
      <c r="D218" s="217"/>
      <c r="E218" s="217"/>
      <c r="F218" s="44"/>
    </row>
    <row r="219" spans="3:6" ht="15.75" customHeight="1">
      <c r="C219" s="216"/>
      <c r="D219" s="217"/>
      <c r="E219" s="217"/>
      <c r="F219" s="44"/>
    </row>
    <row r="220" spans="3:6" ht="15.75" customHeight="1">
      <c r="C220" s="216"/>
      <c r="D220" s="217"/>
      <c r="E220" s="217"/>
      <c r="F220" s="44"/>
    </row>
    <row r="221" spans="3:6" ht="15.75" customHeight="1">
      <c r="C221" s="216"/>
      <c r="D221" s="217"/>
      <c r="E221" s="217"/>
      <c r="F221" s="44"/>
    </row>
    <row r="222" spans="3:6" ht="15.75" customHeight="1">
      <c r="C222" s="216"/>
      <c r="D222" s="217"/>
      <c r="E222" s="217"/>
      <c r="F222" s="44"/>
    </row>
    <row r="223" spans="3:6" ht="15.75" customHeight="1">
      <c r="C223" s="216"/>
      <c r="D223" s="217"/>
      <c r="E223" s="217"/>
      <c r="F223" s="44"/>
    </row>
    <row r="224" spans="3:6" ht="15.75" customHeight="1">
      <c r="C224" s="216"/>
      <c r="D224" s="217"/>
      <c r="E224" s="217"/>
      <c r="F224" s="44"/>
    </row>
    <row r="225" spans="3:6" ht="15.75" customHeight="1">
      <c r="C225" s="216"/>
      <c r="D225" s="217"/>
      <c r="E225" s="217"/>
      <c r="F225" s="44"/>
    </row>
    <row r="226" spans="3:6" ht="15.75" customHeight="1">
      <c r="C226" s="216"/>
      <c r="D226" s="217"/>
      <c r="E226" s="217"/>
      <c r="F226" s="44"/>
    </row>
    <row r="227" spans="3:6" ht="15.75" customHeight="1">
      <c r="C227" s="216"/>
      <c r="D227" s="217"/>
      <c r="E227" s="217"/>
      <c r="F227" s="44"/>
    </row>
    <row r="228" spans="3:6" ht="15.75" customHeight="1">
      <c r="C228" s="216"/>
      <c r="D228" s="217"/>
      <c r="E228" s="217"/>
      <c r="F228" s="44"/>
    </row>
    <row r="229" spans="3:6" ht="15.75" customHeight="1">
      <c r="C229" s="216"/>
      <c r="D229" s="217"/>
      <c r="E229" s="217"/>
      <c r="F229" s="44"/>
    </row>
    <row r="230" spans="3:6" ht="15.75" customHeight="1">
      <c r="C230" s="216"/>
      <c r="D230" s="217"/>
      <c r="E230" s="217"/>
      <c r="F230" s="44"/>
    </row>
    <row r="231" spans="3:6" ht="15.75" customHeight="1">
      <c r="C231" s="216"/>
      <c r="D231" s="217"/>
      <c r="E231" s="217"/>
      <c r="F231" s="44"/>
    </row>
    <row r="232" spans="3:6" ht="15.75" customHeight="1">
      <c r="C232" s="216"/>
      <c r="D232" s="217"/>
      <c r="E232" s="217"/>
      <c r="F232" s="44"/>
    </row>
    <row r="233" spans="3:6" ht="15.75" customHeight="1">
      <c r="C233" s="216"/>
      <c r="D233" s="217"/>
      <c r="E233" s="217"/>
      <c r="F233" s="44"/>
    </row>
    <row r="234" spans="3:6" ht="15.75" customHeight="1">
      <c r="C234" s="216"/>
      <c r="D234" s="217"/>
      <c r="E234" s="217"/>
      <c r="F234" s="44"/>
    </row>
    <row r="235" spans="3:6" ht="15.75" customHeight="1">
      <c r="C235" s="216"/>
      <c r="D235" s="217"/>
      <c r="E235" s="217"/>
      <c r="F235" s="44"/>
    </row>
    <row r="236" spans="3:6" ht="15.75" customHeight="1">
      <c r="C236" s="216"/>
      <c r="D236" s="217"/>
      <c r="E236" s="217"/>
      <c r="F236" s="44"/>
    </row>
    <row r="237" spans="3:6" ht="15.75" customHeight="1">
      <c r="C237" s="216"/>
      <c r="D237" s="217"/>
      <c r="E237" s="217"/>
      <c r="F237" s="44"/>
    </row>
    <row r="238" spans="3:6" ht="15.75" customHeight="1">
      <c r="C238" s="216"/>
      <c r="D238" s="217"/>
      <c r="E238" s="217"/>
      <c r="F238" s="44"/>
    </row>
    <row r="239" spans="3:6" ht="15.75" customHeight="1">
      <c r="C239" s="216"/>
      <c r="D239" s="217"/>
      <c r="E239" s="217"/>
      <c r="F239" s="44"/>
    </row>
    <row r="240" spans="3:6" ht="15.75" customHeight="1">
      <c r="C240" s="216"/>
      <c r="D240" s="217"/>
      <c r="E240" s="217"/>
      <c r="F240" s="44"/>
    </row>
    <row r="241" spans="3:6" ht="15.75" customHeight="1">
      <c r="C241" s="216"/>
      <c r="D241" s="217"/>
      <c r="E241" s="217"/>
      <c r="F241" s="44"/>
    </row>
    <row r="242" spans="3:6" ht="15.75" customHeight="1">
      <c r="C242" s="216"/>
      <c r="D242" s="217"/>
      <c r="E242" s="217"/>
      <c r="F242" s="44"/>
    </row>
    <row r="243" spans="3:6" ht="15.75" customHeight="1">
      <c r="C243" s="216"/>
      <c r="D243" s="217"/>
      <c r="E243" s="217"/>
      <c r="F243" s="44"/>
    </row>
    <row r="244" spans="3:6" ht="15.75" customHeight="1">
      <c r="C244" s="216"/>
      <c r="D244" s="217"/>
      <c r="E244" s="217"/>
      <c r="F244" s="44"/>
    </row>
    <row r="245" spans="3:6" ht="15.75" customHeight="1">
      <c r="C245" s="216"/>
      <c r="D245" s="217"/>
      <c r="E245" s="217"/>
      <c r="F245" s="44"/>
    </row>
    <row r="246" spans="3:6" ht="15.75" customHeight="1">
      <c r="C246" s="216"/>
      <c r="D246" s="217"/>
      <c r="E246" s="217"/>
      <c r="F246" s="44"/>
    </row>
    <row r="247" spans="3:6" ht="15.75" customHeight="1">
      <c r="C247" s="216"/>
      <c r="D247" s="217"/>
      <c r="E247" s="217"/>
      <c r="F247" s="44"/>
    </row>
    <row r="248" spans="3:6" ht="15.75" customHeight="1">
      <c r="C248" s="216"/>
      <c r="D248" s="217"/>
      <c r="E248" s="217"/>
      <c r="F248" s="44"/>
    </row>
    <row r="249" spans="3:6" ht="15.75" customHeight="1">
      <c r="C249" s="216"/>
      <c r="D249" s="217"/>
      <c r="E249" s="217"/>
      <c r="F249" s="44"/>
    </row>
    <row r="250" spans="3:6" ht="15.75" customHeight="1">
      <c r="C250" s="216"/>
      <c r="D250" s="217"/>
      <c r="E250" s="217"/>
      <c r="F250" s="44"/>
    </row>
    <row r="251" spans="3:6" ht="15.75" customHeight="1">
      <c r="C251" s="216"/>
      <c r="D251" s="217"/>
      <c r="E251" s="217"/>
      <c r="F251" s="44"/>
    </row>
    <row r="252" spans="3:6" ht="15.75" customHeight="1">
      <c r="C252" s="216"/>
      <c r="D252" s="217"/>
      <c r="E252" s="217"/>
      <c r="F252" s="44"/>
    </row>
    <row r="253" spans="3:6" ht="15.75" customHeight="1">
      <c r="C253" s="216"/>
      <c r="D253" s="217"/>
      <c r="E253" s="217"/>
      <c r="F253" s="44"/>
    </row>
    <row r="254" spans="3:6" ht="15.75" customHeight="1">
      <c r="C254" s="216"/>
      <c r="D254" s="217"/>
      <c r="E254" s="217"/>
      <c r="F254" s="44"/>
    </row>
    <row r="255" spans="3:6" ht="15.75" customHeight="1">
      <c r="C255" s="216"/>
      <c r="D255" s="217"/>
      <c r="E255" s="217"/>
      <c r="F255" s="44"/>
    </row>
    <row r="256" spans="3:6" ht="15.75" customHeight="1">
      <c r="C256" s="216"/>
      <c r="D256" s="217"/>
      <c r="E256" s="217"/>
      <c r="F256" s="44"/>
    </row>
    <row r="257" spans="3:6" ht="15.75" customHeight="1">
      <c r="C257" s="216"/>
      <c r="D257" s="217"/>
      <c r="E257" s="217"/>
      <c r="F257" s="44"/>
    </row>
    <row r="258" spans="3:6" ht="15.75" customHeight="1">
      <c r="C258" s="216"/>
      <c r="D258" s="217"/>
      <c r="E258" s="217"/>
      <c r="F258" s="44"/>
    </row>
    <row r="259" spans="3:6" ht="15.75" customHeight="1">
      <c r="C259" s="216"/>
      <c r="D259" s="217"/>
      <c r="E259" s="217"/>
      <c r="F259" s="44"/>
    </row>
    <row r="260" spans="3:6" ht="15.75" customHeight="1">
      <c r="C260" s="216"/>
      <c r="D260" s="217"/>
      <c r="E260" s="217"/>
      <c r="F260" s="44"/>
    </row>
    <row r="261" spans="3:6" ht="15.75" customHeight="1">
      <c r="C261" s="216"/>
      <c r="D261" s="217"/>
      <c r="E261" s="217"/>
      <c r="F261" s="44"/>
    </row>
    <row r="262" spans="3:6" ht="15.75" customHeight="1">
      <c r="C262" s="216"/>
      <c r="D262" s="217"/>
      <c r="E262" s="217"/>
      <c r="F262" s="44"/>
    </row>
    <row r="263" spans="3:6" ht="15.75" customHeight="1">
      <c r="C263" s="216"/>
      <c r="D263" s="217"/>
      <c r="E263" s="217"/>
      <c r="F263" s="44"/>
    </row>
    <row r="264" spans="3:6" ht="15.75" customHeight="1">
      <c r="C264" s="216"/>
      <c r="D264" s="217"/>
      <c r="E264" s="217"/>
      <c r="F264" s="44"/>
    </row>
    <row r="265" spans="3:6" ht="15.75" customHeight="1">
      <c r="C265" s="216"/>
      <c r="D265" s="217"/>
      <c r="E265" s="217"/>
      <c r="F265" s="44"/>
    </row>
    <row r="266" spans="3:6" ht="15.75" customHeight="1">
      <c r="C266" s="216"/>
      <c r="D266" s="217"/>
      <c r="E266" s="217"/>
      <c r="F266" s="44"/>
    </row>
    <row r="267" spans="3:6" ht="15.75" customHeight="1">
      <c r="C267" s="216"/>
      <c r="D267" s="217"/>
      <c r="E267" s="217"/>
      <c r="F267" s="44"/>
    </row>
    <row r="268" spans="3:6" ht="15.75" customHeight="1">
      <c r="C268" s="216"/>
      <c r="D268" s="217"/>
      <c r="E268" s="217"/>
      <c r="F268" s="44"/>
    </row>
    <row r="269" spans="3:6" ht="15.75" customHeight="1">
      <c r="C269" s="216"/>
      <c r="D269" s="217"/>
      <c r="E269" s="217"/>
      <c r="F269" s="44"/>
    </row>
    <row r="270" spans="3:6" ht="15.75" customHeight="1">
      <c r="C270" s="216"/>
      <c r="D270" s="217"/>
      <c r="E270" s="217"/>
      <c r="F270" s="44"/>
    </row>
    <row r="271" spans="3:6" ht="15.75" customHeight="1">
      <c r="C271" s="216"/>
      <c r="D271" s="217"/>
      <c r="E271" s="217"/>
      <c r="F271" s="44"/>
    </row>
    <row r="272" spans="3:6" ht="15.75" customHeight="1">
      <c r="C272" s="216"/>
      <c r="D272" s="217"/>
      <c r="E272" s="217"/>
      <c r="F272" s="44"/>
    </row>
    <row r="273" spans="3:6" ht="15.75" customHeight="1">
      <c r="C273" s="216"/>
      <c r="D273" s="217"/>
      <c r="E273" s="217"/>
      <c r="F273" s="44"/>
    </row>
    <row r="274" spans="3:6" ht="15.75" customHeight="1">
      <c r="C274" s="216"/>
      <c r="D274" s="217"/>
      <c r="E274" s="217"/>
      <c r="F274" s="44"/>
    </row>
    <row r="275" spans="3:6" ht="15.75" customHeight="1">
      <c r="C275" s="216"/>
      <c r="D275" s="217"/>
      <c r="E275" s="217"/>
      <c r="F275" s="44"/>
    </row>
    <row r="276" spans="3:6" ht="15.75" customHeight="1">
      <c r="C276" s="216"/>
      <c r="D276" s="217"/>
      <c r="E276" s="217"/>
      <c r="F276" s="44"/>
    </row>
    <row r="277" spans="3:6" ht="15.75" customHeight="1">
      <c r="C277" s="216"/>
      <c r="D277" s="217"/>
      <c r="E277" s="217"/>
      <c r="F277" s="44"/>
    </row>
    <row r="278" spans="3:6" ht="15.75" customHeight="1">
      <c r="C278" s="216"/>
      <c r="D278" s="217"/>
      <c r="E278" s="217"/>
      <c r="F278" s="44"/>
    </row>
    <row r="279" spans="3:6" ht="15.75" customHeight="1">
      <c r="C279" s="216"/>
      <c r="D279" s="217"/>
      <c r="E279" s="217"/>
      <c r="F279" s="44"/>
    </row>
    <row r="280" spans="3:6" ht="15.75" customHeight="1">
      <c r="C280" s="216"/>
      <c r="D280" s="217"/>
      <c r="E280" s="217"/>
      <c r="F280" s="44"/>
    </row>
    <row r="281" spans="3:6" ht="15.75" customHeight="1">
      <c r="C281" s="216"/>
      <c r="D281" s="217"/>
      <c r="E281" s="217"/>
      <c r="F281" s="44"/>
    </row>
    <row r="282" spans="3:6" ht="15.75" customHeight="1">
      <c r="C282" s="216"/>
      <c r="D282" s="217"/>
      <c r="E282" s="217"/>
      <c r="F282" s="44"/>
    </row>
    <row r="283" spans="3:6" ht="15.75" customHeight="1">
      <c r="C283" s="216"/>
      <c r="D283" s="217"/>
      <c r="E283" s="217"/>
      <c r="F283" s="44"/>
    </row>
    <row r="284" spans="3:6" ht="15.75" customHeight="1">
      <c r="C284" s="216"/>
      <c r="D284" s="217"/>
      <c r="E284" s="217"/>
      <c r="F284" s="44"/>
    </row>
    <row r="285" spans="3:6" ht="15.75" customHeight="1">
      <c r="C285" s="216"/>
      <c r="D285" s="217"/>
      <c r="E285" s="217"/>
      <c r="F285" s="44"/>
    </row>
    <row r="286" spans="3:6" ht="15.75" customHeight="1">
      <c r="C286" s="216"/>
      <c r="D286" s="217"/>
      <c r="E286" s="217"/>
      <c r="F286" s="44"/>
    </row>
    <row r="287" spans="3:6" ht="15.75" customHeight="1">
      <c r="C287" s="216"/>
      <c r="D287" s="217"/>
      <c r="E287" s="217"/>
      <c r="F287" s="44"/>
    </row>
    <row r="288" spans="3:6" ht="15.75" customHeight="1">
      <c r="C288" s="216"/>
      <c r="D288" s="217"/>
      <c r="E288" s="217"/>
      <c r="F288" s="44"/>
    </row>
    <row r="289" spans="3:6" ht="15.75" customHeight="1">
      <c r="C289" s="216"/>
      <c r="D289" s="217"/>
      <c r="E289" s="217"/>
      <c r="F289" s="44"/>
    </row>
    <row r="290" spans="3:6" ht="15.75" customHeight="1">
      <c r="C290" s="216"/>
      <c r="D290" s="217"/>
      <c r="E290" s="217"/>
      <c r="F290" s="44"/>
    </row>
    <row r="291" spans="3:6" ht="15.75" customHeight="1">
      <c r="C291" s="216"/>
      <c r="D291" s="217"/>
      <c r="E291" s="217"/>
      <c r="F291" s="44"/>
    </row>
    <row r="292" spans="3:6" ht="15.75" customHeight="1">
      <c r="C292" s="216"/>
      <c r="D292" s="217"/>
      <c r="E292" s="217"/>
      <c r="F292" s="44"/>
    </row>
    <row r="293" spans="3:6" ht="15.75" customHeight="1">
      <c r="C293" s="216"/>
      <c r="D293" s="217"/>
      <c r="E293" s="217"/>
      <c r="F293" s="44"/>
    </row>
    <row r="294" spans="3:6" ht="15.75" customHeight="1">
      <c r="C294" s="216"/>
      <c r="D294" s="217"/>
      <c r="E294" s="217"/>
      <c r="F294" s="44"/>
    </row>
    <row r="295" spans="3:6" ht="15.75" customHeight="1">
      <c r="C295" s="216"/>
      <c r="D295" s="217"/>
      <c r="E295" s="217"/>
      <c r="F295" s="44"/>
    </row>
    <row r="296" spans="3:6" ht="15.75" customHeight="1">
      <c r="C296" s="216"/>
      <c r="D296" s="217"/>
      <c r="E296" s="217"/>
      <c r="F296" s="44"/>
    </row>
    <row r="297" spans="3:6" ht="15.75" customHeight="1">
      <c r="C297" s="216"/>
      <c r="D297" s="217"/>
      <c r="E297" s="217"/>
      <c r="F297" s="44"/>
    </row>
    <row r="298" spans="3:6" ht="15.75" customHeight="1">
      <c r="C298" s="216"/>
      <c r="D298" s="217"/>
      <c r="E298" s="217"/>
      <c r="F298" s="44"/>
    </row>
    <row r="299" spans="3:6" ht="15.75" customHeight="1">
      <c r="C299" s="216"/>
      <c r="D299" s="217"/>
      <c r="E299" s="217"/>
      <c r="F299" s="44"/>
    </row>
    <row r="300" spans="3:6" ht="15.75" customHeight="1">
      <c r="C300" s="216"/>
      <c r="D300" s="217"/>
      <c r="E300" s="217"/>
      <c r="F300" s="44"/>
    </row>
    <row r="301" spans="3:6" ht="15.75" customHeight="1">
      <c r="C301" s="216"/>
      <c r="D301" s="217"/>
      <c r="E301" s="217"/>
      <c r="F301" s="44"/>
    </row>
    <row r="302" spans="3:6" ht="15.75" customHeight="1">
      <c r="C302" s="216"/>
      <c r="D302" s="217"/>
      <c r="E302" s="217"/>
      <c r="F302" s="44"/>
    </row>
    <row r="303" spans="3:6" ht="15.75" customHeight="1">
      <c r="C303" s="216"/>
      <c r="D303" s="217"/>
      <c r="E303" s="217"/>
      <c r="F303" s="44"/>
    </row>
    <row r="304" spans="3:6" ht="15.75" customHeight="1">
      <c r="C304" s="216"/>
      <c r="D304" s="217"/>
      <c r="E304" s="217"/>
      <c r="F304" s="44"/>
    </row>
    <row r="305" spans="3:6" ht="15.75" customHeight="1">
      <c r="C305" s="216"/>
      <c r="D305" s="217"/>
      <c r="E305" s="217"/>
      <c r="F305" s="44"/>
    </row>
    <row r="306" spans="3:6" ht="15.75" customHeight="1">
      <c r="C306" s="216"/>
      <c r="D306" s="217"/>
      <c r="E306" s="217"/>
      <c r="F306" s="44"/>
    </row>
    <row r="307" spans="3:6" ht="15.75" customHeight="1">
      <c r="C307" s="216"/>
      <c r="D307" s="217"/>
      <c r="E307" s="217"/>
      <c r="F307" s="44"/>
    </row>
    <row r="308" spans="3:6" ht="15.75" customHeight="1">
      <c r="C308" s="216"/>
      <c r="D308" s="217"/>
      <c r="E308" s="217"/>
      <c r="F308" s="44"/>
    </row>
    <row r="309" spans="3:6" ht="15.75" customHeight="1">
      <c r="C309" s="216"/>
      <c r="D309" s="217"/>
      <c r="E309" s="217"/>
      <c r="F309" s="44"/>
    </row>
    <row r="310" spans="3:6" ht="15.75" customHeight="1">
      <c r="C310" s="216"/>
      <c r="D310" s="217"/>
      <c r="E310" s="217"/>
      <c r="F310" s="44"/>
    </row>
    <row r="311" spans="3:6" ht="15.75" customHeight="1">
      <c r="C311" s="216"/>
      <c r="D311" s="217"/>
      <c r="E311" s="217"/>
      <c r="F311" s="44"/>
    </row>
    <row r="312" spans="3:6" ht="15.75" customHeight="1">
      <c r="C312" s="216"/>
      <c r="D312" s="217"/>
      <c r="E312" s="217"/>
      <c r="F312" s="44"/>
    </row>
    <row r="313" spans="3:6" ht="15.75" customHeight="1">
      <c r="C313" s="216"/>
      <c r="D313" s="217"/>
      <c r="E313" s="217"/>
      <c r="F313" s="44"/>
    </row>
    <row r="314" spans="3:6" ht="15.75" customHeight="1">
      <c r="C314" s="216"/>
      <c r="D314" s="217"/>
      <c r="E314" s="217"/>
      <c r="F314" s="44"/>
    </row>
    <row r="315" spans="3:6" ht="15.75" customHeight="1">
      <c r="C315" s="216"/>
      <c r="D315" s="217"/>
      <c r="E315" s="217"/>
      <c r="F315" s="44"/>
    </row>
    <row r="316" spans="3:6" ht="15.75" customHeight="1">
      <c r="C316" s="216"/>
      <c r="D316" s="217"/>
      <c r="E316" s="217"/>
      <c r="F316" s="44"/>
    </row>
    <row r="317" spans="3:6" ht="15.75" customHeight="1">
      <c r="C317" s="216"/>
      <c r="D317" s="217"/>
      <c r="E317" s="217"/>
      <c r="F317" s="44"/>
    </row>
    <row r="318" spans="3:6" ht="15.75" customHeight="1">
      <c r="C318" s="216"/>
      <c r="D318" s="217"/>
      <c r="E318" s="217"/>
      <c r="F318" s="44"/>
    </row>
    <row r="319" spans="3:6" ht="15.75" customHeight="1">
      <c r="C319" s="216"/>
      <c r="D319" s="217"/>
      <c r="E319" s="217"/>
      <c r="F319" s="44"/>
    </row>
    <row r="320" spans="3:6" ht="15.75" customHeight="1">
      <c r="C320" s="216"/>
      <c r="D320" s="217"/>
      <c r="E320" s="217"/>
      <c r="F320" s="44"/>
    </row>
    <row r="321" spans="3:6" ht="15.75" customHeight="1">
      <c r="C321" s="216"/>
      <c r="D321" s="217"/>
      <c r="E321" s="217"/>
      <c r="F321" s="44"/>
    </row>
    <row r="322" spans="3:6" ht="15.75" customHeight="1">
      <c r="C322" s="216"/>
      <c r="D322" s="217"/>
      <c r="E322" s="217"/>
      <c r="F322" s="44"/>
    </row>
    <row r="323" spans="3:6" ht="15.75" customHeight="1">
      <c r="C323" s="216"/>
      <c r="D323" s="217"/>
      <c r="E323" s="217"/>
      <c r="F323" s="44"/>
    </row>
    <row r="324" spans="3:6" ht="15.75" customHeight="1">
      <c r="C324" s="216"/>
      <c r="D324" s="217"/>
      <c r="E324" s="217"/>
      <c r="F324" s="44"/>
    </row>
    <row r="325" spans="3:6" ht="15.75" customHeight="1">
      <c r="C325" s="216"/>
      <c r="D325" s="217"/>
      <c r="E325" s="217"/>
      <c r="F325" s="44"/>
    </row>
    <row r="326" spans="3:6" ht="15.75" customHeight="1">
      <c r="C326" s="216"/>
      <c r="D326" s="217"/>
      <c r="E326" s="217"/>
      <c r="F326" s="44"/>
    </row>
    <row r="327" spans="3:6" ht="15.75" customHeight="1">
      <c r="C327" s="216"/>
      <c r="D327" s="217"/>
      <c r="E327" s="217"/>
      <c r="F327" s="44"/>
    </row>
    <row r="328" spans="3:6" ht="15.75" customHeight="1">
      <c r="C328" s="216"/>
      <c r="D328" s="217"/>
      <c r="E328" s="217"/>
      <c r="F328" s="44"/>
    </row>
    <row r="329" spans="3:6" ht="15.75" customHeight="1">
      <c r="C329" s="216"/>
      <c r="D329" s="217"/>
      <c r="E329" s="217"/>
      <c r="F329" s="44"/>
    </row>
    <row r="330" spans="3:6" ht="15.75" customHeight="1">
      <c r="C330" s="216"/>
      <c r="D330" s="217"/>
      <c r="E330" s="217"/>
      <c r="F330" s="44"/>
    </row>
    <row r="331" spans="3:6" ht="15.75" customHeight="1">
      <c r="C331" s="216"/>
      <c r="D331" s="217"/>
      <c r="E331" s="217"/>
      <c r="F331" s="44"/>
    </row>
    <row r="332" spans="3:6" ht="15.75" customHeight="1">
      <c r="C332" s="216"/>
      <c r="D332" s="217"/>
      <c r="E332" s="217"/>
      <c r="F332" s="44"/>
    </row>
    <row r="333" spans="3:6" ht="15.75" customHeight="1">
      <c r="C333" s="216"/>
      <c r="D333" s="217"/>
      <c r="E333" s="217"/>
      <c r="F333" s="44"/>
    </row>
    <row r="334" spans="3:6" ht="15.75" customHeight="1">
      <c r="C334" s="216"/>
      <c r="D334" s="217"/>
      <c r="E334" s="217"/>
      <c r="F334" s="44"/>
    </row>
    <row r="335" spans="3:6" ht="15.75" customHeight="1">
      <c r="C335" s="216"/>
      <c r="D335" s="217"/>
      <c r="E335" s="217"/>
      <c r="F335" s="44"/>
    </row>
    <row r="336" spans="3:6" ht="15.75" customHeight="1">
      <c r="C336" s="216"/>
      <c r="D336" s="217"/>
      <c r="E336" s="217"/>
      <c r="F336" s="44"/>
    </row>
    <row r="337" spans="3:6" ht="15.75" customHeight="1">
      <c r="C337" s="216"/>
      <c r="D337" s="217"/>
      <c r="E337" s="217"/>
      <c r="F337" s="44"/>
    </row>
    <row r="338" spans="3:6" ht="15.75" customHeight="1">
      <c r="C338" s="216"/>
      <c r="D338" s="217"/>
      <c r="E338" s="217"/>
      <c r="F338" s="44"/>
    </row>
    <row r="339" spans="3:6" ht="15.75" customHeight="1">
      <c r="C339" s="216"/>
      <c r="D339" s="217"/>
      <c r="E339" s="217"/>
      <c r="F339" s="44"/>
    </row>
    <row r="340" spans="3:6" ht="15.75" customHeight="1">
      <c r="C340" s="216"/>
      <c r="D340" s="217"/>
      <c r="E340" s="217"/>
      <c r="F340" s="44"/>
    </row>
    <row r="341" spans="3:6" ht="15.75" customHeight="1">
      <c r="C341" s="216"/>
      <c r="D341" s="217"/>
      <c r="E341" s="217"/>
      <c r="F341" s="44"/>
    </row>
    <row r="342" spans="3:6" ht="15.75" customHeight="1">
      <c r="C342" s="216"/>
      <c r="D342" s="217"/>
      <c r="E342" s="217"/>
      <c r="F342" s="44"/>
    </row>
    <row r="343" spans="3:6" ht="15.75" customHeight="1">
      <c r="C343" s="216"/>
      <c r="D343" s="217"/>
      <c r="E343" s="217"/>
      <c r="F343" s="44"/>
    </row>
    <row r="344" spans="3:6" ht="15.75" customHeight="1">
      <c r="C344" s="216"/>
      <c r="D344" s="217"/>
      <c r="E344" s="217"/>
      <c r="F344" s="44"/>
    </row>
    <row r="345" spans="3:6" ht="15.75" customHeight="1">
      <c r="C345" s="216"/>
      <c r="D345" s="217"/>
      <c r="E345" s="217"/>
      <c r="F345" s="44"/>
    </row>
    <row r="346" spans="3:6" ht="15.75" customHeight="1">
      <c r="C346" s="216"/>
      <c r="D346" s="217"/>
      <c r="E346" s="217"/>
      <c r="F346" s="44"/>
    </row>
    <row r="347" spans="3:6" ht="15.75" customHeight="1">
      <c r="C347" s="216"/>
      <c r="D347" s="217"/>
      <c r="E347" s="217"/>
      <c r="F347" s="44"/>
    </row>
    <row r="348" spans="3:6" ht="15.75" customHeight="1">
      <c r="C348" s="216"/>
      <c r="D348" s="217"/>
      <c r="E348" s="217"/>
      <c r="F348" s="44"/>
    </row>
    <row r="349" spans="3:6" ht="15.75" customHeight="1">
      <c r="C349" s="216"/>
      <c r="D349" s="217"/>
      <c r="E349" s="217"/>
      <c r="F349" s="44"/>
    </row>
    <row r="350" spans="3:6" ht="15.75" customHeight="1">
      <c r="C350" s="216"/>
      <c r="D350" s="217"/>
      <c r="E350" s="217"/>
      <c r="F350" s="44"/>
    </row>
    <row r="351" spans="3:6" ht="15.75" customHeight="1">
      <c r="C351" s="216"/>
      <c r="D351" s="217"/>
      <c r="E351" s="217"/>
      <c r="F351" s="44"/>
    </row>
    <row r="352" spans="3:6" ht="15.75" customHeight="1">
      <c r="C352" s="216"/>
      <c r="D352" s="217"/>
      <c r="E352" s="217"/>
      <c r="F352" s="44"/>
    </row>
    <row r="353" spans="3:6" ht="15.75" customHeight="1">
      <c r="C353" s="216"/>
      <c r="D353" s="217"/>
      <c r="E353" s="217"/>
      <c r="F353" s="44"/>
    </row>
    <row r="354" spans="3:6" ht="15.75" customHeight="1">
      <c r="C354" s="216"/>
      <c r="D354" s="217"/>
      <c r="E354" s="217"/>
      <c r="F354" s="44"/>
    </row>
    <row r="355" spans="3:6" ht="15.75" customHeight="1">
      <c r="C355" s="216"/>
      <c r="D355" s="217"/>
      <c r="E355" s="217"/>
      <c r="F355" s="44"/>
    </row>
    <row r="356" spans="3:6" ht="15.75" customHeight="1">
      <c r="C356" s="216"/>
      <c r="D356" s="217"/>
      <c r="E356" s="217"/>
      <c r="F356" s="44"/>
    </row>
    <row r="357" spans="3:6" ht="15.75" customHeight="1">
      <c r="C357" s="216"/>
      <c r="D357" s="217"/>
      <c r="E357" s="217"/>
      <c r="F357" s="44"/>
    </row>
    <row r="358" spans="3:6" ht="15.75" customHeight="1">
      <c r="C358" s="216"/>
      <c r="D358" s="217"/>
      <c r="E358" s="217"/>
      <c r="F358" s="44"/>
    </row>
    <row r="359" spans="3:6" ht="15.75" customHeight="1">
      <c r="C359" s="216"/>
      <c r="D359" s="217"/>
      <c r="E359" s="217"/>
      <c r="F359" s="44"/>
    </row>
    <row r="360" spans="3:6" ht="15.75" customHeight="1">
      <c r="C360" s="216"/>
      <c r="D360" s="217"/>
      <c r="E360" s="217"/>
      <c r="F360" s="44"/>
    </row>
    <row r="361" spans="3:6" ht="15.75" customHeight="1">
      <c r="C361" s="216"/>
      <c r="D361" s="217"/>
      <c r="E361" s="217"/>
      <c r="F361" s="44"/>
    </row>
    <row r="362" spans="3:6" ht="15.75" customHeight="1">
      <c r="C362" s="216"/>
      <c r="D362" s="217"/>
      <c r="E362" s="217"/>
      <c r="F362" s="44"/>
    </row>
    <row r="363" spans="3:6" ht="15.75" customHeight="1">
      <c r="C363" s="216"/>
      <c r="D363" s="217"/>
      <c r="E363" s="217"/>
      <c r="F363" s="44"/>
    </row>
    <row r="364" spans="3:6" ht="15.75" customHeight="1">
      <c r="C364" s="216"/>
      <c r="D364" s="217"/>
      <c r="E364" s="217"/>
      <c r="F364" s="44"/>
    </row>
    <row r="365" spans="3:6" ht="15.75" customHeight="1">
      <c r="C365" s="216"/>
      <c r="D365" s="217"/>
      <c r="E365" s="217"/>
      <c r="F365" s="44"/>
    </row>
    <row r="366" spans="3:6" ht="15.75" customHeight="1">
      <c r="C366" s="216"/>
      <c r="D366" s="217"/>
      <c r="E366" s="217"/>
      <c r="F366" s="44"/>
    </row>
    <row r="367" spans="3:6" ht="15.75" customHeight="1">
      <c r="C367" s="216"/>
      <c r="D367" s="217"/>
      <c r="E367" s="217"/>
      <c r="F367" s="44"/>
    </row>
    <row r="368" spans="3:6" ht="15.75" customHeight="1">
      <c r="C368" s="216"/>
      <c r="D368" s="217"/>
      <c r="E368" s="217"/>
      <c r="F368" s="44"/>
    </row>
    <row r="369" spans="3:6" ht="15.75" customHeight="1">
      <c r="C369" s="216"/>
      <c r="D369" s="217"/>
      <c r="E369" s="217"/>
      <c r="F369" s="44"/>
    </row>
    <row r="370" spans="3:6" ht="15.75" customHeight="1">
      <c r="C370" s="216"/>
      <c r="D370" s="217"/>
      <c r="E370" s="217"/>
      <c r="F370" s="44"/>
    </row>
    <row r="371" spans="3:6" ht="15.75" customHeight="1">
      <c r="C371" s="216"/>
      <c r="D371" s="217"/>
      <c r="E371" s="217"/>
      <c r="F371" s="44"/>
    </row>
    <row r="372" spans="3:6" ht="15.75" customHeight="1">
      <c r="C372" s="216"/>
      <c r="D372" s="217"/>
      <c r="E372" s="217"/>
      <c r="F372" s="44"/>
    </row>
    <row r="373" spans="3:6" ht="15.75" customHeight="1">
      <c r="C373" s="216"/>
      <c r="D373" s="217"/>
      <c r="E373" s="217"/>
      <c r="F373" s="44"/>
    </row>
    <row r="374" spans="3:6" ht="15.75" customHeight="1">
      <c r="C374" s="216"/>
      <c r="D374" s="217"/>
      <c r="E374" s="217"/>
      <c r="F374" s="44"/>
    </row>
    <row r="375" spans="3:6" ht="15.75" customHeight="1">
      <c r="C375" s="216"/>
      <c r="D375" s="217"/>
      <c r="E375" s="217"/>
      <c r="F375" s="44"/>
    </row>
    <row r="376" spans="3:6" ht="15.75" customHeight="1">
      <c r="C376" s="216"/>
      <c r="D376" s="217"/>
      <c r="E376" s="217"/>
      <c r="F376" s="44"/>
    </row>
    <row r="377" spans="3:6" ht="15.75" customHeight="1">
      <c r="C377" s="216"/>
      <c r="D377" s="217"/>
      <c r="E377" s="217"/>
      <c r="F377" s="44"/>
    </row>
    <row r="378" spans="3:6" ht="15.75" customHeight="1">
      <c r="C378" s="216"/>
      <c r="D378" s="217"/>
      <c r="E378" s="217"/>
      <c r="F378" s="44"/>
    </row>
    <row r="379" spans="3:6" ht="15.75" customHeight="1">
      <c r="C379" s="216"/>
      <c r="D379" s="217"/>
      <c r="E379" s="217"/>
      <c r="F379" s="44"/>
    </row>
    <row r="380" spans="3:6" ht="15.75" customHeight="1">
      <c r="C380" s="216"/>
      <c r="D380" s="217"/>
      <c r="E380" s="217"/>
      <c r="F380" s="44"/>
    </row>
    <row r="381" spans="3:6" ht="15.75" customHeight="1">
      <c r="C381" s="216"/>
      <c r="D381" s="217"/>
      <c r="E381" s="217"/>
      <c r="F381" s="44"/>
    </row>
    <row r="382" spans="3:6" ht="15.75" customHeight="1">
      <c r="C382" s="216"/>
      <c r="D382" s="217"/>
      <c r="E382" s="217"/>
      <c r="F382" s="44"/>
    </row>
    <row r="383" spans="3:6" ht="15.75" customHeight="1">
      <c r="C383" s="216"/>
      <c r="D383" s="217"/>
      <c r="E383" s="217"/>
      <c r="F383" s="44"/>
    </row>
    <row r="384" spans="3:6" ht="15.75" customHeight="1">
      <c r="C384" s="216"/>
      <c r="D384" s="217"/>
      <c r="E384" s="217"/>
      <c r="F384" s="44"/>
    </row>
    <row r="385" spans="3:6" ht="15.75" customHeight="1">
      <c r="C385" s="216"/>
      <c r="D385" s="217"/>
      <c r="E385" s="217"/>
      <c r="F385" s="44"/>
    </row>
    <row r="386" spans="3:6" ht="15.75" customHeight="1">
      <c r="C386" s="216"/>
      <c r="D386" s="217"/>
      <c r="E386" s="217"/>
      <c r="F386" s="44"/>
    </row>
    <row r="387" spans="3:6" ht="15.75" customHeight="1">
      <c r="C387" s="216"/>
      <c r="D387" s="217"/>
      <c r="E387" s="217"/>
      <c r="F387" s="44"/>
    </row>
    <row r="388" spans="3:6" ht="15.75" customHeight="1">
      <c r="C388" s="216"/>
      <c r="D388" s="217"/>
      <c r="E388" s="217"/>
      <c r="F388" s="44"/>
    </row>
    <row r="389" spans="3:6" ht="15.75" customHeight="1">
      <c r="C389" s="216"/>
      <c r="D389" s="217"/>
      <c r="E389" s="217"/>
      <c r="F389" s="44"/>
    </row>
    <row r="390" spans="3:6" ht="15.75" customHeight="1">
      <c r="C390" s="216"/>
      <c r="D390" s="217"/>
      <c r="E390" s="217"/>
      <c r="F390" s="44"/>
    </row>
    <row r="391" spans="3:6" ht="15.75" customHeight="1">
      <c r="C391" s="216"/>
      <c r="D391" s="217"/>
      <c r="E391" s="217"/>
      <c r="F391" s="44"/>
    </row>
    <row r="392" spans="3:6" ht="15.75" customHeight="1">
      <c r="C392" s="216"/>
      <c r="D392" s="217"/>
      <c r="E392" s="217"/>
      <c r="F392" s="44"/>
    </row>
    <row r="393" spans="3:6" ht="15.75" customHeight="1">
      <c r="C393" s="216"/>
      <c r="D393" s="217"/>
      <c r="E393" s="217"/>
      <c r="F393" s="44"/>
    </row>
    <row r="394" spans="3:6" ht="15.75" customHeight="1">
      <c r="C394" s="216"/>
      <c r="D394" s="217"/>
      <c r="E394" s="217"/>
      <c r="F394" s="44"/>
    </row>
    <row r="395" spans="3:6" ht="15.75" customHeight="1">
      <c r="C395" s="216"/>
      <c r="D395" s="217"/>
      <c r="E395" s="217"/>
      <c r="F395" s="44"/>
    </row>
    <row r="396" spans="3:6" ht="15.75" customHeight="1">
      <c r="C396" s="216"/>
      <c r="D396" s="217"/>
      <c r="E396" s="217"/>
      <c r="F396" s="44"/>
    </row>
    <row r="397" spans="3:6" ht="15.75" customHeight="1">
      <c r="C397" s="216"/>
      <c r="D397" s="217"/>
      <c r="E397" s="217"/>
      <c r="F397" s="44"/>
    </row>
    <row r="398" spans="3:6" ht="15.75" customHeight="1">
      <c r="C398" s="216"/>
      <c r="D398" s="217"/>
      <c r="E398" s="217"/>
      <c r="F398" s="44"/>
    </row>
    <row r="399" spans="3:6" ht="15.75" customHeight="1">
      <c r="C399" s="216"/>
      <c r="D399" s="217"/>
      <c r="E399" s="217"/>
      <c r="F399" s="44"/>
    </row>
    <row r="400" spans="3:6" ht="15.75" customHeight="1">
      <c r="C400" s="216"/>
      <c r="D400" s="217"/>
      <c r="E400" s="217"/>
      <c r="F400" s="44"/>
    </row>
    <row r="401" spans="3:6" ht="15.75" customHeight="1">
      <c r="C401" s="216"/>
      <c r="D401" s="217"/>
      <c r="E401" s="217"/>
      <c r="F401" s="44"/>
    </row>
    <row r="402" spans="3:6" ht="15.75" customHeight="1">
      <c r="C402" s="216"/>
      <c r="D402" s="217"/>
      <c r="E402" s="217"/>
      <c r="F402" s="44"/>
    </row>
    <row r="403" spans="3:6" ht="15.75" customHeight="1">
      <c r="C403" s="216"/>
      <c r="D403" s="217"/>
      <c r="E403" s="217"/>
      <c r="F403" s="44"/>
    </row>
    <row r="404" spans="3:6" ht="15.75" customHeight="1">
      <c r="C404" s="216"/>
      <c r="D404" s="217"/>
      <c r="E404" s="217"/>
      <c r="F404" s="44"/>
    </row>
    <row r="405" spans="3:6" ht="15.75" customHeight="1">
      <c r="C405" s="216"/>
      <c r="D405" s="217"/>
      <c r="E405" s="217"/>
      <c r="F405" s="44"/>
    </row>
    <row r="406" spans="3:6" ht="15.75" customHeight="1">
      <c r="C406" s="216"/>
      <c r="D406" s="217"/>
      <c r="E406" s="217"/>
      <c r="F406" s="44"/>
    </row>
    <row r="407" spans="3:6" ht="15.75" customHeight="1">
      <c r="C407" s="216"/>
      <c r="D407" s="217"/>
      <c r="E407" s="217"/>
      <c r="F407" s="44"/>
    </row>
    <row r="408" spans="3:6" ht="15.75" customHeight="1">
      <c r="C408" s="216"/>
      <c r="D408" s="217"/>
      <c r="E408" s="217"/>
      <c r="F408" s="44"/>
    </row>
    <row r="409" spans="3:6" ht="15.75" customHeight="1">
      <c r="C409" s="216"/>
      <c r="D409" s="217"/>
      <c r="E409" s="217"/>
      <c r="F409" s="44"/>
    </row>
    <row r="410" spans="3:6" ht="15.75" customHeight="1">
      <c r="C410" s="216"/>
      <c r="D410" s="217"/>
      <c r="E410" s="217"/>
      <c r="F410" s="44"/>
    </row>
    <row r="411" spans="3:6" ht="15.75" customHeight="1">
      <c r="C411" s="216"/>
      <c r="D411" s="217"/>
      <c r="E411" s="217"/>
      <c r="F411" s="44"/>
    </row>
    <row r="412" spans="3:6" ht="15.75" customHeight="1">
      <c r="C412" s="216"/>
      <c r="D412" s="217"/>
      <c r="E412" s="217"/>
      <c r="F412" s="44"/>
    </row>
    <row r="413" spans="3:6" ht="15.75" customHeight="1">
      <c r="C413" s="216"/>
      <c r="D413" s="217"/>
      <c r="E413" s="217"/>
      <c r="F413" s="44"/>
    </row>
    <row r="414" spans="3:6" ht="15.75" customHeight="1">
      <c r="C414" s="216"/>
      <c r="D414" s="217"/>
      <c r="E414" s="217"/>
      <c r="F414" s="44"/>
    </row>
    <row r="415" spans="3:6" ht="15.75" customHeight="1">
      <c r="C415" s="216"/>
      <c r="D415" s="217"/>
      <c r="E415" s="217"/>
      <c r="F415" s="44"/>
    </row>
    <row r="416" spans="3:6" ht="15.75" customHeight="1">
      <c r="C416" s="216"/>
      <c r="D416" s="217"/>
      <c r="E416" s="217"/>
      <c r="F416" s="44"/>
    </row>
    <row r="417" spans="3:6" ht="15.75" customHeight="1">
      <c r="C417" s="216"/>
      <c r="D417" s="217"/>
      <c r="E417" s="217"/>
      <c r="F417" s="44"/>
    </row>
    <row r="418" spans="3:6" ht="15.75" customHeight="1">
      <c r="C418" s="216"/>
      <c r="D418" s="217"/>
      <c r="E418" s="217"/>
      <c r="F418" s="44"/>
    </row>
    <row r="419" spans="3:6" ht="15.75" customHeight="1">
      <c r="C419" s="216"/>
      <c r="D419" s="217"/>
      <c r="E419" s="217"/>
      <c r="F419" s="44"/>
    </row>
    <row r="420" spans="3:6" ht="15.75" customHeight="1">
      <c r="C420" s="216"/>
      <c r="D420" s="217"/>
      <c r="E420" s="217"/>
      <c r="F420" s="44"/>
    </row>
    <row r="421" spans="3:6" ht="15.75" customHeight="1">
      <c r="C421" s="216"/>
      <c r="D421" s="217"/>
      <c r="E421" s="217"/>
      <c r="F421" s="44"/>
    </row>
    <row r="422" spans="3:6" ht="15.75" customHeight="1">
      <c r="C422" s="216"/>
      <c r="D422" s="217"/>
      <c r="E422" s="217"/>
      <c r="F422" s="44"/>
    </row>
    <row r="423" spans="3:6" ht="15.75" customHeight="1">
      <c r="C423" s="216"/>
      <c r="D423" s="217"/>
      <c r="E423" s="217"/>
      <c r="F423" s="44"/>
    </row>
    <row r="424" spans="3:6" ht="15.75" customHeight="1">
      <c r="C424" s="216"/>
      <c r="D424" s="217"/>
      <c r="E424" s="217"/>
      <c r="F424" s="44"/>
    </row>
    <row r="425" spans="3:6" ht="15.75" customHeight="1">
      <c r="C425" s="216"/>
      <c r="D425" s="217"/>
      <c r="E425" s="217"/>
      <c r="F425" s="44"/>
    </row>
    <row r="426" spans="3:6" ht="15.75" customHeight="1">
      <c r="C426" s="216"/>
      <c r="D426" s="217"/>
      <c r="E426" s="217"/>
      <c r="F426" s="44"/>
    </row>
    <row r="427" spans="3:6" ht="15.75" customHeight="1">
      <c r="C427" s="216"/>
      <c r="D427" s="217"/>
      <c r="E427" s="217"/>
      <c r="F427" s="44"/>
    </row>
    <row r="428" spans="3:6" ht="15.75" customHeight="1">
      <c r="C428" s="216"/>
      <c r="D428" s="217"/>
      <c r="E428" s="217"/>
      <c r="F428" s="44"/>
    </row>
    <row r="429" spans="3:6" ht="15.75" customHeight="1">
      <c r="C429" s="216"/>
      <c r="D429" s="217"/>
      <c r="E429" s="217"/>
      <c r="F429" s="44"/>
    </row>
    <row r="430" spans="3:6" ht="15.75" customHeight="1">
      <c r="C430" s="216"/>
      <c r="D430" s="217"/>
      <c r="E430" s="217"/>
      <c r="F430" s="44"/>
    </row>
    <row r="431" spans="3:6" ht="15.75" customHeight="1">
      <c r="C431" s="216"/>
      <c r="D431" s="217"/>
      <c r="E431" s="217"/>
      <c r="F431" s="44"/>
    </row>
    <row r="432" spans="3:6" ht="15.75" customHeight="1">
      <c r="C432" s="216"/>
      <c r="D432" s="217"/>
      <c r="E432" s="217"/>
      <c r="F432" s="44"/>
    </row>
    <row r="433" spans="3:6" ht="15.75" customHeight="1">
      <c r="C433" s="216"/>
      <c r="D433" s="217"/>
      <c r="E433" s="217"/>
      <c r="F433" s="44"/>
    </row>
    <row r="434" spans="3:6" ht="15.75" customHeight="1">
      <c r="C434" s="216"/>
      <c r="D434" s="217"/>
      <c r="E434" s="217"/>
      <c r="F434" s="44"/>
    </row>
    <row r="435" spans="3:6" ht="15.75" customHeight="1">
      <c r="C435" s="216"/>
      <c r="D435" s="217"/>
      <c r="E435" s="217"/>
      <c r="F435" s="44"/>
    </row>
    <row r="436" spans="3:6" ht="15.75" customHeight="1">
      <c r="C436" s="216"/>
      <c r="D436" s="217"/>
      <c r="E436" s="217"/>
      <c r="F436" s="44"/>
    </row>
    <row r="437" spans="3:6" ht="15.75" customHeight="1">
      <c r="C437" s="216"/>
      <c r="D437" s="217"/>
      <c r="E437" s="217"/>
      <c r="F437" s="44"/>
    </row>
    <row r="438" spans="3:6" ht="15.75" customHeight="1">
      <c r="C438" s="216"/>
      <c r="D438" s="217"/>
      <c r="E438" s="217"/>
      <c r="F438" s="44"/>
    </row>
    <row r="439" spans="3:6" ht="15.75" customHeight="1">
      <c r="C439" s="216"/>
      <c r="D439" s="217"/>
      <c r="E439" s="217"/>
      <c r="F439" s="44"/>
    </row>
    <row r="440" spans="3:6" ht="15.75" customHeight="1">
      <c r="C440" s="216"/>
      <c r="D440" s="217"/>
      <c r="E440" s="217"/>
      <c r="F440" s="44"/>
    </row>
    <row r="441" spans="3:6" ht="15.75" customHeight="1">
      <c r="C441" s="216"/>
      <c r="D441" s="217"/>
      <c r="E441" s="217"/>
      <c r="F441" s="44"/>
    </row>
    <row r="442" spans="3:6" ht="15.75" customHeight="1">
      <c r="C442" s="216"/>
      <c r="D442" s="217"/>
      <c r="E442" s="217"/>
      <c r="F442" s="44"/>
    </row>
    <row r="443" spans="3:6" ht="15.75" customHeight="1">
      <c r="C443" s="216"/>
      <c r="D443" s="217"/>
      <c r="E443" s="217"/>
      <c r="F443" s="44"/>
    </row>
    <row r="444" spans="3:6" ht="15.75" customHeight="1">
      <c r="C444" s="216"/>
      <c r="D444" s="217"/>
      <c r="E444" s="217"/>
      <c r="F444" s="44"/>
    </row>
    <row r="445" spans="3:6" ht="15.75" customHeight="1">
      <c r="C445" s="216"/>
      <c r="D445" s="217"/>
      <c r="E445" s="217"/>
      <c r="F445" s="44"/>
    </row>
    <row r="446" spans="3:6" ht="15.75" customHeight="1">
      <c r="C446" s="216"/>
      <c r="D446" s="217"/>
      <c r="E446" s="217"/>
      <c r="F446" s="44"/>
    </row>
    <row r="447" spans="3:6" ht="15.75" customHeight="1">
      <c r="C447" s="216"/>
      <c r="D447" s="217"/>
      <c r="E447" s="217"/>
      <c r="F447" s="44"/>
    </row>
    <row r="448" spans="3:6" ht="15.75" customHeight="1">
      <c r="C448" s="216"/>
      <c r="D448" s="217"/>
      <c r="E448" s="217"/>
      <c r="F448" s="44"/>
    </row>
    <row r="449" spans="3:6" ht="15.75" customHeight="1">
      <c r="C449" s="216"/>
      <c r="D449" s="217"/>
      <c r="E449" s="217"/>
      <c r="F449" s="44"/>
    </row>
    <row r="450" spans="3:6" ht="15.75" customHeight="1">
      <c r="C450" s="216"/>
      <c r="D450" s="217"/>
      <c r="E450" s="217"/>
      <c r="F450" s="44"/>
    </row>
    <row r="451" spans="3:6" ht="15.75" customHeight="1">
      <c r="C451" s="216"/>
      <c r="D451" s="217"/>
      <c r="E451" s="217"/>
      <c r="F451" s="44"/>
    </row>
    <row r="452" spans="3:6" ht="15.75" customHeight="1">
      <c r="C452" s="216"/>
      <c r="D452" s="217"/>
      <c r="E452" s="217"/>
      <c r="F452" s="44"/>
    </row>
    <row r="453" spans="3:6" ht="15.75" customHeight="1">
      <c r="C453" s="216"/>
      <c r="D453" s="217"/>
      <c r="E453" s="217"/>
      <c r="F453" s="44"/>
    </row>
    <row r="454" spans="3:6" ht="15.75" customHeight="1">
      <c r="C454" s="216"/>
      <c r="D454" s="217"/>
      <c r="E454" s="217"/>
      <c r="F454" s="44"/>
    </row>
    <row r="455" spans="3:6" ht="15.75" customHeight="1">
      <c r="C455" s="216"/>
      <c r="D455" s="217"/>
      <c r="E455" s="217"/>
      <c r="F455" s="44"/>
    </row>
    <row r="456" spans="3:6" ht="15.75" customHeight="1">
      <c r="C456" s="216"/>
      <c r="D456" s="217"/>
      <c r="E456" s="217"/>
      <c r="F456" s="44"/>
    </row>
    <row r="457" spans="3:6" ht="15.75" customHeight="1">
      <c r="C457" s="216"/>
      <c r="D457" s="217"/>
      <c r="E457" s="217"/>
      <c r="F457" s="44"/>
    </row>
    <row r="458" spans="3:6" ht="15.75" customHeight="1">
      <c r="C458" s="216"/>
      <c r="D458" s="217"/>
      <c r="E458" s="217"/>
      <c r="F458" s="44"/>
    </row>
    <row r="459" spans="3:6" ht="15.75" customHeight="1">
      <c r="C459" s="216"/>
      <c r="D459" s="217"/>
      <c r="E459" s="217"/>
      <c r="F459" s="44"/>
    </row>
    <row r="460" spans="3:6" ht="15.75" customHeight="1">
      <c r="C460" s="216"/>
      <c r="D460" s="217"/>
      <c r="E460" s="217"/>
      <c r="F460" s="44"/>
    </row>
    <row r="461" spans="3:6" ht="15.75" customHeight="1">
      <c r="C461" s="216"/>
      <c r="D461" s="217"/>
      <c r="E461" s="217"/>
      <c r="F461" s="44"/>
    </row>
    <row r="462" spans="3:6" ht="15.75" customHeight="1">
      <c r="C462" s="216"/>
      <c r="D462" s="217"/>
      <c r="E462" s="217"/>
      <c r="F462" s="44"/>
    </row>
    <row r="463" spans="3:6" ht="15.75" customHeight="1">
      <c r="C463" s="216"/>
      <c r="D463" s="217"/>
      <c r="E463" s="217"/>
      <c r="F463" s="44"/>
    </row>
    <row r="464" spans="3:6" ht="15.75" customHeight="1">
      <c r="C464" s="216"/>
      <c r="D464" s="217"/>
      <c r="E464" s="217"/>
      <c r="F464" s="44"/>
    </row>
    <row r="465" spans="3:6" ht="15.75" customHeight="1">
      <c r="C465" s="216"/>
      <c r="D465" s="217"/>
      <c r="E465" s="217"/>
      <c r="F465" s="44"/>
    </row>
    <row r="466" spans="3:6" ht="15.75" customHeight="1">
      <c r="C466" s="216"/>
      <c r="D466" s="217"/>
      <c r="E466" s="217"/>
      <c r="F466" s="44"/>
    </row>
    <row r="467" spans="3:6" ht="15.75" customHeight="1">
      <c r="C467" s="216"/>
      <c r="D467" s="217"/>
      <c r="E467" s="217"/>
      <c r="F467" s="44"/>
    </row>
    <row r="468" spans="3:6" ht="15.75" customHeight="1">
      <c r="C468" s="216"/>
      <c r="D468" s="217"/>
      <c r="E468" s="217"/>
      <c r="F468" s="44"/>
    </row>
    <row r="469" spans="3:6" ht="15.75" customHeight="1">
      <c r="C469" s="216"/>
      <c r="D469" s="217"/>
      <c r="E469" s="217"/>
      <c r="F469" s="44"/>
    </row>
    <row r="470" spans="3:6" ht="15.75" customHeight="1">
      <c r="C470" s="216"/>
      <c r="D470" s="217"/>
      <c r="E470" s="217"/>
      <c r="F470" s="44"/>
    </row>
    <row r="471" spans="3:6" ht="15.75" customHeight="1">
      <c r="C471" s="216"/>
      <c r="D471" s="217"/>
      <c r="E471" s="217"/>
      <c r="F471" s="44"/>
    </row>
    <row r="472" spans="3:6" ht="15.75" customHeight="1">
      <c r="C472" s="216"/>
      <c r="D472" s="217"/>
      <c r="E472" s="217"/>
      <c r="F472" s="44"/>
    </row>
    <row r="473" spans="3:6" ht="15.75" customHeight="1">
      <c r="C473" s="216"/>
      <c r="D473" s="217"/>
      <c r="E473" s="217"/>
      <c r="F473" s="44"/>
    </row>
    <row r="474" spans="3:6" ht="15.75" customHeight="1">
      <c r="C474" s="216"/>
      <c r="D474" s="217"/>
      <c r="E474" s="217"/>
      <c r="F474" s="44"/>
    </row>
    <row r="475" spans="3:6" ht="15.75" customHeight="1">
      <c r="C475" s="216"/>
      <c r="D475" s="217"/>
      <c r="E475" s="217"/>
      <c r="F475" s="44"/>
    </row>
    <row r="476" spans="3:6" ht="15.75" customHeight="1">
      <c r="C476" s="216"/>
      <c r="D476" s="217"/>
      <c r="E476" s="217"/>
      <c r="F476" s="44"/>
    </row>
    <row r="477" spans="3:6" ht="15.75" customHeight="1">
      <c r="C477" s="216"/>
      <c r="D477" s="217"/>
      <c r="E477" s="217"/>
      <c r="F477" s="44"/>
    </row>
    <row r="478" spans="3:6" ht="15.75" customHeight="1">
      <c r="C478" s="216"/>
      <c r="D478" s="217"/>
      <c r="E478" s="217"/>
      <c r="F478" s="44"/>
    </row>
    <row r="479" spans="3:6" ht="15.75" customHeight="1">
      <c r="C479" s="216"/>
      <c r="D479" s="217"/>
      <c r="E479" s="217"/>
      <c r="F479" s="44"/>
    </row>
    <row r="480" spans="3:6" ht="15.75" customHeight="1">
      <c r="C480" s="216"/>
      <c r="D480" s="217"/>
      <c r="E480" s="217"/>
      <c r="F480" s="44"/>
    </row>
    <row r="481" spans="3:6" ht="15.75" customHeight="1">
      <c r="C481" s="216"/>
      <c r="D481" s="217"/>
      <c r="E481" s="217"/>
      <c r="F481" s="44"/>
    </row>
    <row r="482" spans="3:6" ht="15.75" customHeight="1">
      <c r="C482" s="216"/>
      <c r="D482" s="217"/>
      <c r="E482" s="217"/>
      <c r="F482" s="44"/>
    </row>
    <row r="483" spans="3:6" ht="15.75" customHeight="1">
      <c r="C483" s="216"/>
      <c r="D483" s="217"/>
      <c r="E483" s="217"/>
      <c r="F483" s="44"/>
    </row>
    <row r="484" spans="3:6" ht="15.75" customHeight="1">
      <c r="C484" s="216"/>
      <c r="D484" s="217"/>
      <c r="E484" s="217"/>
      <c r="F484" s="44"/>
    </row>
    <row r="485" spans="3:6" ht="15.75" customHeight="1">
      <c r="C485" s="216"/>
      <c r="D485" s="217"/>
      <c r="E485" s="217"/>
      <c r="F485" s="44"/>
    </row>
    <row r="486" spans="3:6" ht="15.75" customHeight="1">
      <c r="C486" s="216"/>
      <c r="D486" s="217"/>
      <c r="E486" s="217"/>
      <c r="F486" s="44"/>
    </row>
    <row r="487" spans="3:6" ht="15.75" customHeight="1">
      <c r="C487" s="216"/>
      <c r="D487" s="217"/>
      <c r="E487" s="217"/>
      <c r="F487" s="44"/>
    </row>
    <row r="488" spans="3:6" ht="15.75" customHeight="1">
      <c r="C488" s="216"/>
      <c r="D488" s="217"/>
      <c r="E488" s="217"/>
      <c r="F488" s="44"/>
    </row>
    <row r="489" spans="3:6" ht="15.75" customHeight="1">
      <c r="C489" s="216"/>
      <c r="D489" s="217"/>
      <c r="E489" s="217"/>
      <c r="F489" s="44"/>
    </row>
    <row r="490" spans="3:6" ht="15.75" customHeight="1">
      <c r="C490" s="216"/>
      <c r="D490" s="217"/>
      <c r="E490" s="217"/>
      <c r="F490" s="44"/>
    </row>
    <row r="491" spans="3:6" ht="15.75" customHeight="1">
      <c r="C491" s="216"/>
      <c r="D491" s="217"/>
      <c r="E491" s="217"/>
      <c r="F491" s="44"/>
    </row>
    <row r="492" spans="3:6" ht="15.75" customHeight="1">
      <c r="C492" s="216"/>
      <c r="D492" s="217"/>
      <c r="E492" s="217"/>
      <c r="F492" s="44"/>
    </row>
    <row r="493" spans="3:6" ht="15.75" customHeight="1">
      <c r="C493" s="216"/>
      <c r="D493" s="217"/>
      <c r="E493" s="217"/>
      <c r="F493" s="44"/>
    </row>
    <row r="494" spans="3:6" ht="15.75" customHeight="1">
      <c r="C494" s="216"/>
      <c r="D494" s="217"/>
      <c r="E494" s="217"/>
      <c r="F494" s="44"/>
    </row>
    <row r="495" spans="3:6" ht="15.75" customHeight="1">
      <c r="C495" s="216"/>
      <c r="D495" s="217"/>
      <c r="E495" s="217"/>
      <c r="F495" s="44"/>
    </row>
    <row r="496" spans="3:6" ht="15.75" customHeight="1">
      <c r="C496" s="216"/>
      <c r="D496" s="217"/>
      <c r="E496" s="217"/>
      <c r="F496" s="44"/>
    </row>
    <row r="497" spans="3:6" ht="15.75" customHeight="1">
      <c r="C497" s="216"/>
      <c r="D497" s="217"/>
      <c r="E497" s="217"/>
      <c r="F497" s="44"/>
    </row>
    <row r="498" spans="3:6" ht="15.75" customHeight="1">
      <c r="C498" s="216"/>
      <c r="D498" s="217"/>
      <c r="E498" s="217"/>
      <c r="F498" s="44"/>
    </row>
    <row r="499" spans="3:6" ht="15.75" customHeight="1">
      <c r="C499" s="216"/>
      <c r="D499" s="217"/>
      <c r="E499" s="217"/>
      <c r="F499" s="44"/>
    </row>
    <row r="500" spans="3:6" ht="15.75" customHeight="1">
      <c r="C500" s="216"/>
      <c r="D500" s="217"/>
      <c r="E500" s="217"/>
      <c r="F500" s="44"/>
    </row>
    <row r="501" spans="3:6" ht="15.75" customHeight="1">
      <c r="C501" s="216"/>
      <c r="D501" s="217"/>
      <c r="E501" s="217"/>
      <c r="F501" s="44"/>
    </row>
    <row r="502" spans="3:6" ht="15.75" customHeight="1">
      <c r="C502" s="216"/>
      <c r="D502" s="217"/>
      <c r="E502" s="217"/>
      <c r="F502" s="44"/>
    </row>
    <row r="503" spans="3:6" ht="15.75" customHeight="1">
      <c r="C503" s="216"/>
      <c r="D503" s="217"/>
      <c r="E503" s="217"/>
      <c r="F503" s="44"/>
    </row>
    <row r="504" spans="3:6" ht="15.75" customHeight="1">
      <c r="C504" s="216"/>
      <c r="D504" s="217"/>
      <c r="E504" s="217"/>
      <c r="F504" s="44"/>
    </row>
    <row r="505" spans="3:6" ht="15.75" customHeight="1">
      <c r="C505" s="216"/>
      <c r="D505" s="217"/>
      <c r="E505" s="217"/>
      <c r="F505" s="44"/>
    </row>
    <row r="506" spans="3:6" ht="15.75" customHeight="1">
      <c r="C506" s="216"/>
      <c r="D506" s="217"/>
      <c r="E506" s="217"/>
      <c r="F506" s="44"/>
    </row>
    <row r="507" spans="3:6" ht="15.75" customHeight="1">
      <c r="C507" s="216"/>
      <c r="D507" s="217"/>
      <c r="E507" s="217"/>
      <c r="F507" s="44"/>
    </row>
    <row r="508" spans="3:6" ht="15.75" customHeight="1">
      <c r="C508" s="216"/>
      <c r="D508" s="217"/>
      <c r="E508" s="217"/>
      <c r="F508" s="44"/>
    </row>
    <row r="509" spans="3:6" ht="15.75" customHeight="1">
      <c r="C509" s="216"/>
      <c r="D509" s="217"/>
      <c r="E509" s="217"/>
      <c r="F509" s="44"/>
    </row>
    <row r="510" spans="3:6" ht="15.75" customHeight="1">
      <c r="C510" s="216"/>
      <c r="D510" s="217"/>
      <c r="E510" s="217"/>
      <c r="F510" s="44"/>
    </row>
    <row r="511" spans="3:6" ht="15.75" customHeight="1">
      <c r="C511" s="216"/>
      <c r="D511" s="217"/>
      <c r="E511" s="217"/>
      <c r="F511" s="44"/>
    </row>
    <row r="512" spans="3:6" ht="15.75" customHeight="1">
      <c r="C512" s="216"/>
      <c r="D512" s="217"/>
      <c r="E512" s="217"/>
      <c r="F512" s="44"/>
    </row>
    <row r="513" spans="3:6" ht="15.75" customHeight="1">
      <c r="C513" s="216"/>
      <c r="D513" s="217"/>
      <c r="E513" s="217"/>
      <c r="F513" s="44"/>
    </row>
    <row r="514" spans="3:6" ht="15.75" customHeight="1">
      <c r="C514" s="216"/>
      <c r="D514" s="217"/>
      <c r="E514" s="217"/>
      <c r="F514" s="44"/>
    </row>
    <row r="515" spans="3:6" ht="15.75" customHeight="1">
      <c r="C515" s="216"/>
      <c r="D515" s="217"/>
      <c r="E515" s="217"/>
      <c r="F515" s="44"/>
    </row>
    <row r="516" spans="3:6" ht="15.75" customHeight="1">
      <c r="C516" s="216"/>
      <c r="D516" s="217"/>
      <c r="E516" s="217"/>
      <c r="F516" s="44"/>
    </row>
    <row r="517" spans="3:6" ht="15.75" customHeight="1">
      <c r="C517" s="216"/>
      <c r="D517" s="217"/>
      <c r="E517" s="217"/>
      <c r="F517" s="44"/>
    </row>
    <row r="518" spans="3:6" ht="15.75" customHeight="1">
      <c r="C518" s="216"/>
      <c r="D518" s="217"/>
      <c r="E518" s="217"/>
      <c r="F518" s="44"/>
    </row>
    <row r="519" spans="3:6" ht="15.75" customHeight="1">
      <c r="C519" s="216"/>
      <c r="D519" s="217"/>
      <c r="E519" s="217"/>
      <c r="F519" s="44"/>
    </row>
    <row r="520" spans="3:6" ht="15.75" customHeight="1">
      <c r="C520" s="216"/>
      <c r="D520" s="217"/>
      <c r="E520" s="217"/>
      <c r="F520" s="44"/>
    </row>
    <row r="521" spans="3:6" ht="15.75" customHeight="1">
      <c r="C521" s="216"/>
      <c r="D521" s="217"/>
      <c r="E521" s="217"/>
      <c r="F521" s="44"/>
    </row>
    <row r="522" spans="3:6" ht="15.75" customHeight="1">
      <c r="C522" s="216"/>
      <c r="D522" s="217"/>
      <c r="E522" s="217"/>
      <c r="F522" s="44"/>
    </row>
    <row r="523" spans="3:6" ht="15.75" customHeight="1">
      <c r="C523" s="216"/>
      <c r="D523" s="217"/>
      <c r="E523" s="217"/>
      <c r="F523" s="44"/>
    </row>
    <row r="524" spans="3:6" ht="15.75" customHeight="1">
      <c r="C524" s="216"/>
      <c r="D524" s="217"/>
      <c r="E524" s="217"/>
      <c r="F524" s="44"/>
    </row>
    <row r="525" spans="3:6" ht="15.75" customHeight="1">
      <c r="C525" s="216"/>
      <c r="D525" s="217"/>
      <c r="E525" s="217"/>
      <c r="F525" s="44"/>
    </row>
    <row r="526" spans="3:6" ht="15.75" customHeight="1">
      <c r="C526" s="216"/>
      <c r="D526" s="217"/>
      <c r="E526" s="217"/>
      <c r="F526" s="44"/>
    </row>
    <row r="527" spans="3:6" ht="15.75" customHeight="1">
      <c r="C527" s="216"/>
      <c r="D527" s="217"/>
      <c r="E527" s="217"/>
      <c r="F527" s="44"/>
    </row>
    <row r="528" spans="3:6" ht="15.75" customHeight="1">
      <c r="C528" s="216"/>
      <c r="D528" s="217"/>
      <c r="E528" s="217"/>
      <c r="F528" s="44"/>
    </row>
    <row r="529" spans="3:6" ht="15.75" customHeight="1">
      <c r="C529" s="216"/>
      <c r="D529" s="217"/>
      <c r="E529" s="217"/>
      <c r="F529" s="44"/>
    </row>
    <row r="530" spans="3:6" ht="15.75" customHeight="1">
      <c r="C530" s="216"/>
      <c r="D530" s="217"/>
      <c r="E530" s="217"/>
      <c r="F530" s="44"/>
    </row>
    <row r="531" spans="3:6" ht="15.75" customHeight="1">
      <c r="C531" s="216"/>
      <c r="D531" s="217"/>
      <c r="E531" s="217"/>
      <c r="F531" s="44"/>
    </row>
    <row r="532" spans="3:6" ht="15.75" customHeight="1">
      <c r="C532" s="216"/>
      <c r="D532" s="217"/>
      <c r="E532" s="217"/>
      <c r="F532" s="44"/>
    </row>
    <row r="533" spans="3:6" ht="15.75" customHeight="1">
      <c r="C533" s="216"/>
      <c r="D533" s="217"/>
      <c r="E533" s="217"/>
      <c r="F533" s="44"/>
    </row>
    <row r="534" spans="3:6" ht="15.75" customHeight="1">
      <c r="C534" s="216"/>
      <c r="D534" s="217"/>
      <c r="E534" s="217"/>
      <c r="F534" s="44"/>
    </row>
    <row r="535" spans="3:6" ht="15.75" customHeight="1">
      <c r="C535" s="216"/>
      <c r="D535" s="217"/>
      <c r="E535" s="217"/>
      <c r="F535" s="44"/>
    </row>
    <row r="536" spans="3:6" ht="15.75" customHeight="1">
      <c r="C536" s="216"/>
      <c r="D536" s="217"/>
      <c r="E536" s="217"/>
      <c r="F536" s="44"/>
    </row>
    <row r="537" spans="3:6" ht="15.75" customHeight="1">
      <c r="C537" s="216"/>
      <c r="D537" s="217"/>
      <c r="E537" s="217"/>
      <c r="F537" s="44"/>
    </row>
    <row r="538" spans="3:6" ht="15.75" customHeight="1">
      <c r="C538" s="216"/>
      <c r="D538" s="217"/>
      <c r="E538" s="217"/>
      <c r="F538" s="44"/>
    </row>
    <row r="539" spans="3:6" ht="15.75" customHeight="1">
      <c r="C539" s="216"/>
      <c r="D539" s="217"/>
      <c r="E539" s="217"/>
      <c r="F539" s="44"/>
    </row>
    <row r="540" spans="3:6" ht="15.75" customHeight="1">
      <c r="C540" s="216"/>
      <c r="D540" s="217"/>
      <c r="E540" s="217"/>
      <c r="F540" s="44"/>
    </row>
    <row r="541" spans="3:6" ht="15.75" customHeight="1">
      <c r="C541" s="216"/>
      <c r="D541" s="217"/>
      <c r="E541" s="217"/>
      <c r="F541" s="44"/>
    </row>
    <row r="542" spans="3:6" ht="15.75" customHeight="1">
      <c r="C542" s="216"/>
      <c r="D542" s="217"/>
      <c r="E542" s="217"/>
      <c r="F542" s="44"/>
    </row>
    <row r="543" spans="3:6" ht="15.75" customHeight="1">
      <c r="C543" s="216"/>
      <c r="D543" s="217"/>
      <c r="E543" s="217"/>
      <c r="F543" s="44"/>
    </row>
    <row r="544" spans="3:6" ht="15.75" customHeight="1">
      <c r="C544" s="216"/>
      <c r="D544" s="217"/>
      <c r="E544" s="217"/>
      <c r="F544" s="44"/>
    </row>
    <row r="545" spans="3:6" ht="15.75" customHeight="1">
      <c r="C545" s="216"/>
      <c r="D545" s="217"/>
      <c r="E545" s="217"/>
      <c r="F545" s="44"/>
    </row>
    <row r="546" spans="3:6" ht="15.75" customHeight="1">
      <c r="C546" s="216"/>
      <c r="D546" s="217"/>
      <c r="E546" s="217"/>
      <c r="F546" s="44"/>
    </row>
    <row r="547" spans="3:6" ht="15.75" customHeight="1">
      <c r="C547" s="216"/>
      <c r="D547" s="217"/>
      <c r="E547" s="217"/>
      <c r="F547" s="44"/>
    </row>
    <row r="548" spans="3:6" ht="15.75" customHeight="1">
      <c r="C548" s="216"/>
      <c r="D548" s="217"/>
      <c r="E548" s="217"/>
      <c r="F548" s="44"/>
    </row>
    <row r="549" spans="3:6" ht="15.75" customHeight="1">
      <c r="C549" s="216"/>
      <c r="D549" s="217"/>
      <c r="E549" s="217"/>
      <c r="F549" s="44"/>
    </row>
    <row r="550" spans="3:6" ht="15.75" customHeight="1">
      <c r="C550" s="216"/>
      <c r="D550" s="217"/>
      <c r="E550" s="217"/>
      <c r="F550" s="44"/>
    </row>
    <row r="551" spans="3:6" ht="15.75" customHeight="1">
      <c r="C551" s="216"/>
      <c r="D551" s="217"/>
      <c r="E551" s="217"/>
      <c r="F551" s="44"/>
    </row>
    <row r="552" spans="3:6" ht="15.75" customHeight="1">
      <c r="C552" s="216"/>
      <c r="D552" s="217"/>
      <c r="E552" s="217"/>
      <c r="F552" s="44"/>
    </row>
    <row r="553" spans="3:6" ht="15.75" customHeight="1">
      <c r="C553" s="216"/>
      <c r="D553" s="217"/>
      <c r="E553" s="217"/>
      <c r="F553" s="44"/>
    </row>
    <row r="554" spans="3:6" ht="15.75" customHeight="1">
      <c r="C554" s="216"/>
      <c r="D554" s="217"/>
      <c r="E554" s="217"/>
      <c r="F554" s="44"/>
    </row>
    <row r="555" spans="3:6" ht="15.75" customHeight="1">
      <c r="C555" s="216"/>
      <c r="D555" s="217"/>
      <c r="E555" s="217"/>
      <c r="F555" s="44"/>
    </row>
    <row r="556" spans="3:6" ht="15.75" customHeight="1">
      <c r="C556" s="216"/>
      <c r="D556" s="217"/>
      <c r="E556" s="217"/>
      <c r="F556" s="44"/>
    </row>
    <row r="557" spans="3:6" ht="15.75" customHeight="1">
      <c r="C557" s="216"/>
      <c r="D557" s="217"/>
      <c r="E557" s="217"/>
      <c r="F557" s="44"/>
    </row>
    <row r="558" spans="3:6" ht="15.75" customHeight="1">
      <c r="C558" s="216"/>
      <c r="D558" s="217"/>
      <c r="E558" s="217"/>
      <c r="F558" s="44"/>
    </row>
    <row r="559" spans="3:6" ht="15.75" customHeight="1">
      <c r="C559" s="216"/>
      <c r="D559" s="217"/>
      <c r="E559" s="217"/>
      <c r="F559" s="44"/>
    </row>
    <row r="560" spans="3:6" ht="15.75" customHeight="1">
      <c r="C560" s="216"/>
      <c r="D560" s="217"/>
      <c r="E560" s="217"/>
      <c r="F560" s="44"/>
    </row>
    <row r="561" spans="3:6" ht="15.75" customHeight="1">
      <c r="C561" s="216"/>
      <c r="D561" s="217"/>
      <c r="E561" s="217"/>
      <c r="F561" s="44"/>
    </row>
    <row r="562" spans="3:6" ht="15.75" customHeight="1">
      <c r="C562" s="216"/>
      <c r="D562" s="217"/>
      <c r="E562" s="217"/>
      <c r="F562" s="44"/>
    </row>
    <row r="563" spans="3:6" ht="15.75" customHeight="1">
      <c r="C563" s="216"/>
      <c r="D563" s="217"/>
      <c r="E563" s="217"/>
      <c r="F563" s="44"/>
    </row>
    <row r="564" spans="3:6" ht="15.75" customHeight="1">
      <c r="C564" s="216"/>
      <c r="D564" s="217"/>
      <c r="E564" s="217"/>
      <c r="F564" s="44"/>
    </row>
    <row r="565" spans="3:6" ht="15.75" customHeight="1">
      <c r="C565" s="216"/>
      <c r="D565" s="217"/>
      <c r="E565" s="217"/>
      <c r="F565" s="44"/>
    </row>
    <row r="566" spans="3:6" ht="15.75" customHeight="1">
      <c r="C566" s="216"/>
      <c r="D566" s="217"/>
      <c r="E566" s="217"/>
      <c r="F566" s="44"/>
    </row>
    <row r="567" spans="3:6" ht="15.75" customHeight="1">
      <c r="C567" s="216"/>
      <c r="D567" s="217"/>
      <c r="E567" s="217"/>
      <c r="F567" s="44"/>
    </row>
    <row r="568" spans="3:6" ht="15.75" customHeight="1">
      <c r="C568" s="216"/>
      <c r="D568" s="217"/>
      <c r="E568" s="217"/>
      <c r="F568" s="44"/>
    </row>
    <row r="569" spans="3:6" ht="15.75" customHeight="1">
      <c r="C569" s="216"/>
      <c r="D569" s="217"/>
      <c r="E569" s="217"/>
      <c r="F569" s="44"/>
    </row>
    <row r="570" spans="3:6" ht="15.75" customHeight="1">
      <c r="C570" s="216"/>
      <c r="D570" s="217"/>
      <c r="E570" s="217"/>
      <c r="F570" s="44"/>
    </row>
    <row r="571" spans="3:6" ht="15.75" customHeight="1">
      <c r="C571" s="216"/>
      <c r="D571" s="217"/>
      <c r="E571" s="217"/>
      <c r="F571" s="44"/>
    </row>
    <row r="572" spans="3:6" ht="15.75" customHeight="1">
      <c r="C572" s="216"/>
      <c r="D572" s="217"/>
      <c r="E572" s="217"/>
      <c r="F572" s="44"/>
    </row>
    <row r="573" spans="3:6" ht="15.75" customHeight="1">
      <c r="C573" s="216"/>
      <c r="D573" s="217"/>
      <c r="E573" s="217"/>
      <c r="F573" s="44"/>
    </row>
    <row r="574" spans="3:6" ht="15.75" customHeight="1">
      <c r="C574" s="216"/>
      <c r="D574" s="217"/>
      <c r="E574" s="217"/>
      <c r="F574" s="44"/>
    </row>
    <row r="575" spans="3:6" ht="15.75" customHeight="1">
      <c r="C575" s="216"/>
      <c r="D575" s="217"/>
      <c r="E575" s="217"/>
      <c r="F575" s="44"/>
    </row>
    <row r="576" spans="3:6" ht="15.75" customHeight="1">
      <c r="C576" s="216"/>
      <c r="D576" s="217"/>
      <c r="E576" s="217"/>
      <c r="F576" s="44"/>
    </row>
    <row r="577" spans="3:6" ht="15.75" customHeight="1">
      <c r="C577" s="216"/>
      <c r="D577" s="217"/>
      <c r="E577" s="217"/>
      <c r="F577" s="44"/>
    </row>
    <row r="578" spans="3:6" ht="15.75" customHeight="1">
      <c r="C578" s="216"/>
      <c r="D578" s="217"/>
      <c r="E578" s="217"/>
      <c r="F578" s="44"/>
    </row>
    <row r="579" spans="3:6" ht="15.75" customHeight="1">
      <c r="C579" s="216"/>
      <c r="D579" s="217"/>
      <c r="E579" s="217"/>
      <c r="F579" s="44"/>
    </row>
    <row r="580" spans="3:6" ht="15.75" customHeight="1">
      <c r="C580" s="216"/>
      <c r="D580" s="217"/>
      <c r="E580" s="217"/>
      <c r="F580" s="44"/>
    </row>
    <row r="581" spans="3:6" ht="15.75" customHeight="1">
      <c r="C581" s="216"/>
      <c r="D581" s="217"/>
      <c r="E581" s="217"/>
      <c r="F581" s="44"/>
    </row>
    <row r="582" spans="3:6" ht="15.75" customHeight="1">
      <c r="C582" s="216"/>
      <c r="D582" s="217"/>
      <c r="E582" s="217"/>
      <c r="F582" s="44"/>
    </row>
    <row r="583" spans="3:6" ht="15.75" customHeight="1">
      <c r="C583" s="216"/>
      <c r="D583" s="217"/>
      <c r="E583" s="217"/>
      <c r="F583" s="44"/>
    </row>
    <row r="584" spans="3:6" ht="15.75" customHeight="1">
      <c r="C584" s="216"/>
      <c r="D584" s="217"/>
      <c r="E584" s="217"/>
      <c r="F584" s="44"/>
    </row>
    <row r="585" spans="3:6" ht="15.75" customHeight="1">
      <c r="C585" s="216"/>
      <c r="D585" s="217"/>
      <c r="E585" s="217"/>
      <c r="F585" s="44"/>
    </row>
    <row r="586" spans="3:6" ht="15.75" customHeight="1">
      <c r="C586" s="216"/>
      <c r="D586" s="217"/>
      <c r="E586" s="217"/>
      <c r="F586" s="44"/>
    </row>
    <row r="587" spans="3:6" ht="15.75" customHeight="1">
      <c r="C587" s="216"/>
      <c r="D587" s="217"/>
      <c r="E587" s="217"/>
      <c r="F587" s="44"/>
    </row>
    <row r="588" spans="3:6" ht="15.75" customHeight="1">
      <c r="C588" s="216"/>
      <c r="D588" s="217"/>
      <c r="E588" s="217"/>
      <c r="F588" s="44"/>
    </row>
    <row r="589" spans="3:6" ht="15.75" customHeight="1">
      <c r="C589" s="216"/>
      <c r="D589" s="217"/>
      <c r="E589" s="217"/>
      <c r="F589" s="44"/>
    </row>
    <row r="590" spans="3:6" ht="15.75" customHeight="1">
      <c r="C590" s="216"/>
      <c r="D590" s="217"/>
      <c r="E590" s="217"/>
      <c r="F590" s="44"/>
    </row>
    <row r="591" spans="3:6" ht="15.75" customHeight="1">
      <c r="C591" s="216"/>
      <c r="D591" s="217"/>
      <c r="E591" s="217"/>
      <c r="F591" s="44"/>
    </row>
    <row r="592" spans="3:6" ht="15.75" customHeight="1">
      <c r="C592" s="216"/>
      <c r="D592" s="217"/>
      <c r="E592" s="217"/>
      <c r="F592" s="44"/>
    </row>
    <row r="593" spans="3:6" ht="15.75" customHeight="1">
      <c r="C593" s="216"/>
      <c r="D593" s="217"/>
      <c r="E593" s="217"/>
      <c r="F593" s="44"/>
    </row>
    <row r="594" spans="3:6" ht="15.75" customHeight="1">
      <c r="C594" s="216"/>
      <c r="D594" s="217"/>
      <c r="E594" s="217"/>
      <c r="F594" s="44"/>
    </row>
    <row r="595" spans="3:6" ht="15.75" customHeight="1">
      <c r="C595" s="216"/>
      <c r="D595" s="217"/>
      <c r="E595" s="217"/>
      <c r="F595" s="44"/>
    </row>
    <row r="596" spans="3:6" ht="15.75" customHeight="1">
      <c r="C596" s="216"/>
      <c r="D596" s="217"/>
      <c r="E596" s="217"/>
      <c r="F596" s="44"/>
    </row>
    <row r="597" spans="3:6" ht="15.75" customHeight="1">
      <c r="C597" s="216"/>
      <c r="D597" s="217"/>
      <c r="E597" s="217"/>
      <c r="F597" s="44"/>
    </row>
    <row r="598" spans="3:6" ht="15.75" customHeight="1">
      <c r="C598" s="216"/>
      <c r="D598" s="217"/>
      <c r="E598" s="217"/>
      <c r="F598" s="44"/>
    </row>
    <row r="599" spans="3:6" ht="15.75" customHeight="1">
      <c r="C599" s="216"/>
      <c r="D599" s="217"/>
      <c r="E599" s="217"/>
      <c r="F599" s="44"/>
    </row>
    <row r="600" spans="3:6" ht="15.75" customHeight="1">
      <c r="C600" s="216"/>
      <c r="D600" s="217"/>
      <c r="E600" s="217"/>
      <c r="F600" s="44"/>
    </row>
    <row r="601" spans="3:6" ht="15.75" customHeight="1">
      <c r="C601" s="216"/>
      <c r="D601" s="217"/>
      <c r="E601" s="217"/>
      <c r="F601" s="44"/>
    </row>
    <row r="602" spans="3:6" ht="15.75" customHeight="1">
      <c r="C602" s="216"/>
      <c r="D602" s="217"/>
      <c r="E602" s="217"/>
      <c r="F602" s="44"/>
    </row>
    <row r="603" spans="3:6" ht="15.75" customHeight="1">
      <c r="C603" s="216"/>
      <c r="D603" s="217"/>
      <c r="E603" s="217"/>
      <c r="F603" s="44"/>
    </row>
    <row r="604" spans="3:6" ht="15.75" customHeight="1">
      <c r="C604" s="216"/>
      <c r="D604" s="217"/>
      <c r="E604" s="217"/>
      <c r="F604" s="44"/>
    </row>
    <row r="605" spans="3:6" ht="15.75" customHeight="1">
      <c r="C605" s="216"/>
      <c r="D605" s="217"/>
      <c r="E605" s="217"/>
      <c r="F605" s="44"/>
    </row>
    <row r="606" spans="3:6" ht="15.75" customHeight="1">
      <c r="C606" s="216"/>
      <c r="D606" s="217"/>
      <c r="E606" s="217"/>
      <c r="F606" s="44"/>
    </row>
    <row r="607" spans="3:6" ht="15.75" customHeight="1">
      <c r="C607" s="216"/>
      <c r="D607" s="217"/>
      <c r="E607" s="217"/>
      <c r="F607" s="44"/>
    </row>
    <row r="608" spans="3:6" ht="15.75" customHeight="1">
      <c r="C608" s="216"/>
      <c r="D608" s="217"/>
      <c r="E608" s="217"/>
      <c r="F608" s="44"/>
    </row>
    <row r="609" spans="3:6" ht="15.75" customHeight="1">
      <c r="C609" s="216"/>
      <c r="D609" s="217"/>
      <c r="E609" s="217"/>
      <c r="F609" s="44"/>
    </row>
    <row r="610" spans="3:6" ht="15.75" customHeight="1">
      <c r="C610" s="216"/>
      <c r="D610" s="217"/>
      <c r="E610" s="217"/>
      <c r="F610" s="44"/>
    </row>
    <row r="611" spans="3:6" ht="15.75" customHeight="1">
      <c r="C611" s="216"/>
      <c r="D611" s="217"/>
      <c r="E611" s="217"/>
      <c r="F611" s="44"/>
    </row>
    <row r="612" spans="3:6" ht="15.75" customHeight="1">
      <c r="C612" s="216"/>
      <c r="D612" s="217"/>
      <c r="E612" s="217"/>
      <c r="F612" s="44"/>
    </row>
    <row r="613" spans="3:6" ht="15.75" customHeight="1">
      <c r="C613" s="216"/>
      <c r="D613" s="217"/>
      <c r="E613" s="217"/>
      <c r="F613" s="44"/>
    </row>
    <row r="614" spans="3:6" ht="15.75" customHeight="1">
      <c r="C614" s="216"/>
      <c r="D614" s="217"/>
      <c r="E614" s="217"/>
      <c r="F614" s="44"/>
    </row>
    <row r="615" spans="3:6" ht="15.75" customHeight="1">
      <c r="C615" s="216"/>
      <c r="D615" s="217"/>
      <c r="E615" s="217"/>
      <c r="F615" s="44"/>
    </row>
    <row r="616" spans="3:6" ht="15.75" customHeight="1">
      <c r="C616" s="216"/>
      <c r="D616" s="217"/>
      <c r="E616" s="217"/>
      <c r="F616" s="44"/>
    </row>
    <row r="617" spans="3:6" ht="15.75" customHeight="1">
      <c r="C617" s="216"/>
      <c r="D617" s="217"/>
      <c r="E617" s="217"/>
      <c r="F617" s="44"/>
    </row>
    <row r="618" spans="3:6" ht="15.75" customHeight="1">
      <c r="C618" s="216"/>
      <c r="D618" s="217"/>
      <c r="E618" s="217"/>
      <c r="F618" s="44"/>
    </row>
    <row r="619" spans="3:6" ht="15.75" customHeight="1">
      <c r="C619" s="216"/>
      <c r="D619" s="217"/>
      <c r="E619" s="217"/>
      <c r="F619" s="44"/>
    </row>
    <row r="620" spans="3:6" ht="15.75" customHeight="1">
      <c r="C620" s="216"/>
      <c r="D620" s="217"/>
      <c r="E620" s="217"/>
      <c r="F620" s="44"/>
    </row>
    <row r="621" spans="3:6" ht="15.75" customHeight="1">
      <c r="C621" s="216"/>
      <c r="D621" s="217"/>
      <c r="E621" s="217"/>
      <c r="F621" s="44"/>
    </row>
    <row r="622" spans="3:6" ht="15.75" customHeight="1">
      <c r="C622" s="216"/>
      <c r="D622" s="217"/>
      <c r="E622" s="217"/>
      <c r="F622" s="44"/>
    </row>
    <row r="623" spans="3:6" ht="15.75" customHeight="1">
      <c r="C623" s="216"/>
      <c r="D623" s="217"/>
      <c r="E623" s="217"/>
      <c r="F623" s="44"/>
    </row>
    <row r="624" spans="3:6" ht="15.75" customHeight="1">
      <c r="C624" s="216"/>
      <c r="D624" s="217"/>
      <c r="E624" s="217"/>
      <c r="F624" s="44"/>
    </row>
    <row r="625" spans="3:6" ht="15.75" customHeight="1">
      <c r="C625" s="216"/>
      <c r="D625" s="217"/>
      <c r="E625" s="217"/>
      <c r="F625" s="44"/>
    </row>
    <row r="626" spans="3:6" ht="15.75" customHeight="1">
      <c r="C626" s="216"/>
      <c r="D626" s="217"/>
      <c r="E626" s="217"/>
      <c r="F626" s="44"/>
    </row>
    <row r="627" spans="3:6" ht="15.75" customHeight="1">
      <c r="C627" s="216"/>
      <c r="D627" s="217"/>
      <c r="E627" s="217"/>
      <c r="F627" s="44"/>
    </row>
    <row r="628" spans="3:6" ht="15.75" customHeight="1">
      <c r="C628" s="216"/>
      <c r="D628" s="217"/>
      <c r="E628" s="217"/>
      <c r="F628" s="44"/>
    </row>
    <row r="629" spans="3:6" ht="15.75" customHeight="1">
      <c r="C629" s="216"/>
      <c r="D629" s="217"/>
      <c r="E629" s="217"/>
      <c r="F629" s="44"/>
    </row>
    <row r="630" spans="3:6" ht="15.75" customHeight="1">
      <c r="C630" s="216"/>
      <c r="D630" s="217"/>
      <c r="E630" s="217"/>
      <c r="F630" s="44"/>
    </row>
    <row r="631" spans="3:6" ht="15.75" customHeight="1">
      <c r="C631" s="216"/>
      <c r="D631" s="217"/>
      <c r="E631" s="217"/>
      <c r="F631" s="44"/>
    </row>
    <row r="632" spans="3:6" ht="15.75" customHeight="1">
      <c r="C632" s="216"/>
      <c r="D632" s="217"/>
      <c r="E632" s="217"/>
      <c r="F632" s="44"/>
    </row>
    <row r="633" spans="3:6" ht="15.75" customHeight="1">
      <c r="C633" s="216"/>
      <c r="D633" s="217"/>
      <c r="E633" s="217"/>
      <c r="F633" s="44"/>
    </row>
    <row r="634" spans="3:6" ht="15.75" customHeight="1">
      <c r="C634" s="216"/>
      <c r="D634" s="217"/>
      <c r="E634" s="217"/>
      <c r="F634" s="44"/>
    </row>
    <row r="635" spans="3:6" ht="15.75" customHeight="1">
      <c r="C635" s="216"/>
      <c r="D635" s="217"/>
      <c r="E635" s="217"/>
      <c r="F635" s="44"/>
    </row>
    <row r="636" spans="3:6" ht="15.75" customHeight="1">
      <c r="C636" s="216"/>
      <c r="D636" s="217"/>
      <c r="E636" s="217"/>
      <c r="F636" s="44"/>
    </row>
    <row r="637" spans="3:6" ht="15.75" customHeight="1">
      <c r="C637" s="216"/>
      <c r="D637" s="217"/>
      <c r="E637" s="217"/>
      <c r="F637" s="44"/>
    </row>
    <row r="638" spans="3:6" ht="15.75" customHeight="1">
      <c r="C638" s="216"/>
      <c r="D638" s="217"/>
      <c r="E638" s="217"/>
      <c r="F638" s="44"/>
    </row>
    <row r="639" spans="3:6" ht="15.75" customHeight="1">
      <c r="C639" s="216"/>
      <c r="D639" s="217"/>
      <c r="E639" s="217"/>
      <c r="F639" s="44"/>
    </row>
    <row r="640" spans="3:6" ht="15.75" customHeight="1">
      <c r="C640" s="216"/>
      <c r="D640" s="217"/>
      <c r="E640" s="217"/>
      <c r="F640" s="44"/>
    </row>
    <row r="641" spans="3:6" ht="15.75" customHeight="1">
      <c r="C641" s="216"/>
      <c r="D641" s="217"/>
      <c r="E641" s="217"/>
      <c r="F641" s="44"/>
    </row>
    <row r="642" spans="3:6" ht="15.75" customHeight="1">
      <c r="C642" s="216"/>
      <c r="D642" s="217"/>
      <c r="E642" s="217"/>
      <c r="F642" s="44"/>
    </row>
    <row r="643" spans="3:6" ht="15.75" customHeight="1">
      <c r="C643" s="216"/>
      <c r="D643" s="217"/>
      <c r="E643" s="217"/>
      <c r="F643" s="44"/>
    </row>
    <row r="644" spans="3:6" ht="15.75" customHeight="1">
      <c r="C644" s="216"/>
      <c r="D644" s="217"/>
      <c r="E644" s="217"/>
      <c r="F644" s="44"/>
    </row>
    <row r="645" spans="3:6" ht="15.75" customHeight="1">
      <c r="C645" s="216"/>
      <c r="D645" s="217"/>
      <c r="E645" s="217"/>
      <c r="F645" s="44"/>
    </row>
    <row r="646" spans="3:6" ht="15.75" customHeight="1">
      <c r="C646" s="216"/>
      <c r="D646" s="217"/>
      <c r="E646" s="217"/>
      <c r="F646" s="44"/>
    </row>
    <row r="647" spans="3:6" ht="15.75" customHeight="1">
      <c r="C647" s="216"/>
      <c r="D647" s="217"/>
      <c r="E647" s="217"/>
      <c r="F647" s="44"/>
    </row>
    <row r="648" spans="3:6" ht="15.75" customHeight="1">
      <c r="C648" s="216"/>
      <c r="D648" s="217"/>
      <c r="E648" s="217"/>
      <c r="F648" s="44"/>
    </row>
    <row r="649" spans="3:6" ht="15.75" customHeight="1">
      <c r="C649" s="216"/>
      <c r="D649" s="217"/>
      <c r="E649" s="217"/>
      <c r="F649" s="44"/>
    </row>
    <row r="650" spans="3:6" ht="15.75" customHeight="1">
      <c r="C650" s="216"/>
      <c r="D650" s="217"/>
      <c r="E650" s="217"/>
      <c r="F650" s="44"/>
    </row>
    <row r="651" spans="3:6" ht="15.75" customHeight="1">
      <c r="C651" s="216"/>
      <c r="D651" s="217"/>
      <c r="E651" s="217"/>
      <c r="F651" s="44"/>
    </row>
    <row r="652" spans="3:6" ht="15.75" customHeight="1">
      <c r="C652" s="216"/>
      <c r="D652" s="217"/>
      <c r="E652" s="217"/>
      <c r="F652" s="44"/>
    </row>
    <row r="653" spans="3:6" ht="15.75" customHeight="1">
      <c r="C653" s="216"/>
      <c r="D653" s="217"/>
      <c r="E653" s="217"/>
      <c r="F653" s="44"/>
    </row>
    <row r="654" spans="3:6" ht="15.75" customHeight="1">
      <c r="C654" s="216"/>
      <c r="D654" s="217"/>
      <c r="E654" s="217"/>
      <c r="F654" s="44"/>
    </row>
    <row r="655" spans="3:6" ht="15.75" customHeight="1">
      <c r="C655" s="216"/>
      <c r="D655" s="217"/>
      <c r="E655" s="217"/>
      <c r="F655" s="44"/>
    </row>
    <row r="656" spans="3:6" ht="15.75" customHeight="1">
      <c r="C656" s="216"/>
      <c r="D656" s="217"/>
      <c r="E656" s="217"/>
      <c r="F656" s="44"/>
    </row>
    <row r="657" spans="3:6" ht="15.75" customHeight="1">
      <c r="C657" s="216"/>
      <c r="D657" s="217"/>
      <c r="E657" s="217"/>
      <c r="F657" s="44"/>
    </row>
    <row r="658" spans="3:6" ht="15.75" customHeight="1">
      <c r="C658" s="216"/>
      <c r="D658" s="217"/>
      <c r="E658" s="217"/>
      <c r="F658" s="44"/>
    </row>
    <row r="659" spans="3:6" ht="15.75" customHeight="1">
      <c r="C659" s="216"/>
      <c r="D659" s="217"/>
      <c r="E659" s="217"/>
      <c r="F659" s="44"/>
    </row>
    <row r="660" spans="3:6" ht="15.75" customHeight="1">
      <c r="C660" s="216"/>
      <c r="D660" s="217"/>
      <c r="E660" s="217"/>
      <c r="F660" s="44"/>
    </row>
    <row r="661" spans="3:6" ht="15.75" customHeight="1">
      <c r="C661" s="216"/>
      <c r="D661" s="217"/>
      <c r="E661" s="217"/>
      <c r="F661" s="44"/>
    </row>
    <row r="662" spans="3:6" ht="15.75" customHeight="1">
      <c r="C662" s="216"/>
      <c r="D662" s="217"/>
      <c r="E662" s="217"/>
      <c r="F662" s="44"/>
    </row>
    <row r="663" spans="3:6" ht="15.75" customHeight="1">
      <c r="C663" s="216"/>
      <c r="D663" s="217"/>
      <c r="E663" s="217"/>
      <c r="F663" s="44"/>
    </row>
    <row r="664" spans="3:6" ht="15.75" customHeight="1">
      <c r="C664" s="216"/>
      <c r="D664" s="217"/>
      <c r="E664" s="217"/>
      <c r="F664" s="44"/>
    </row>
    <row r="665" spans="3:6" ht="15.75" customHeight="1">
      <c r="C665" s="216"/>
      <c r="D665" s="217"/>
      <c r="E665" s="217"/>
      <c r="F665" s="44"/>
    </row>
    <row r="666" spans="3:6" ht="15.75" customHeight="1">
      <c r="C666" s="216"/>
      <c r="D666" s="217"/>
      <c r="E666" s="217"/>
      <c r="F666" s="44"/>
    </row>
    <row r="667" spans="3:6" ht="15.75" customHeight="1">
      <c r="C667" s="216"/>
      <c r="D667" s="217"/>
      <c r="E667" s="217"/>
      <c r="F667" s="44"/>
    </row>
    <row r="668" spans="3:6" ht="15.75" customHeight="1">
      <c r="C668" s="216"/>
      <c r="D668" s="217"/>
      <c r="E668" s="217"/>
      <c r="F668" s="44"/>
    </row>
    <row r="669" spans="3:6" ht="15.75" customHeight="1">
      <c r="C669" s="216"/>
      <c r="D669" s="217"/>
      <c r="E669" s="217"/>
      <c r="F669" s="44"/>
    </row>
    <row r="670" spans="3:6" ht="15.75" customHeight="1">
      <c r="C670" s="216"/>
      <c r="D670" s="217"/>
      <c r="E670" s="217"/>
      <c r="F670" s="44"/>
    </row>
    <row r="671" spans="3:6" ht="15.75" customHeight="1">
      <c r="C671" s="216"/>
      <c r="D671" s="217"/>
      <c r="E671" s="217"/>
      <c r="F671" s="44"/>
    </row>
    <row r="672" spans="3:6" ht="15.75" customHeight="1">
      <c r="C672" s="216"/>
      <c r="D672" s="217"/>
      <c r="E672" s="217"/>
      <c r="F672" s="44"/>
    </row>
    <row r="673" spans="3:6" ht="15.75" customHeight="1">
      <c r="C673" s="216"/>
      <c r="D673" s="217"/>
      <c r="E673" s="217"/>
      <c r="F673" s="44"/>
    </row>
    <row r="674" spans="3:6" ht="15.75" customHeight="1">
      <c r="C674" s="216"/>
      <c r="D674" s="217"/>
      <c r="E674" s="217"/>
      <c r="F674" s="44"/>
    </row>
    <row r="675" spans="3:6" ht="15.75" customHeight="1">
      <c r="C675" s="216"/>
      <c r="D675" s="217"/>
      <c r="E675" s="217"/>
      <c r="F675" s="44"/>
    </row>
    <row r="676" spans="3:6" ht="15.75" customHeight="1">
      <c r="C676" s="216"/>
      <c r="D676" s="217"/>
      <c r="E676" s="217"/>
      <c r="F676" s="44"/>
    </row>
    <row r="677" spans="3:6" ht="15.75" customHeight="1">
      <c r="C677" s="216"/>
      <c r="D677" s="217"/>
      <c r="E677" s="217"/>
      <c r="F677" s="44"/>
    </row>
    <row r="678" spans="3:6" ht="15.75" customHeight="1">
      <c r="C678" s="216"/>
      <c r="D678" s="217"/>
      <c r="E678" s="217"/>
      <c r="F678" s="44"/>
    </row>
    <row r="679" spans="3:6" ht="15.75" customHeight="1">
      <c r="C679" s="216"/>
      <c r="D679" s="217"/>
      <c r="E679" s="217"/>
      <c r="F679" s="44"/>
    </row>
    <row r="680" spans="3:6" ht="15.75" customHeight="1">
      <c r="C680" s="216"/>
      <c r="D680" s="217"/>
      <c r="E680" s="217"/>
      <c r="F680" s="44"/>
    </row>
    <row r="681" spans="3:6" ht="15.75" customHeight="1">
      <c r="C681" s="216"/>
      <c r="D681" s="217"/>
      <c r="E681" s="217"/>
      <c r="F681" s="44"/>
    </row>
    <row r="682" spans="3:6" ht="15.75" customHeight="1">
      <c r="C682" s="216"/>
      <c r="D682" s="217"/>
      <c r="E682" s="217"/>
      <c r="F682" s="44"/>
    </row>
    <row r="683" spans="3:6" ht="15.75" customHeight="1">
      <c r="C683" s="216"/>
      <c r="D683" s="217"/>
      <c r="E683" s="217"/>
      <c r="F683" s="44"/>
    </row>
    <row r="684" spans="3:6" ht="15.75" customHeight="1">
      <c r="C684" s="216"/>
      <c r="D684" s="217"/>
      <c r="E684" s="217"/>
      <c r="F684" s="44"/>
    </row>
    <row r="685" spans="3:6" ht="15.75" customHeight="1">
      <c r="C685" s="216"/>
      <c r="D685" s="217"/>
      <c r="E685" s="217"/>
      <c r="F685" s="44"/>
    </row>
    <row r="686" spans="3:6" ht="15.75" customHeight="1">
      <c r="C686" s="216"/>
      <c r="D686" s="217"/>
      <c r="E686" s="217"/>
      <c r="F686" s="44"/>
    </row>
    <row r="687" spans="3:6" ht="15.75" customHeight="1">
      <c r="C687" s="216"/>
      <c r="D687" s="217"/>
      <c r="E687" s="217"/>
      <c r="F687" s="44"/>
    </row>
    <row r="688" spans="3:6" ht="15.75" customHeight="1">
      <c r="C688" s="216"/>
      <c r="D688" s="217"/>
      <c r="E688" s="217"/>
      <c r="F688" s="44"/>
    </row>
    <row r="689" spans="3:6" ht="15.75" customHeight="1">
      <c r="C689" s="216"/>
      <c r="D689" s="217"/>
      <c r="E689" s="217"/>
      <c r="F689" s="44"/>
    </row>
    <row r="690" spans="3:6" ht="15.75" customHeight="1">
      <c r="C690" s="216"/>
      <c r="D690" s="217"/>
      <c r="E690" s="217"/>
      <c r="F690" s="44"/>
    </row>
    <row r="691" spans="3:6" ht="15.75" customHeight="1">
      <c r="C691" s="216"/>
      <c r="D691" s="217"/>
      <c r="E691" s="217"/>
      <c r="F691" s="44"/>
    </row>
    <row r="692" spans="3:6" ht="15.75" customHeight="1">
      <c r="C692" s="216"/>
      <c r="D692" s="217"/>
      <c r="E692" s="217"/>
      <c r="F692" s="44"/>
    </row>
    <row r="693" spans="3:6" ht="15.75" customHeight="1">
      <c r="C693" s="216"/>
      <c r="D693" s="217"/>
      <c r="E693" s="217"/>
      <c r="F693" s="44"/>
    </row>
    <row r="694" spans="3:6" ht="15.75" customHeight="1">
      <c r="C694" s="216"/>
      <c r="D694" s="217"/>
      <c r="E694" s="217"/>
      <c r="F694" s="44"/>
    </row>
    <row r="695" spans="3:6" ht="15.75" customHeight="1">
      <c r="C695" s="216"/>
      <c r="D695" s="217"/>
      <c r="E695" s="217"/>
      <c r="F695" s="44"/>
    </row>
    <row r="696" spans="3:6" ht="15.75" customHeight="1">
      <c r="C696" s="216"/>
      <c r="D696" s="217"/>
      <c r="E696" s="217"/>
      <c r="F696" s="44"/>
    </row>
    <row r="697" spans="3:6" ht="15.75" customHeight="1">
      <c r="C697" s="216"/>
      <c r="D697" s="217"/>
      <c r="E697" s="217"/>
      <c r="F697" s="44"/>
    </row>
    <row r="698" spans="3:6" ht="15.75" customHeight="1">
      <c r="C698" s="216"/>
      <c r="D698" s="217"/>
      <c r="E698" s="217"/>
      <c r="F698" s="44"/>
    </row>
    <row r="699" spans="3:6" ht="15.75" customHeight="1">
      <c r="C699" s="216"/>
      <c r="D699" s="217"/>
      <c r="E699" s="217"/>
      <c r="F699" s="44"/>
    </row>
    <row r="700" spans="3:6" ht="15.75" customHeight="1">
      <c r="C700" s="216"/>
      <c r="D700" s="217"/>
      <c r="E700" s="217"/>
      <c r="F700" s="44"/>
    </row>
    <row r="701" spans="3:6" ht="15.75" customHeight="1">
      <c r="C701" s="216"/>
      <c r="D701" s="217"/>
      <c r="E701" s="217"/>
      <c r="F701" s="44"/>
    </row>
    <row r="702" spans="3:6" ht="15.75" customHeight="1">
      <c r="C702" s="216"/>
      <c r="D702" s="217"/>
      <c r="E702" s="217"/>
      <c r="F702" s="44"/>
    </row>
    <row r="703" spans="3:6" ht="15.75" customHeight="1">
      <c r="C703" s="216"/>
      <c r="D703" s="217"/>
      <c r="E703" s="217"/>
      <c r="F703" s="44"/>
    </row>
    <row r="704" spans="3:6" ht="15.75" customHeight="1">
      <c r="C704" s="216"/>
      <c r="D704" s="217"/>
      <c r="E704" s="217"/>
      <c r="F704" s="44"/>
    </row>
    <row r="705" spans="3:6" ht="15.75" customHeight="1">
      <c r="C705" s="216"/>
      <c r="D705" s="217"/>
      <c r="E705" s="217"/>
      <c r="F705" s="44"/>
    </row>
    <row r="706" spans="3:6" ht="15.75" customHeight="1">
      <c r="C706" s="216"/>
      <c r="D706" s="217"/>
      <c r="E706" s="217"/>
      <c r="F706" s="44"/>
    </row>
    <row r="707" spans="3:6" ht="15.75" customHeight="1">
      <c r="C707" s="216"/>
      <c r="D707" s="217"/>
      <c r="E707" s="217"/>
      <c r="F707" s="44"/>
    </row>
    <row r="708" spans="3:6" ht="15.75" customHeight="1">
      <c r="C708" s="216"/>
      <c r="D708" s="217"/>
      <c r="E708" s="217"/>
      <c r="F708" s="44"/>
    </row>
    <row r="709" spans="3:6" ht="15.75" customHeight="1">
      <c r="C709" s="216"/>
      <c r="D709" s="217"/>
      <c r="E709" s="217"/>
      <c r="F709" s="44"/>
    </row>
    <row r="710" spans="3:6" ht="15.75" customHeight="1">
      <c r="C710" s="216"/>
      <c r="D710" s="217"/>
      <c r="E710" s="217"/>
      <c r="F710" s="44"/>
    </row>
    <row r="711" spans="3:6" ht="15.75" customHeight="1">
      <c r="C711" s="216"/>
      <c r="D711" s="217"/>
      <c r="E711" s="217"/>
      <c r="F711" s="44"/>
    </row>
    <row r="712" spans="3:6" ht="15.75" customHeight="1">
      <c r="C712" s="216"/>
      <c r="D712" s="217"/>
      <c r="E712" s="217"/>
      <c r="F712" s="44"/>
    </row>
    <row r="713" spans="3:6" ht="15.75" customHeight="1">
      <c r="C713" s="216"/>
      <c r="D713" s="217"/>
      <c r="E713" s="217"/>
      <c r="F713" s="44"/>
    </row>
    <row r="714" spans="3:6" ht="15.75" customHeight="1">
      <c r="C714" s="216"/>
      <c r="D714" s="217"/>
      <c r="E714" s="217"/>
      <c r="F714" s="44"/>
    </row>
    <row r="715" spans="3:6" ht="15.75" customHeight="1">
      <c r="C715" s="216"/>
      <c r="D715" s="217"/>
      <c r="E715" s="217"/>
      <c r="F715" s="44"/>
    </row>
    <row r="716" spans="3:6" ht="15.75" customHeight="1">
      <c r="C716" s="216"/>
      <c r="D716" s="217"/>
      <c r="E716" s="217"/>
      <c r="F716" s="44"/>
    </row>
    <row r="717" spans="3:6" ht="15.75" customHeight="1">
      <c r="C717" s="216"/>
      <c r="D717" s="217"/>
      <c r="E717" s="217"/>
      <c r="F717" s="44"/>
    </row>
    <row r="718" spans="3:6" ht="15.75" customHeight="1">
      <c r="C718" s="216"/>
      <c r="D718" s="217"/>
      <c r="E718" s="217"/>
      <c r="F718" s="44"/>
    </row>
    <row r="719" spans="3:6" ht="15.75" customHeight="1">
      <c r="C719" s="216"/>
      <c r="D719" s="217"/>
      <c r="E719" s="217"/>
      <c r="F719" s="44"/>
    </row>
    <row r="720" spans="3:6" ht="15.75" customHeight="1">
      <c r="C720" s="216"/>
      <c r="D720" s="217"/>
      <c r="E720" s="217"/>
      <c r="F720" s="44"/>
    </row>
    <row r="721" spans="3:6" ht="15.75" customHeight="1">
      <c r="C721" s="216"/>
      <c r="D721" s="217"/>
      <c r="E721" s="217"/>
      <c r="F721" s="44"/>
    </row>
    <row r="722" spans="3:6" ht="15.75" customHeight="1">
      <c r="C722" s="216"/>
      <c r="D722" s="217"/>
      <c r="E722" s="217"/>
      <c r="F722" s="44"/>
    </row>
    <row r="723" spans="3:6" ht="15.75" customHeight="1">
      <c r="C723" s="216"/>
      <c r="D723" s="217"/>
      <c r="E723" s="217"/>
      <c r="F723" s="44"/>
    </row>
    <row r="724" spans="3:6" ht="15.75" customHeight="1">
      <c r="C724" s="216"/>
      <c r="D724" s="217"/>
      <c r="E724" s="217"/>
      <c r="F724" s="44"/>
    </row>
    <row r="725" spans="3:6" ht="15.75" customHeight="1">
      <c r="C725" s="216"/>
      <c r="D725" s="217"/>
      <c r="E725" s="217"/>
      <c r="F725" s="44"/>
    </row>
    <row r="726" spans="3:6" ht="15.75" customHeight="1">
      <c r="C726" s="216"/>
      <c r="D726" s="217"/>
      <c r="E726" s="217"/>
      <c r="F726" s="44"/>
    </row>
    <row r="727" spans="3:6" ht="15.75" customHeight="1">
      <c r="C727" s="216"/>
      <c r="D727" s="217"/>
      <c r="E727" s="217"/>
      <c r="F727" s="44"/>
    </row>
    <row r="728" spans="3:6" ht="15.75" customHeight="1">
      <c r="C728" s="216"/>
      <c r="D728" s="217"/>
      <c r="E728" s="217"/>
      <c r="F728" s="44"/>
    </row>
    <row r="729" spans="3:6" ht="15.75" customHeight="1">
      <c r="C729" s="216"/>
      <c r="D729" s="217"/>
      <c r="E729" s="217"/>
      <c r="F729" s="44"/>
    </row>
    <row r="730" spans="3:6" ht="15.75" customHeight="1">
      <c r="C730" s="216"/>
      <c r="D730" s="217"/>
      <c r="E730" s="217"/>
      <c r="F730" s="44"/>
    </row>
    <row r="731" spans="3:6" ht="15.75" customHeight="1">
      <c r="C731" s="216"/>
      <c r="D731" s="217"/>
      <c r="E731" s="217"/>
      <c r="F731" s="44"/>
    </row>
    <row r="732" spans="3:6" ht="15.75" customHeight="1">
      <c r="C732" s="216"/>
      <c r="D732" s="217"/>
      <c r="E732" s="217"/>
      <c r="F732" s="44"/>
    </row>
    <row r="733" spans="3:6" ht="15.75" customHeight="1">
      <c r="C733" s="216"/>
      <c r="D733" s="217"/>
      <c r="E733" s="217"/>
      <c r="F733" s="44"/>
    </row>
    <row r="734" spans="3:6" ht="15.75" customHeight="1">
      <c r="C734" s="216"/>
      <c r="D734" s="217"/>
      <c r="E734" s="217"/>
      <c r="F734" s="44"/>
    </row>
    <row r="735" spans="3:6" ht="15.75" customHeight="1">
      <c r="C735" s="216"/>
      <c r="D735" s="217"/>
      <c r="E735" s="217"/>
      <c r="F735" s="44"/>
    </row>
    <row r="736" spans="3:6" ht="15.75" customHeight="1">
      <c r="C736" s="216"/>
      <c r="D736" s="217"/>
      <c r="E736" s="217"/>
      <c r="F736" s="44"/>
    </row>
    <row r="737" spans="3:6" ht="15.75" customHeight="1">
      <c r="C737" s="216"/>
      <c r="D737" s="217"/>
      <c r="E737" s="217"/>
      <c r="F737" s="44"/>
    </row>
    <row r="738" spans="3:6" ht="15.75" customHeight="1">
      <c r="C738" s="216"/>
      <c r="D738" s="217"/>
      <c r="E738" s="217"/>
      <c r="F738" s="44"/>
    </row>
    <row r="739" spans="3:6" ht="15.75" customHeight="1">
      <c r="C739" s="216"/>
      <c r="D739" s="217"/>
      <c r="E739" s="217"/>
      <c r="F739" s="44"/>
    </row>
    <row r="740" spans="3:6" ht="15.75" customHeight="1">
      <c r="C740" s="216"/>
      <c r="D740" s="217"/>
      <c r="E740" s="217"/>
      <c r="F740" s="44"/>
    </row>
    <row r="741" spans="3:6" ht="15.75" customHeight="1">
      <c r="C741" s="216"/>
      <c r="D741" s="217"/>
      <c r="E741" s="217"/>
      <c r="F741" s="44"/>
    </row>
    <row r="742" spans="3:6" ht="15.75" customHeight="1">
      <c r="C742" s="216"/>
      <c r="D742" s="217"/>
      <c r="E742" s="217"/>
      <c r="F742" s="44"/>
    </row>
    <row r="743" spans="3:6" ht="15.75" customHeight="1">
      <c r="C743" s="216"/>
      <c r="D743" s="217"/>
      <c r="E743" s="217"/>
      <c r="F743" s="44"/>
    </row>
    <row r="744" spans="3:6" ht="15.75" customHeight="1">
      <c r="C744" s="216"/>
      <c r="D744" s="217"/>
      <c r="E744" s="217"/>
      <c r="F744" s="44"/>
    </row>
    <row r="745" spans="3:6" ht="15.75" customHeight="1">
      <c r="C745" s="216"/>
      <c r="D745" s="217"/>
      <c r="E745" s="217"/>
      <c r="F745" s="44"/>
    </row>
    <row r="746" spans="3:6" ht="15.75" customHeight="1">
      <c r="C746" s="216"/>
      <c r="D746" s="217"/>
      <c r="E746" s="217"/>
      <c r="F746" s="44"/>
    </row>
    <row r="747" spans="3:6" ht="15.75" customHeight="1">
      <c r="C747" s="216"/>
      <c r="D747" s="217"/>
      <c r="E747" s="217"/>
      <c r="F747" s="44"/>
    </row>
    <row r="748" spans="3:6" ht="15.75" customHeight="1">
      <c r="C748" s="216"/>
      <c r="D748" s="217"/>
      <c r="E748" s="217"/>
      <c r="F748" s="44"/>
    </row>
    <row r="749" spans="3:6" ht="15.75" customHeight="1">
      <c r="C749" s="216"/>
      <c r="D749" s="217"/>
      <c r="E749" s="217"/>
      <c r="F749" s="44"/>
    </row>
    <row r="750" spans="3:6" ht="15.75" customHeight="1">
      <c r="C750" s="216"/>
      <c r="D750" s="217"/>
      <c r="E750" s="217"/>
      <c r="F750" s="44"/>
    </row>
    <row r="751" spans="3:6" ht="15.75" customHeight="1">
      <c r="C751" s="216"/>
      <c r="D751" s="217"/>
      <c r="E751" s="217"/>
      <c r="F751" s="44"/>
    </row>
    <row r="752" spans="3:6" ht="15.75" customHeight="1">
      <c r="C752" s="216"/>
      <c r="D752" s="217"/>
      <c r="E752" s="217"/>
      <c r="F752" s="44"/>
    </row>
    <row r="753" spans="3:6" ht="15.75" customHeight="1">
      <c r="C753" s="216"/>
      <c r="D753" s="217"/>
      <c r="E753" s="217"/>
      <c r="F753" s="44"/>
    </row>
    <row r="754" spans="3:6" ht="15.75" customHeight="1">
      <c r="C754" s="216"/>
      <c r="D754" s="217"/>
      <c r="E754" s="217"/>
      <c r="F754" s="44"/>
    </row>
    <row r="755" spans="3:6" ht="15.75" customHeight="1">
      <c r="C755" s="216"/>
      <c r="D755" s="217"/>
      <c r="E755" s="217"/>
      <c r="F755" s="44"/>
    </row>
    <row r="756" spans="3:6" ht="15.75" customHeight="1">
      <c r="C756" s="216"/>
      <c r="D756" s="217"/>
      <c r="E756" s="217"/>
      <c r="F756" s="44"/>
    </row>
    <row r="757" spans="3:6" ht="15.75" customHeight="1">
      <c r="C757" s="216"/>
      <c r="D757" s="217"/>
      <c r="E757" s="217"/>
      <c r="F757" s="44"/>
    </row>
    <row r="758" spans="3:6" ht="15.75" customHeight="1">
      <c r="C758" s="216"/>
      <c r="D758" s="217"/>
      <c r="E758" s="217"/>
      <c r="F758" s="44"/>
    </row>
    <row r="759" spans="3:6" ht="15.75" customHeight="1">
      <c r="C759" s="216"/>
      <c r="D759" s="217"/>
      <c r="E759" s="217"/>
      <c r="F759" s="44"/>
    </row>
    <row r="760" spans="3:6" ht="15.75" customHeight="1">
      <c r="C760" s="216"/>
      <c r="D760" s="217"/>
      <c r="E760" s="217"/>
      <c r="F760" s="44"/>
    </row>
    <row r="761" spans="3:6" ht="15.75" customHeight="1">
      <c r="C761" s="216"/>
      <c r="D761" s="217"/>
      <c r="E761" s="217"/>
      <c r="F761" s="44"/>
    </row>
    <row r="762" spans="3:6" ht="15.75" customHeight="1">
      <c r="C762" s="216"/>
      <c r="D762" s="217"/>
      <c r="E762" s="217"/>
      <c r="F762" s="44"/>
    </row>
    <row r="763" spans="3:6" ht="15.75" customHeight="1">
      <c r="C763" s="216"/>
      <c r="D763" s="217"/>
      <c r="E763" s="217"/>
      <c r="F763" s="44"/>
    </row>
    <row r="764" spans="3:6" ht="15.75" customHeight="1">
      <c r="C764" s="216"/>
      <c r="D764" s="217"/>
      <c r="E764" s="217"/>
      <c r="F764" s="44"/>
    </row>
    <row r="765" spans="3:6" ht="15.75" customHeight="1">
      <c r="C765" s="216"/>
      <c r="D765" s="217"/>
      <c r="E765" s="217"/>
      <c r="F765" s="44"/>
    </row>
    <row r="766" spans="3:6" ht="15.75" customHeight="1">
      <c r="C766" s="216"/>
      <c r="D766" s="217"/>
      <c r="E766" s="217"/>
      <c r="F766" s="44"/>
    </row>
    <row r="767" spans="3:6" ht="15.75" customHeight="1">
      <c r="C767" s="216"/>
      <c r="D767" s="217"/>
      <c r="E767" s="217"/>
      <c r="F767" s="44"/>
    </row>
    <row r="768" spans="3:6" ht="15.75" customHeight="1">
      <c r="C768" s="216"/>
      <c r="D768" s="217"/>
      <c r="E768" s="217"/>
      <c r="F768" s="44"/>
    </row>
    <row r="769" spans="3:6" ht="15.75" customHeight="1">
      <c r="C769" s="216"/>
      <c r="D769" s="217"/>
      <c r="E769" s="217"/>
      <c r="F769" s="44"/>
    </row>
    <row r="770" spans="3:6" ht="15.75" customHeight="1">
      <c r="C770" s="216"/>
      <c r="D770" s="217"/>
      <c r="E770" s="217"/>
      <c r="F770" s="44"/>
    </row>
    <row r="771" spans="3:6" ht="15.75" customHeight="1">
      <c r="C771" s="216"/>
      <c r="D771" s="217"/>
      <c r="E771" s="217"/>
      <c r="F771" s="44"/>
    </row>
    <row r="772" spans="3:6" ht="15.75" customHeight="1">
      <c r="C772" s="216"/>
      <c r="D772" s="217"/>
      <c r="E772" s="217"/>
      <c r="F772" s="44"/>
    </row>
    <row r="773" spans="3:6" ht="15.75" customHeight="1">
      <c r="C773" s="216"/>
      <c r="D773" s="217"/>
      <c r="E773" s="217"/>
      <c r="F773" s="44"/>
    </row>
    <row r="774" spans="3:6" ht="15.75" customHeight="1">
      <c r="C774" s="216"/>
      <c r="D774" s="217"/>
      <c r="E774" s="217"/>
      <c r="F774" s="44"/>
    </row>
    <row r="775" spans="3:6" ht="15.75" customHeight="1">
      <c r="C775" s="216"/>
      <c r="D775" s="217"/>
      <c r="E775" s="217"/>
      <c r="F775" s="44"/>
    </row>
    <row r="776" spans="3:6" ht="15.75" customHeight="1">
      <c r="C776" s="216"/>
      <c r="D776" s="217"/>
      <c r="E776" s="217"/>
      <c r="F776" s="44"/>
    </row>
    <row r="777" spans="3:6" ht="15.75" customHeight="1">
      <c r="C777" s="216"/>
      <c r="D777" s="217"/>
      <c r="E777" s="217"/>
      <c r="F777" s="44"/>
    </row>
    <row r="778" spans="3:6" ht="15.75" customHeight="1">
      <c r="C778" s="216"/>
      <c r="D778" s="217"/>
      <c r="E778" s="217"/>
      <c r="F778" s="44"/>
    </row>
    <row r="779" spans="3:6" ht="15.75" customHeight="1">
      <c r="C779" s="216"/>
      <c r="D779" s="217"/>
      <c r="E779" s="217"/>
      <c r="F779" s="44"/>
    </row>
    <row r="780" spans="3:6" ht="15.75" customHeight="1">
      <c r="C780" s="216"/>
      <c r="D780" s="217"/>
      <c r="E780" s="217"/>
      <c r="F780" s="44"/>
    </row>
    <row r="781" spans="3:6" ht="15.75" customHeight="1">
      <c r="C781" s="216"/>
      <c r="D781" s="217"/>
      <c r="E781" s="217"/>
      <c r="F781" s="44"/>
    </row>
    <row r="782" spans="3:6" ht="15.75" customHeight="1">
      <c r="C782" s="216"/>
      <c r="D782" s="217"/>
      <c r="E782" s="217"/>
      <c r="F782" s="44"/>
    </row>
    <row r="783" spans="3:6" ht="15.75" customHeight="1">
      <c r="C783" s="216"/>
      <c r="D783" s="217"/>
      <c r="E783" s="217"/>
      <c r="F783" s="44"/>
    </row>
    <row r="784" spans="3:6" ht="15.75" customHeight="1">
      <c r="C784" s="216"/>
      <c r="D784" s="217"/>
      <c r="E784" s="217"/>
      <c r="F784" s="44"/>
    </row>
    <row r="785" spans="3:6" ht="15.75" customHeight="1">
      <c r="C785" s="216"/>
      <c r="D785" s="217"/>
      <c r="E785" s="217"/>
      <c r="F785" s="44"/>
    </row>
    <row r="786" spans="3:6" ht="15.75" customHeight="1">
      <c r="C786" s="216"/>
      <c r="D786" s="217"/>
      <c r="E786" s="217"/>
      <c r="F786" s="44"/>
    </row>
    <row r="787" spans="3:6" ht="15.75" customHeight="1">
      <c r="C787" s="216"/>
      <c r="D787" s="217"/>
      <c r="E787" s="217"/>
      <c r="F787" s="44"/>
    </row>
    <row r="788" spans="3:6" ht="15.75" customHeight="1">
      <c r="C788" s="216"/>
      <c r="D788" s="217"/>
      <c r="E788" s="217"/>
      <c r="F788" s="44"/>
    </row>
    <row r="789" spans="3:6" ht="15.75" customHeight="1">
      <c r="C789" s="216"/>
      <c r="D789" s="217"/>
      <c r="E789" s="217"/>
      <c r="F789" s="44"/>
    </row>
    <row r="790" spans="3:6" ht="15.75" customHeight="1">
      <c r="C790" s="216"/>
      <c r="D790" s="217"/>
      <c r="E790" s="217"/>
      <c r="F790" s="44"/>
    </row>
    <row r="791" spans="3:6" ht="15.75" customHeight="1">
      <c r="C791" s="216"/>
      <c r="D791" s="217"/>
      <c r="E791" s="217"/>
      <c r="F791" s="44"/>
    </row>
    <row r="792" spans="3:6" ht="15.75" customHeight="1">
      <c r="C792" s="216"/>
      <c r="D792" s="217"/>
      <c r="E792" s="217"/>
      <c r="F792" s="44"/>
    </row>
    <row r="793" spans="3:6" ht="15.75" customHeight="1">
      <c r="C793" s="216"/>
      <c r="D793" s="217"/>
      <c r="E793" s="217"/>
      <c r="F793" s="44"/>
    </row>
    <row r="794" spans="3:6" ht="15.75" customHeight="1">
      <c r="C794" s="216"/>
      <c r="D794" s="217"/>
      <c r="E794" s="217"/>
      <c r="F794" s="44"/>
    </row>
    <row r="795" spans="3:6" ht="15.75" customHeight="1">
      <c r="C795" s="216"/>
      <c r="D795" s="217"/>
      <c r="E795" s="217"/>
      <c r="F795" s="44"/>
    </row>
    <row r="796" spans="3:6" ht="15.75" customHeight="1">
      <c r="C796" s="216"/>
      <c r="D796" s="217"/>
      <c r="E796" s="217"/>
      <c r="F796" s="44"/>
    </row>
    <row r="797" spans="3:6" ht="15.75" customHeight="1">
      <c r="C797" s="216"/>
      <c r="D797" s="217"/>
      <c r="E797" s="217"/>
      <c r="F797" s="44"/>
    </row>
    <row r="798" spans="3:6" ht="15.75" customHeight="1">
      <c r="C798" s="216"/>
      <c r="D798" s="217"/>
      <c r="E798" s="217"/>
      <c r="F798" s="44"/>
    </row>
    <row r="799" spans="3:6" ht="15.75" customHeight="1">
      <c r="C799" s="216"/>
      <c r="D799" s="217"/>
      <c r="E799" s="217"/>
      <c r="F799" s="44"/>
    </row>
    <row r="800" spans="3:6" ht="15.75" customHeight="1">
      <c r="C800" s="216"/>
      <c r="D800" s="217"/>
      <c r="E800" s="217"/>
      <c r="F800" s="44"/>
    </row>
    <row r="801" spans="3:6" ht="15.75" customHeight="1">
      <c r="C801" s="216"/>
      <c r="D801" s="217"/>
      <c r="E801" s="217"/>
      <c r="F801" s="44"/>
    </row>
    <row r="802" spans="3:6" ht="15.75" customHeight="1">
      <c r="C802" s="216"/>
      <c r="D802" s="217"/>
      <c r="E802" s="217"/>
      <c r="F802" s="44"/>
    </row>
    <row r="803" spans="3:6" ht="15.75" customHeight="1">
      <c r="C803" s="216"/>
      <c r="D803" s="217"/>
      <c r="E803" s="217"/>
      <c r="F803" s="44"/>
    </row>
    <row r="804" spans="3:6" ht="15.75" customHeight="1">
      <c r="C804" s="216"/>
      <c r="D804" s="217"/>
      <c r="E804" s="217"/>
      <c r="F804" s="44"/>
    </row>
    <row r="805" spans="3:6" ht="15.75" customHeight="1">
      <c r="C805" s="216"/>
      <c r="D805" s="217"/>
      <c r="E805" s="217"/>
      <c r="F805" s="44"/>
    </row>
    <row r="806" spans="3:6" ht="15.75" customHeight="1">
      <c r="C806" s="216"/>
      <c r="D806" s="217"/>
      <c r="E806" s="217"/>
      <c r="F806" s="44"/>
    </row>
    <row r="807" spans="3:6" ht="15.75" customHeight="1">
      <c r="C807" s="216"/>
      <c r="D807" s="217"/>
      <c r="E807" s="217"/>
      <c r="F807" s="44"/>
    </row>
    <row r="808" spans="3:6" ht="15.75" customHeight="1">
      <c r="C808" s="216"/>
      <c r="D808" s="217"/>
      <c r="E808" s="217"/>
      <c r="F808" s="44"/>
    </row>
    <row r="809" spans="3:6" ht="15.75" customHeight="1">
      <c r="C809" s="216"/>
      <c r="D809" s="217"/>
      <c r="E809" s="217"/>
      <c r="F809" s="44"/>
    </row>
    <row r="810" spans="3:6" ht="15.75" customHeight="1">
      <c r="C810" s="216"/>
      <c r="D810" s="217"/>
      <c r="E810" s="217"/>
      <c r="F810" s="44"/>
    </row>
    <row r="811" spans="3:6" ht="15.75" customHeight="1">
      <c r="C811" s="216"/>
      <c r="D811" s="217"/>
      <c r="E811" s="217"/>
      <c r="F811" s="44"/>
    </row>
    <row r="812" spans="3:6" ht="15.75" customHeight="1">
      <c r="C812" s="216"/>
      <c r="D812" s="217"/>
      <c r="E812" s="217"/>
      <c r="F812" s="44"/>
    </row>
    <row r="813" spans="3:6" ht="15.75" customHeight="1">
      <c r="C813" s="216"/>
      <c r="D813" s="217"/>
      <c r="E813" s="217"/>
      <c r="F813" s="44"/>
    </row>
    <row r="814" spans="3:6" ht="15.75" customHeight="1">
      <c r="C814" s="216"/>
      <c r="D814" s="217"/>
      <c r="E814" s="217"/>
      <c r="F814" s="44"/>
    </row>
    <row r="815" spans="3:6" ht="15.75" customHeight="1">
      <c r="C815" s="216"/>
      <c r="D815" s="217"/>
      <c r="E815" s="217"/>
      <c r="F815" s="44"/>
    </row>
    <row r="816" spans="3:6" ht="15.75" customHeight="1">
      <c r="C816" s="216"/>
      <c r="D816" s="217"/>
      <c r="E816" s="217"/>
      <c r="F816" s="44"/>
    </row>
    <row r="817" spans="3:6" ht="15.75" customHeight="1">
      <c r="C817" s="216"/>
      <c r="D817" s="217"/>
      <c r="E817" s="217"/>
      <c r="F817" s="44"/>
    </row>
    <row r="818" spans="3:6" ht="15.75" customHeight="1">
      <c r="C818" s="216"/>
      <c r="D818" s="217"/>
      <c r="E818" s="217"/>
      <c r="F818" s="44"/>
    </row>
    <row r="819" spans="3:6" ht="15.75" customHeight="1">
      <c r="C819" s="216"/>
      <c r="D819" s="217"/>
      <c r="E819" s="217"/>
      <c r="F819" s="44"/>
    </row>
    <row r="820" spans="3:6" ht="15.75" customHeight="1">
      <c r="C820" s="216"/>
      <c r="D820" s="217"/>
      <c r="E820" s="217"/>
      <c r="F820" s="44"/>
    </row>
    <row r="821" spans="3:6" ht="15.75" customHeight="1">
      <c r="C821" s="216"/>
      <c r="D821" s="217"/>
      <c r="E821" s="217"/>
      <c r="F821" s="44"/>
    </row>
    <row r="822" spans="3:6" ht="15.75" customHeight="1">
      <c r="C822" s="216"/>
      <c r="D822" s="217"/>
      <c r="E822" s="217"/>
      <c r="F822" s="44"/>
    </row>
    <row r="823" spans="3:6" ht="15.75" customHeight="1">
      <c r="C823" s="216"/>
      <c r="D823" s="217"/>
      <c r="E823" s="217"/>
      <c r="F823" s="44"/>
    </row>
    <row r="824" spans="3:6" ht="15.75" customHeight="1">
      <c r="C824" s="216"/>
      <c r="D824" s="217"/>
      <c r="E824" s="217"/>
      <c r="F824" s="44"/>
    </row>
    <row r="825" spans="3:6" ht="15.75" customHeight="1">
      <c r="C825" s="216"/>
      <c r="D825" s="217"/>
      <c r="E825" s="217"/>
      <c r="F825" s="44"/>
    </row>
    <row r="826" spans="3:6" ht="15.75" customHeight="1">
      <c r="C826" s="216"/>
      <c r="D826" s="217"/>
      <c r="E826" s="217"/>
      <c r="F826" s="44"/>
    </row>
    <row r="827" spans="3:6" ht="15.75" customHeight="1">
      <c r="C827" s="216"/>
      <c r="D827" s="217"/>
      <c r="E827" s="217"/>
      <c r="F827" s="44"/>
    </row>
    <row r="828" spans="3:6" ht="15.75" customHeight="1">
      <c r="C828" s="216"/>
      <c r="D828" s="217"/>
      <c r="E828" s="217"/>
      <c r="F828" s="44"/>
    </row>
    <row r="829" spans="3:6" ht="15.75" customHeight="1">
      <c r="C829" s="216"/>
      <c r="D829" s="217"/>
      <c r="E829" s="217"/>
      <c r="F829" s="44"/>
    </row>
    <row r="830" spans="3:6" ht="15.75" customHeight="1">
      <c r="C830" s="216"/>
      <c r="D830" s="217"/>
      <c r="E830" s="217"/>
      <c r="F830" s="44"/>
    </row>
    <row r="831" spans="3:6" ht="15.75" customHeight="1">
      <c r="C831" s="216"/>
      <c r="D831" s="217"/>
      <c r="E831" s="217"/>
      <c r="F831" s="44"/>
    </row>
    <row r="832" spans="3:6" ht="15.75" customHeight="1">
      <c r="C832" s="216"/>
      <c r="D832" s="217"/>
      <c r="E832" s="217"/>
      <c r="F832" s="44"/>
    </row>
    <row r="833" spans="3:6" ht="15.75" customHeight="1">
      <c r="C833" s="216"/>
      <c r="D833" s="217"/>
      <c r="E833" s="217"/>
      <c r="F833" s="44"/>
    </row>
    <row r="834" spans="3:6" ht="15.75" customHeight="1">
      <c r="C834" s="216"/>
      <c r="D834" s="217"/>
      <c r="E834" s="217"/>
      <c r="F834" s="44"/>
    </row>
    <row r="835" spans="3:6" ht="15.75" customHeight="1">
      <c r="C835" s="216"/>
      <c r="D835" s="217"/>
      <c r="E835" s="217"/>
      <c r="F835" s="44"/>
    </row>
    <row r="836" spans="3:6" ht="15.75" customHeight="1">
      <c r="C836" s="216"/>
      <c r="D836" s="217"/>
      <c r="E836" s="217"/>
      <c r="F836" s="44"/>
    </row>
    <row r="837" spans="3:6" ht="15.75" customHeight="1">
      <c r="C837" s="216"/>
      <c r="D837" s="217"/>
      <c r="E837" s="217"/>
      <c r="F837" s="44"/>
    </row>
    <row r="838" spans="3:6" ht="15.75" customHeight="1">
      <c r="C838" s="216"/>
      <c r="D838" s="217"/>
      <c r="E838" s="217"/>
      <c r="F838" s="44"/>
    </row>
    <row r="839" spans="3:6" ht="15.75" customHeight="1">
      <c r="C839" s="216"/>
      <c r="D839" s="217"/>
      <c r="E839" s="217"/>
      <c r="F839" s="44"/>
    </row>
    <row r="840" spans="3:6" ht="15.75" customHeight="1">
      <c r="C840" s="216"/>
      <c r="D840" s="217"/>
      <c r="E840" s="217"/>
      <c r="F840" s="44"/>
    </row>
    <row r="841" spans="3:6" ht="15.75" customHeight="1">
      <c r="C841" s="216"/>
      <c r="D841" s="217"/>
      <c r="E841" s="217"/>
      <c r="F841" s="44"/>
    </row>
    <row r="842" spans="3:6" ht="15.75" customHeight="1">
      <c r="C842" s="216"/>
      <c r="D842" s="217"/>
      <c r="E842" s="217"/>
      <c r="F842" s="44"/>
    </row>
    <row r="843" spans="3:6" ht="15.75" customHeight="1">
      <c r="C843" s="216"/>
      <c r="D843" s="217"/>
      <c r="E843" s="217"/>
      <c r="F843" s="44"/>
    </row>
    <row r="844" spans="3:6" ht="15.75" customHeight="1">
      <c r="C844" s="216"/>
      <c r="D844" s="217"/>
      <c r="E844" s="217"/>
      <c r="F844" s="44"/>
    </row>
    <row r="845" spans="3:6" ht="15.75" customHeight="1">
      <c r="C845" s="216"/>
      <c r="D845" s="217"/>
      <c r="E845" s="217"/>
      <c r="F845" s="44"/>
    </row>
    <row r="846" spans="3:6" ht="15.75" customHeight="1">
      <c r="C846" s="216"/>
      <c r="D846" s="217"/>
      <c r="E846" s="217"/>
      <c r="F846" s="44"/>
    </row>
    <row r="847" spans="3:6" ht="15.75" customHeight="1">
      <c r="C847" s="216"/>
      <c r="D847" s="217"/>
      <c r="E847" s="217"/>
      <c r="F847" s="44"/>
    </row>
    <row r="848" spans="3:6" ht="15.75" customHeight="1">
      <c r="C848" s="216"/>
      <c r="D848" s="217"/>
      <c r="E848" s="217"/>
      <c r="F848" s="44"/>
    </row>
    <row r="849" spans="3:6" ht="15.75" customHeight="1">
      <c r="C849" s="216"/>
      <c r="D849" s="217"/>
      <c r="E849" s="217"/>
      <c r="F849" s="44"/>
    </row>
    <row r="850" spans="3:6" ht="15.75" customHeight="1">
      <c r="C850" s="216"/>
      <c r="D850" s="217"/>
      <c r="E850" s="217"/>
      <c r="F850" s="44"/>
    </row>
    <row r="851" spans="3:6" ht="15.75" customHeight="1">
      <c r="C851" s="216"/>
      <c r="D851" s="217"/>
      <c r="E851" s="217"/>
      <c r="F851" s="44"/>
    </row>
    <row r="852" spans="3:6" ht="15.75" customHeight="1">
      <c r="C852" s="216"/>
      <c r="D852" s="217"/>
      <c r="E852" s="217"/>
      <c r="F852" s="44"/>
    </row>
    <row r="853" spans="3:6" ht="15.75" customHeight="1">
      <c r="C853" s="216"/>
      <c r="D853" s="217"/>
      <c r="E853" s="217"/>
      <c r="F853" s="44"/>
    </row>
    <row r="854" spans="3:6" ht="15.75" customHeight="1">
      <c r="C854" s="216"/>
      <c r="D854" s="217"/>
      <c r="E854" s="217"/>
      <c r="F854" s="44"/>
    </row>
    <row r="855" spans="3:6" ht="15.75" customHeight="1">
      <c r="C855" s="216"/>
      <c r="D855" s="217"/>
      <c r="E855" s="217"/>
      <c r="F855" s="44"/>
    </row>
    <row r="856" spans="3:6" ht="15.75" customHeight="1">
      <c r="C856" s="216"/>
      <c r="D856" s="217"/>
      <c r="E856" s="217"/>
      <c r="F856" s="44"/>
    </row>
    <row r="857" spans="3:6" ht="15.75" customHeight="1">
      <c r="C857" s="216"/>
      <c r="D857" s="217"/>
      <c r="E857" s="217"/>
      <c r="F857" s="44"/>
    </row>
    <row r="858" spans="3:6" ht="15.75" customHeight="1">
      <c r="C858" s="216"/>
      <c r="D858" s="217"/>
      <c r="E858" s="217"/>
      <c r="F858" s="44"/>
    </row>
    <row r="859" spans="3:6" ht="15.75" customHeight="1">
      <c r="C859" s="216"/>
      <c r="D859" s="217"/>
      <c r="E859" s="217"/>
      <c r="F859" s="44"/>
    </row>
    <row r="860" spans="3:6" ht="15.75" customHeight="1">
      <c r="C860" s="216"/>
      <c r="D860" s="217"/>
      <c r="E860" s="217"/>
      <c r="F860" s="44"/>
    </row>
    <row r="861" spans="3:6" ht="15.75" customHeight="1">
      <c r="C861" s="216"/>
      <c r="D861" s="217"/>
      <c r="E861" s="217"/>
      <c r="F861" s="44"/>
    </row>
    <row r="862" spans="3:6" ht="15.75" customHeight="1">
      <c r="C862" s="216"/>
      <c r="D862" s="217"/>
      <c r="E862" s="217"/>
      <c r="F862" s="44"/>
    </row>
    <row r="863" spans="3:6" ht="15.75" customHeight="1">
      <c r="C863" s="216"/>
      <c r="D863" s="217"/>
      <c r="E863" s="217"/>
      <c r="F863" s="44"/>
    </row>
    <row r="864" spans="3:6" ht="15.75" customHeight="1">
      <c r="C864" s="216"/>
      <c r="D864" s="217"/>
      <c r="E864" s="217"/>
      <c r="F864" s="44"/>
    </row>
    <row r="865" spans="3:6" ht="15.75" customHeight="1">
      <c r="C865" s="216"/>
      <c r="D865" s="217"/>
      <c r="E865" s="217"/>
      <c r="F865" s="44"/>
    </row>
    <row r="866" spans="3:6" ht="15.75" customHeight="1">
      <c r="C866" s="216"/>
      <c r="D866" s="217"/>
      <c r="E866" s="217"/>
      <c r="F866" s="44"/>
    </row>
    <row r="867" spans="3:6" ht="15.75" customHeight="1">
      <c r="C867" s="216"/>
      <c r="D867" s="217"/>
      <c r="E867" s="217"/>
      <c r="F867" s="44"/>
    </row>
    <row r="868" spans="3:6" ht="15.75" customHeight="1">
      <c r="C868" s="216"/>
      <c r="D868" s="217"/>
      <c r="E868" s="217"/>
      <c r="F868" s="44"/>
    </row>
    <row r="869" spans="3:6" ht="15.75" customHeight="1">
      <c r="C869" s="216"/>
      <c r="D869" s="217"/>
      <c r="E869" s="217"/>
      <c r="F869" s="44"/>
    </row>
    <row r="870" spans="3:6" ht="15.75" customHeight="1">
      <c r="C870" s="216"/>
      <c r="D870" s="217"/>
      <c r="E870" s="217"/>
      <c r="F870" s="44"/>
    </row>
    <row r="871" spans="3:6" ht="15.75" customHeight="1">
      <c r="C871" s="216"/>
      <c r="D871" s="217"/>
      <c r="E871" s="217"/>
      <c r="F871" s="44"/>
    </row>
    <row r="872" spans="3:6" ht="15.75" customHeight="1">
      <c r="C872" s="216"/>
      <c r="D872" s="217"/>
      <c r="E872" s="217"/>
      <c r="F872" s="44"/>
    </row>
    <row r="873" spans="3:6" ht="15.75" customHeight="1">
      <c r="C873" s="216"/>
      <c r="D873" s="217"/>
      <c r="E873" s="217"/>
      <c r="F873" s="44"/>
    </row>
    <row r="874" spans="3:6" ht="15.75" customHeight="1">
      <c r="C874" s="216"/>
      <c r="D874" s="217"/>
      <c r="E874" s="217"/>
      <c r="F874" s="44"/>
    </row>
    <row r="875" spans="3:6" ht="15.75" customHeight="1">
      <c r="C875" s="216"/>
      <c r="D875" s="217"/>
      <c r="E875" s="217"/>
      <c r="F875" s="44"/>
    </row>
    <row r="876" spans="3:6" ht="15.75" customHeight="1">
      <c r="C876" s="216"/>
      <c r="D876" s="217"/>
      <c r="E876" s="217"/>
      <c r="F876" s="44"/>
    </row>
    <row r="877" spans="3:6" ht="15.75" customHeight="1">
      <c r="C877" s="216"/>
      <c r="D877" s="217"/>
      <c r="E877" s="217"/>
      <c r="F877" s="44"/>
    </row>
    <row r="878" spans="3:6" ht="15.75" customHeight="1">
      <c r="C878" s="216"/>
      <c r="D878" s="217"/>
      <c r="E878" s="217"/>
      <c r="F878" s="44"/>
    </row>
    <row r="879" spans="3:6" ht="15.75" customHeight="1">
      <c r="C879" s="216"/>
      <c r="D879" s="217"/>
      <c r="E879" s="217"/>
      <c r="F879" s="44"/>
    </row>
    <row r="880" spans="3:6" ht="15.75" customHeight="1">
      <c r="C880" s="216"/>
      <c r="D880" s="217"/>
      <c r="E880" s="217"/>
      <c r="F880" s="44"/>
    </row>
    <row r="881" spans="3:6" ht="15.75" customHeight="1">
      <c r="C881" s="216"/>
      <c r="D881" s="217"/>
      <c r="E881" s="217"/>
      <c r="F881" s="44"/>
    </row>
    <row r="882" spans="3:6" ht="15.75" customHeight="1">
      <c r="C882" s="216"/>
      <c r="D882" s="217"/>
      <c r="E882" s="217"/>
      <c r="F882" s="44"/>
    </row>
    <row r="883" spans="3:6" ht="15.75" customHeight="1">
      <c r="C883" s="216"/>
      <c r="D883" s="217"/>
      <c r="E883" s="217"/>
      <c r="F883" s="44"/>
    </row>
    <row r="884" spans="3:6" ht="15.75" customHeight="1">
      <c r="C884" s="216"/>
      <c r="D884" s="217"/>
      <c r="E884" s="217"/>
      <c r="F884" s="44"/>
    </row>
    <row r="885" spans="3:6" ht="15.75" customHeight="1">
      <c r="C885" s="216"/>
      <c r="D885" s="217"/>
      <c r="E885" s="217"/>
      <c r="F885" s="44"/>
    </row>
    <row r="886" spans="3:6" ht="15.75" customHeight="1">
      <c r="C886" s="216"/>
      <c r="D886" s="217"/>
      <c r="E886" s="217"/>
      <c r="F886" s="44"/>
    </row>
    <row r="887" spans="3:6" ht="15.75" customHeight="1">
      <c r="C887" s="216"/>
      <c r="D887" s="217"/>
      <c r="E887" s="217"/>
      <c r="F887" s="44"/>
    </row>
    <row r="888" spans="3:6" ht="15.75" customHeight="1">
      <c r="C888" s="216"/>
      <c r="D888" s="217"/>
      <c r="E888" s="217"/>
      <c r="F888" s="44"/>
    </row>
    <row r="889" spans="3:6" ht="15.75" customHeight="1">
      <c r="C889" s="216"/>
      <c r="D889" s="217"/>
      <c r="E889" s="217"/>
      <c r="F889" s="44"/>
    </row>
    <row r="890" spans="3:6" ht="15.75" customHeight="1">
      <c r="C890" s="216"/>
      <c r="D890" s="217"/>
      <c r="E890" s="217"/>
      <c r="F890" s="44"/>
    </row>
    <row r="891" spans="3:6" ht="15.75" customHeight="1">
      <c r="C891" s="216"/>
      <c r="D891" s="217"/>
      <c r="E891" s="217"/>
      <c r="F891" s="44"/>
    </row>
    <row r="892" spans="3:6" ht="15.75" customHeight="1">
      <c r="C892" s="216"/>
      <c r="D892" s="217"/>
      <c r="E892" s="217"/>
      <c r="F892" s="44"/>
    </row>
    <row r="893" spans="3:6" ht="15.75" customHeight="1">
      <c r="C893" s="216"/>
      <c r="D893" s="217"/>
      <c r="E893" s="217"/>
      <c r="F893" s="44"/>
    </row>
    <row r="894" spans="3:6" ht="15.75" customHeight="1">
      <c r="C894" s="216"/>
      <c r="D894" s="217"/>
      <c r="E894" s="217"/>
      <c r="F894" s="44"/>
    </row>
    <row r="895" spans="3:6" ht="15.75" customHeight="1">
      <c r="C895" s="216"/>
      <c r="D895" s="217"/>
      <c r="E895" s="217"/>
      <c r="F895" s="44"/>
    </row>
    <row r="896" spans="3:6" ht="15.75" customHeight="1">
      <c r="C896" s="216"/>
      <c r="D896" s="217"/>
      <c r="E896" s="217"/>
      <c r="F896" s="44"/>
    </row>
    <row r="897" spans="3:6" ht="15.75" customHeight="1">
      <c r="C897" s="216"/>
      <c r="D897" s="217"/>
      <c r="E897" s="217"/>
      <c r="F897" s="44"/>
    </row>
    <row r="898" spans="3:6" ht="15.75" customHeight="1">
      <c r="C898" s="216"/>
      <c r="D898" s="217"/>
      <c r="E898" s="217"/>
      <c r="F898" s="44"/>
    </row>
    <row r="899" spans="3:6" ht="15.75" customHeight="1">
      <c r="C899" s="216"/>
      <c r="D899" s="217"/>
      <c r="E899" s="217"/>
      <c r="F899" s="44"/>
    </row>
    <row r="900" spans="3:6" ht="15.75" customHeight="1">
      <c r="C900" s="216"/>
      <c r="D900" s="217"/>
      <c r="E900" s="217"/>
      <c r="F900" s="44"/>
    </row>
    <row r="901" spans="3:6" ht="15.75" customHeight="1">
      <c r="C901" s="216"/>
      <c r="D901" s="217"/>
      <c r="E901" s="217"/>
      <c r="F901" s="44"/>
    </row>
    <row r="902" spans="3:6" ht="15.75" customHeight="1">
      <c r="C902" s="216"/>
      <c r="D902" s="217"/>
      <c r="E902" s="217"/>
      <c r="F902" s="44"/>
    </row>
    <row r="903" spans="3:6" ht="15.75" customHeight="1">
      <c r="C903" s="216"/>
      <c r="D903" s="217"/>
      <c r="E903" s="217"/>
      <c r="F903" s="44"/>
    </row>
    <row r="904" spans="3:6" ht="15.75" customHeight="1">
      <c r="C904" s="216"/>
      <c r="D904" s="217"/>
      <c r="E904" s="217"/>
      <c r="F904" s="44"/>
    </row>
    <row r="905" spans="3:6" ht="15.75" customHeight="1">
      <c r="C905" s="216"/>
      <c r="D905" s="217"/>
      <c r="E905" s="217"/>
      <c r="F905" s="44"/>
    </row>
    <row r="906" spans="3:6" ht="15.75" customHeight="1">
      <c r="C906" s="216"/>
      <c r="D906" s="217"/>
      <c r="E906" s="217"/>
      <c r="F906" s="44"/>
    </row>
    <row r="907" spans="3:6" ht="15.75" customHeight="1">
      <c r="C907" s="216"/>
      <c r="D907" s="217"/>
      <c r="E907" s="217"/>
      <c r="F907" s="44"/>
    </row>
    <row r="908" spans="3:6" ht="15.75" customHeight="1">
      <c r="C908" s="216"/>
      <c r="D908" s="217"/>
      <c r="E908" s="217"/>
      <c r="F908" s="44"/>
    </row>
    <row r="909" spans="3:6" ht="15.75" customHeight="1">
      <c r="C909" s="216"/>
      <c r="D909" s="217"/>
      <c r="E909" s="217"/>
      <c r="F909" s="44"/>
    </row>
    <row r="910" spans="3:6" ht="15.75" customHeight="1">
      <c r="C910" s="216"/>
      <c r="D910" s="217"/>
      <c r="E910" s="217"/>
      <c r="F910" s="44"/>
    </row>
    <row r="911" spans="3:6" ht="15.75" customHeight="1">
      <c r="C911" s="216"/>
      <c r="D911" s="217"/>
      <c r="E911" s="217"/>
      <c r="F911" s="44"/>
    </row>
    <row r="912" spans="3:6" ht="15.75" customHeight="1">
      <c r="C912" s="216"/>
      <c r="D912" s="217"/>
      <c r="E912" s="217"/>
      <c r="F912" s="44"/>
    </row>
    <row r="913" spans="3:6" ht="15.75" customHeight="1">
      <c r="C913" s="216"/>
      <c r="D913" s="217"/>
      <c r="E913" s="217"/>
      <c r="F913" s="44"/>
    </row>
    <row r="914" spans="3:6" ht="15.75" customHeight="1">
      <c r="C914" s="216"/>
      <c r="D914" s="217"/>
      <c r="E914" s="217"/>
      <c r="F914" s="44"/>
    </row>
    <row r="915" spans="3:6" ht="15.75" customHeight="1">
      <c r="C915" s="216"/>
      <c r="D915" s="217"/>
      <c r="E915" s="217"/>
      <c r="F915" s="44"/>
    </row>
    <row r="916" spans="3:6" ht="15.75" customHeight="1">
      <c r="C916" s="216"/>
      <c r="D916" s="217"/>
      <c r="E916" s="217"/>
      <c r="F916" s="44"/>
    </row>
    <row r="917" spans="3:6" ht="15.75" customHeight="1">
      <c r="C917" s="216"/>
      <c r="D917" s="217"/>
      <c r="E917" s="217"/>
      <c r="F917" s="44"/>
    </row>
    <row r="918" spans="3:6" ht="15.75" customHeight="1">
      <c r="C918" s="216"/>
      <c r="D918" s="217"/>
      <c r="E918" s="217"/>
      <c r="F918" s="44"/>
    </row>
    <row r="919" spans="3:6" ht="15.75" customHeight="1">
      <c r="C919" s="216"/>
      <c r="D919" s="217"/>
      <c r="E919" s="217"/>
      <c r="F919" s="44"/>
    </row>
    <row r="920" spans="3:6" ht="15.75" customHeight="1">
      <c r="C920" s="216"/>
      <c r="D920" s="217"/>
      <c r="E920" s="217"/>
      <c r="F920" s="44"/>
    </row>
    <row r="921" spans="3:6" ht="15.75" customHeight="1">
      <c r="C921" s="216"/>
      <c r="D921" s="217"/>
      <c r="E921" s="217"/>
      <c r="F921" s="44"/>
    </row>
    <row r="922" spans="3:6" ht="15.75" customHeight="1">
      <c r="C922" s="216"/>
      <c r="D922" s="217"/>
      <c r="E922" s="217"/>
      <c r="F922" s="44"/>
    </row>
    <row r="923" spans="3:6" ht="15.75" customHeight="1">
      <c r="C923" s="216"/>
      <c r="D923" s="217"/>
      <c r="E923" s="217"/>
      <c r="F923" s="44"/>
    </row>
    <row r="924" spans="3:6" ht="15.75" customHeight="1">
      <c r="C924" s="216"/>
      <c r="D924" s="217"/>
      <c r="E924" s="217"/>
      <c r="F924" s="44"/>
    </row>
    <row r="925" spans="3:6" ht="15.75" customHeight="1">
      <c r="C925" s="216"/>
      <c r="D925" s="217"/>
      <c r="E925" s="217"/>
      <c r="F925" s="44"/>
    </row>
    <row r="926" spans="3:6" ht="15.75" customHeight="1">
      <c r="C926" s="216"/>
      <c r="D926" s="217"/>
      <c r="E926" s="217"/>
      <c r="F926" s="44"/>
    </row>
    <row r="927" spans="3:6" ht="15.75" customHeight="1">
      <c r="C927" s="216"/>
      <c r="D927" s="217"/>
      <c r="E927" s="217"/>
      <c r="F927" s="44"/>
    </row>
    <row r="928" spans="3:6" ht="15.75" customHeight="1">
      <c r="C928" s="216"/>
      <c r="D928" s="217"/>
      <c r="E928" s="217"/>
      <c r="F928" s="44"/>
    </row>
    <row r="929" spans="3:6" ht="15.75" customHeight="1">
      <c r="C929" s="216"/>
      <c r="D929" s="217"/>
      <c r="E929" s="217"/>
      <c r="F929" s="44"/>
    </row>
    <row r="930" spans="3:6" ht="15.75" customHeight="1">
      <c r="C930" s="216"/>
      <c r="D930" s="217"/>
      <c r="E930" s="217"/>
      <c r="F930" s="44"/>
    </row>
    <row r="931" spans="3:6" ht="15.75" customHeight="1">
      <c r="C931" s="216"/>
      <c r="D931" s="217"/>
      <c r="E931" s="217"/>
      <c r="F931" s="44"/>
    </row>
    <row r="932" spans="3:6" ht="15.75" customHeight="1">
      <c r="C932" s="216"/>
      <c r="D932" s="217"/>
      <c r="E932" s="217"/>
      <c r="F932" s="44"/>
    </row>
    <row r="933" spans="3:6" ht="15.75" customHeight="1">
      <c r="C933" s="216"/>
      <c r="D933" s="217"/>
      <c r="E933" s="217"/>
      <c r="F933" s="44"/>
    </row>
    <row r="934" spans="3:6" ht="15.75" customHeight="1">
      <c r="C934" s="216"/>
      <c r="D934" s="217"/>
      <c r="E934" s="217"/>
      <c r="F934" s="44"/>
    </row>
    <row r="935" spans="3:6" ht="15.75" customHeight="1">
      <c r="C935" s="216"/>
      <c r="D935" s="217"/>
      <c r="E935" s="217"/>
      <c r="F935" s="44"/>
    </row>
    <row r="936" spans="3:6" ht="15.75" customHeight="1">
      <c r="C936" s="216"/>
      <c r="D936" s="217"/>
      <c r="E936" s="217"/>
      <c r="F936" s="44"/>
    </row>
    <row r="937" spans="3:6" ht="15.75" customHeight="1">
      <c r="C937" s="216"/>
      <c r="D937" s="217"/>
      <c r="E937" s="217"/>
      <c r="F937" s="44"/>
    </row>
    <row r="938" spans="3:6" ht="15.75" customHeight="1">
      <c r="C938" s="216"/>
      <c r="D938" s="217"/>
      <c r="E938" s="217"/>
      <c r="F938" s="44"/>
    </row>
    <row r="939" spans="3:6" ht="15.75" customHeight="1">
      <c r="C939" s="216"/>
      <c r="D939" s="217"/>
      <c r="E939" s="217"/>
      <c r="F939" s="44"/>
    </row>
    <row r="940" spans="3:6" ht="15.75" customHeight="1">
      <c r="C940" s="216"/>
      <c r="D940" s="217"/>
      <c r="E940" s="217"/>
      <c r="F940" s="44"/>
    </row>
    <row r="941" spans="3:6" ht="15.75" customHeight="1">
      <c r="C941" s="216"/>
      <c r="D941" s="217"/>
      <c r="E941" s="217"/>
      <c r="F941" s="44"/>
    </row>
    <row r="942" spans="3:6" ht="15.75" customHeight="1">
      <c r="C942" s="216"/>
      <c r="D942" s="217"/>
      <c r="E942" s="217"/>
      <c r="F942" s="44"/>
    </row>
    <row r="943" spans="3:6" ht="15.75" customHeight="1">
      <c r="C943" s="216"/>
      <c r="D943" s="217"/>
      <c r="E943" s="217"/>
      <c r="F943" s="44"/>
    </row>
    <row r="944" spans="3:6" ht="15.75" customHeight="1">
      <c r="C944" s="216"/>
      <c r="D944" s="217"/>
      <c r="E944" s="217"/>
      <c r="F944" s="44"/>
    </row>
    <row r="945" spans="3:6" ht="15.75" customHeight="1">
      <c r="C945" s="216"/>
      <c r="D945" s="217"/>
      <c r="E945" s="217"/>
      <c r="F945" s="44"/>
    </row>
    <row r="946" spans="3:6" ht="15.75" customHeight="1">
      <c r="C946" s="216"/>
      <c r="D946" s="217"/>
      <c r="E946" s="217"/>
      <c r="F946" s="44"/>
    </row>
    <row r="947" spans="3:6" ht="15.75" customHeight="1">
      <c r="C947" s="216"/>
      <c r="D947" s="217"/>
      <c r="E947" s="217"/>
      <c r="F947" s="44"/>
    </row>
    <row r="948" spans="3:6" ht="15.75" customHeight="1">
      <c r="C948" s="216"/>
      <c r="D948" s="217"/>
      <c r="E948" s="217"/>
      <c r="F948" s="44"/>
    </row>
    <row r="949" spans="3:6" ht="15.75" customHeight="1">
      <c r="C949" s="216"/>
      <c r="D949" s="217"/>
      <c r="E949" s="217"/>
      <c r="F949" s="44"/>
    </row>
    <row r="950" spans="3:6" ht="15.75" customHeight="1">
      <c r="C950" s="216"/>
      <c r="D950" s="217"/>
      <c r="E950" s="217"/>
      <c r="F950" s="44"/>
    </row>
    <row r="951" spans="3:6" ht="15.75" customHeight="1">
      <c r="C951" s="216"/>
      <c r="D951" s="217"/>
      <c r="E951" s="217"/>
      <c r="F951" s="44"/>
    </row>
    <row r="952" spans="3:6" ht="15.75" customHeight="1">
      <c r="C952" s="216"/>
      <c r="D952" s="217"/>
      <c r="E952" s="217"/>
      <c r="F952" s="44"/>
    </row>
    <row r="953" spans="3:6" ht="15.75" customHeight="1">
      <c r="C953" s="216"/>
      <c r="D953" s="217"/>
      <c r="E953" s="217"/>
      <c r="F953" s="44"/>
    </row>
    <row r="954" spans="3:6" ht="15.75" customHeight="1">
      <c r="C954" s="216"/>
      <c r="D954" s="217"/>
      <c r="E954" s="217"/>
      <c r="F954" s="44"/>
    </row>
    <row r="955" spans="3:6" ht="15.75" customHeight="1">
      <c r="C955" s="216"/>
      <c r="D955" s="217"/>
      <c r="E955" s="217"/>
      <c r="F955" s="44"/>
    </row>
    <row r="956" spans="3:6" ht="15.75" customHeight="1">
      <c r="C956" s="216"/>
      <c r="D956" s="217"/>
      <c r="E956" s="217"/>
      <c r="F956" s="44"/>
    </row>
    <row r="957" spans="3:6" ht="15.75" customHeight="1">
      <c r="C957" s="216"/>
      <c r="D957" s="217"/>
      <c r="E957" s="217"/>
      <c r="F957" s="44"/>
    </row>
    <row r="958" spans="3:6" ht="15.75" customHeight="1">
      <c r="C958" s="216"/>
      <c r="D958" s="217"/>
      <c r="E958" s="217"/>
      <c r="F958" s="44"/>
    </row>
    <row r="959" spans="3:6" ht="15.75" customHeight="1">
      <c r="C959" s="216"/>
      <c r="D959" s="217"/>
      <c r="E959" s="217"/>
      <c r="F959" s="44"/>
    </row>
    <row r="960" spans="3:6" ht="15.75" customHeight="1">
      <c r="C960" s="216"/>
      <c r="D960" s="217"/>
      <c r="E960" s="217"/>
      <c r="F960" s="44"/>
    </row>
    <row r="961" spans="3:6" ht="15.75" customHeight="1">
      <c r="C961" s="216"/>
      <c r="D961" s="217"/>
      <c r="E961" s="217"/>
      <c r="F961" s="44"/>
    </row>
    <row r="962" spans="3:6" ht="15.75" customHeight="1">
      <c r="C962" s="216"/>
      <c r="D962" s="217"/>
      <c r="E962" s="217"/>
      <c r="F962" s="44"/>
    </row>
    <row r="963" spans="3:6" ht="15.75" customHeight="1">
      <c r="C963" s="216"/>
      <c r="D963" s="217"/>
      <c r="E963" s="217"/>
      <c r="F963" s="44"/>
    </row>
    <row r="964" spans="3:6" ht="15.75" customHeight="1">
      <c r="C964" s="216"/>
      <c r="D964" s="217"/>
      <c r="E964" s="217"/>
      <c r="F964" s="44"/>
    </row>
    <row r="965" spans="3:6" ht="15.75" customHeight="1">
      <c r="C965" s="216"/>
      <c r="D965" s="217"/>
      <c r="E965" s="217"/>
      <c r="F965" s="44"/>
    </row>
    <row r="966" spans="3:6" ht="15.75" customHeight="1">
      <c r="C966" s="216"/>
      <c r="D966" s="217"/>
      <c r="E966" s="217"/>
      <c r="F966" s="44"/>
    </row>
    <row r="967" spans="3:6" ht="15.75" customHeight="1">
      <c r="C967" s="216"/>
      <c r="D967" s="217"/>
      <c r="E967" s="217"/>
      <c r="F967" s="44"/>
    </row>
    <row r="968" spans="3:6" ht="15.75" customHeight="1">
      <c r="C968" s="216"/>
      <c r="D968" s="217"/>
      <c r="E968" s="217"/>
      <c r="F968" s="44"/>
    </row>
    <row r="969" spans="3:6" ht="15.75" customHeight="1">
      <c r="C969" s="216"/>
      <c r="D969" s="217"/>
      <c r="E969" s="217"/>
      <c r="F969" s="44"/>
    </row>
    <row r="970" spans="3:6" ht="15.75" customHeight="1">
      <c r="C970" s="216"/>
      <c r="D970" s="217"/>
      <c r="E970" s="217"/>
      <c r="F970" s="44"/>
    </row>
    <row r="971" spans="3:6" ht="15.75" customHeight="1">
      <c r="C971" s="216"/>
      <c r="D971" s="217"/>
      <c r="E971" s="217"/>
      <c r="F971" s="44"/>
    </row>
    <row r="972" spans="3:6" ht="15.75" customHeight="1">
      <c r="C972" s="216"/>
      <c r="D972" s="217"/>
      <c r="E972" s="217"/>
      <c r="F972" s="44"/>
    </row>
    <row r="973" spans="3:6" ht="15.75" customHeight="1">
      <c r="C973" s="216"/>
      <c r="D973" s="217"/>
      <c r="E973" s="217"/>
      <c r="F973" s="44"/>
    </row>
    <row r="974" spans="3:6" ht="15.75" customHeight="1">
      <c r="C974" s="216"/>
      <c r="D974" s="217"/>
      <c r="E974" s="217"/>
      <c r="F974" s="44"/>
    </row>
    <row r="975" spans="3:6" ht="15.75" customHeight="1">
      <c r="C975" s="216"/>
      <c r="D975" s="217"/>
      <c r="E975" s="217"/>
      <c r="F975" s="44"/>
    </row>
    <row r="976" spans="3:6" ht="15.75" customHeight="1">
      <c r="C976" s="216"/>
      <c r="D976" s="217"/>
      <c r="E976" s="217"/>
      <c r="F976" s="44"/>
    </row>
    <row r="977" spans="3:6" ht="15.75" customHeight="1">
      <c r="C977" s="216"/>
      <c r="D977" s="217"/>
      <c r="E977" s="217"/>
      <c r="F977" s="44"/>
    </row>
    <row r="978" spans="3:6" ht="15.75" customHeight="1">
      <c r="C978" s="216"/>
      <c r="D978" s="217"/>
      <c r="E978" s="217"/>
      <c r="F978" s="44"/>
    </row>
    <row r="979" spans="3:6" ht="15.75" customHeight="1">
      <c r="C979" s="216"/>
      <c r="D979" s="217"/>
      <c r="E979" s="217"/>
      <c r="F979" s="44"/>
    </row>
    <row r="980" spans="3:6" ht="15.75" customHeight="1">
      <c r="C980" s="216"/>
      <c r="D980" s="217"/>
      <c r="E980" s="217"/>
      <c r="F980" s="44"/>
    </row>
    <row r="981" spans="3:6" ht="15.75" customHeight="1">
      <c r="C981" s="216"/>
      <c r="D981" s="217"/>
      <c r="E981" s="217"/>
      <c r="F981" s="44"/>
    </row>
    <row r="982" spans="3:6" ht="15.75" customHeight="1">
      <c r="C982" s="216"/>
      <c r="D982" s="217"/>
      <c r="E982" s="217"/>
      <c r="F982" s="44"/>
    </row>
    <row r="983" spans="3:6" ht="15.75" customHeight="1">
      <c r="C983" s="216"/>
      <c r="D983" s="217"/>
      <c r="E983" s="217"/>
      <c r="F983" s="44"/>
    </row>
    <row r="984" spans="3:6" ht="15.75" customHeight="1">
      <c r="C984" s="216"/>
      <c r="D984" s="217"/>
      <c r="E984" s="217"/>
      <c r="F984" s="44"/>
    </row>
    <row r="985" spans="3:6" ht="15.75" customHeight="1">
      <c r="C985" s="216"/>
      <c r="D985" s="217"/>
      <c r="E985" s="217"/>
      <c r="F985" s="44"/>
    </row>
    <row r="986" spans="3:6" ht="15.75" customHeight="1">
      <c r="C986" s="216"/>
      <c r="D986" s="217"/>
      <c r="E986" s="217"/>
      <c r="F986" s="44"/>
    </row>
    <row r="987" spans="3:6" ht="15.75" customHeight="1">
      <c r="C987" s="216"/>
      <c r="D987" s="217"/>
      <c r="E987" s="217"/>
      <c r="F987" s="44"/>
    </row>
    <row r="988" spans="3:6" ht="15.75" customHeight="1">
      <c r="C988" s="216"/>
      <c r="D988" s="217"/>
      <c r="E988" s="217"/>
      <c r="F988" s="44"/>
    </row>
    <row r="989" spans="3:6" ht="15.75" customHeight="1">
      <c r="C989" s="216"/>
      <c r="D989" s="217"/>
      <c r="E989" s="217"/>
      <c r="F989" s="44"/>
    </row>
    <row r="990" spans="3:6" ht="15.75" customHeight="1">
      <c r="C990" s="216"/>
      <c r="D990" s="217"/>
      <c r="E990" s="217"/>
      <c r="F990" s="44"/>
    </row>
    <row r="991" spans="3:6" ht="15.75" customHeight="1">
      <c r="C991" s="216"/>
      <c r="D991" s="217"/>
      <c r="E991" s="217"/>
      <c r="F991" s="44"/>
    </row>
    <row r="992" spans="3:6" ht="15.75" customHeight="1">
      <c r="C992" s="216"/>
      <c r="D992" s="217"/>
      <c r="E992" s="217"/>
      <c r="F992" s="44"/>
    </row>
    <row r="993" spans="3:6" ht="15.75" customHeight="1">
      <c r="C993" s="216"/>
      <c r="D993" s="217"/>
      <c r="E993" s="217"/>
      <c r="F993" s="44"/>
    </row>
    <row r="994" spans="3:6" ht="15.75" customHeight="1">
      <c r="C994" s="216"/>
      <c r="D994" s="217"/>
      <c r="E994" s="217"/>
      <c r="F994" s="44"/>
    </row>
    <row r="995" spans="3:6" ht="15.75" customHeight="1">
      <c r="C995" s="216"/>
      <c r="D995" s="217"/>
      <c r="E995" s="217"/>
      <c r="F995" s="44"/>
    </row>
    <row r="996" spans="3:6" ht="15.75" customHeight="1">
      <c r="C996" s="216"/>
      <c r="D996" s="217"/>
      <c r="E996" s="217"/>
      <c r="F996" s="44"/>
    </row>
    <row r="997" spans="3:6" ht="15.75" customHeight="1">
      <c r="C997" s="216"/>
      <c r="D997" s="217"/>
      <c r="E997" s="217"/>
      <c r="F997" s="44"/>
    </row>
    <row r="998" spans="3:6" ht="15.75" customHeight="1">
      <c r="C998" s="216"/>
      <c r="D998" s="217"/>
      <c r="E998" s="217"/>
      <c r="F998" s="44"/>
    </row>
    <row r="999" spans="3:6" ht="15.75" customHeight="1">
      <c r="C999" s="216"/>
      <c r="D999" s="217"/>
      <c r="E999" s="217"/>
      <c r="F999" s="44"/>
    </row>
    <row r="1000" spans="3:6" ht="15.75" customHeight="1">
      <c r="C1000" s="216"/>
      <c r="D1000" s="217"/>
      <c r="E1000" s="217"/>
      <c r="F1000" s="44"/>
    </row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11</vt:i4>
      </vt:variant>
    </vt:vector>
  </HeadingPairs>
  <TitlesOfParts>
    <vt:vector size="11" baseType="lpstr">
      <vt:lpstr>Opći dio</vt:lpstr>
      <vt:lpstr>Plan prihoda za unos u SAP</vt:lpstr>
      <vt:lpstr>Plan rashoda za unos u SAP</vt:lpstr>
      <vt:lpstr>ANALITIKA EU PROJEKATA</vt:lpstr>
      <vt:lpstr>PLAN PRIHODA I PRIMITAKA </vt:lpstr>
      <vt:lpstr>PLAN RASHODA I IZDATAKA</vt:lpstr>
      <vt:lpstr>PLAN IZDATAKA</vt:lpstr>
      <vt:lpstr>AKT</vt:lpstr>
      <vt:lpstr>List1</vt:lpstr>
      <vt:lpstr>p4</vt:lpstr>
      <vt:lpstr>prihodi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Sočković</dc:creator>
  <cp:lastModifiedBy>Marina Sočković</cp:lastModifiedBy>
  <cp:lastPrinted>2021-12-14T13:54:10Z</cp:lastPrinted>
  <dcterms:created xsi:type="dcterms:W3CDTF">2021-12-13T19:02:05Z</dcterms:created>
  <dcterms:modified xsi:type="dcterms:W3CDTF">2021-12-20T10:29:54Z</dcterms:modified>
</cp:coreProperties>
</file>